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omments1.xml" ContentType="application/vnd.openxmlformats-officedocument.spreadsheetml.comments+xml"/>
  <Override PartName="/xl/drawings/drawing2.xml" ContentType="application/vnd.openxmlformats-officedocument.drawing+xml"/>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ЭтаКнига"/>
  <mc:AlternateContent xmlns:mc="http://schemas.openxmlformats.org/markup-compatibility/2006">
    <mc:Choice Requires="x15">
      <x15ac:absPath xmlns:x15ac="http://schemas.microsoft.com/office/spreadsheetml/2010/11/ac" url="C:\Users\L K\icu_doc\Intensive-care-doc\"/>
    </mc:Choice>
  </mc:AlternateContent>
  <bookViews>
    <workbookView xWindow="0" yWindow="0" windowWidth="16380" windowHeight="8190" tabRatio="699" activeTab="8"/>
  </bookViews>
  <sheets>
    <sheet name="Памятка" sheetId="1" r:id="rId1"/>
    <sheet name="карта ИТ" sheetId="2" r:id="rId2"/>
    <sheet name="разовые" sheetId="3" r:id="rId3"/>
    <sheet name="энтерально" sheetId="4" r:id="rId4"/>
    <sheet name="парентерально" sheetId="5" r:id="rId5"/>
    <sheet name="энтерально педиатрия" sheetId="6" r:id="rId6"/>
    <sheet name="назначения" sheetId="7" r:id="rId7"/>
    <sheet name="на кровать" sheetId="8" r:id="rId8"/>
    <sheet name="согласия" sheetId="9" r:id="rId9"/>
    <sheet name="ПЭП" sheetId="10" r:id="rId10"/>
  </sheets>
  <definedNames>
    <definedName name="__xlfn_BAHTTEXT">NA()</definedName>
    <definedName name="Возраст">'карта ИТ'!$AJ$5</definedName>
    <definedName name="группакрови">'карта ИТ'!$BC$4</definedName>
    <definedName name="Имя">'карта ИТ'!$AJ$3</definedName>
    <definedName name="номеристории">'карта ИТ'!$Y$2</definedName>
    <definedName name="_xlnm.Print_Area" localSheetId="1">'карта ИТ'!$K$1:$CG$54</definedName>
    <definedName name="_xlnm.Print_Area" localSheetId="7">'на кровать'!$A$1:$K$61</definedName>
    <definedName name="_xlnm.Print_Area" localSheetId="6">назначения!$A$1:$J$38</definedName>
    <definedName name="Отчество">'карта ИТ'!$AJ$4</definedName>
    <definedName name="показания">#REF!</definedName>
    <definedName name="показания1">#REF!</definedName>
    <definedName name="показания2">#REF!</definedName>
    <definedName name="резус">'карта ИТ'!$BC$5</definedName>
    <definedName name="списокгрупп">#REF!</definedName>
    <definedName name="Списокрезусов">#REF!</definedName>
    <definedName name="списоксред">#REF!</definedName>
    <definedName name="Фамилия">'карта ИТ'!$AJ$2</definedName>
  </definedNames>
  <calcPr calcId="152511"/>
</workbook>
</file>

<file path=xl/calcChain.xml><?xml version="1.0" encoding="utf-8"?>
<calcChain xmlns="http://schemas.openxmlformats.org/spreadsheetml/2006/main">
  <c r="K35" i="10" l="1"/>
  <c r="E36" i="10"/>
  <c r="E37" i="10" s="1"/>
  <c r="B7" i="9"/>
  <c r="J12" i="5" l="1"/>
  <c r="C13" i="5" l="1"/>
  <c r="L7" i="10" l="1"/>
  <c r="M7" i="10"/>
  <c r="M10" i="10" s="1"/>
  <c r="D10" i="10"/>
  <c r="M97" i="9"/>
  <c r="X73" i="9"/>
  <c r="B115" i="9"/>
  <c r="M115" i="9"/>
  <c r="AD61" i="9"/>
  <c r="AA61" i="9"/>
  <c r="X52" i="9"/>
  <c r="S106" i="9"/>
  <c r="P106" i="9"/>
  <c r="AN6" i="2"/>
  <c r="AO6" i="2" s="1"/>
  <c r="AP6" i="2" s="1"/>
  <c r="CB20" i="2"/>
  <c r="CB21" i="2"/>
  <c r="AM55" i="2"/>
  <c r="C1" i="8"/>
  <c r="A2" i="8"/>
  <c r="D2" i="8"/>
  <c r="C3" i="8"/>
  <c r="C4" i="8"/>
  <c r="F38" i="8"/>
  <c r="A42" i="8"/>
  <c r="A50" i="8"/>
  <c r="E54" i="8"/>
  <c r="E57" i="8"/>
  <c r="B3" i="7"/>
  <c r="D3" i="7"/>
  <c r="F3" i="7"/>
  <c r="I3" i="7"/>
  <c r="C5" i="7"/>
  <c r="I4" i="1"/>
  <c r="K4" i="1"/>
  <c r="I5" i="1"/>
  <c r="K5" i="1"/>
  <c r="I6" i="1"/>
  <c r="K6" i="1"/>
  <c r="I7" i="1"/>
  <c r="L7" i="1" s="1"/>
  <c r="CB42" i="2" s="1"/>
  <c r="K7" i="1"/>
  <c r="I8" i="1"/>
  <c r="K8" i="1"/>
  <c r="I9" i="1"/>
  <c r="K9" i="1"/>
  <c r="I10" i="1"/>
  <c r="K10" i="1"/>
  <c r="I11" i="1"/>
  <c r="L11" i="1" s="1"/>
  <c r="CB43" i="2" s="1"/>
  <c r="K11" i="1"/>
  <c r="I12" i="1"/>
  <c r="K12" i="1"/>
  <c r="I16" i="1"/>
  <c r="Y4" i="2" s="1"/>
  <c r="I17" i="1"/>
  <c r="AB4" i="2"/>
  <c r="C2" i="5"/>
  <c r="D2" i="5"/>
  <c r="J2" i="5"/>
  <c r="K2" i="5"/>
  <c r="L2" i="5"/>
  <c r="M2" i="5"/>
  <c r="C3" i="5"/>
  <c r="D3" i="5"/>
  <c r="J3" i="5"/>
  <c r="K3" i="5"/>
  <c r="L3" i="5"/>
  <c r="M3" i="5"/>
  <c r="C4" i="5"/>
  <c r="D4" i="5"/>
  <c r="J4" i="5"/>
  <c r="K4" i="5"/>
  <c r="L4" i="5"/>
  <c r="M4" i="5"/>
  <c r="C5" i="5"/>
  <c r="D5" i="5"/>
  <c r="C6" i="5"/>
  <c r="D6" i="5"/>
  <c r="C7" i="5"/>
  <c r="D7" i="5"/>
  <c r="C8" i="5"/>
  <c r="D8" i="5"/>
  <c r="J8" i="5"/>
  <c r="K8" i="5"/>
  <c r="L8" i="5"/>
  <c r="C9" i="5"/>
  <c r="D9" i="5"/>
  <c r="J9" i="5"/>
  <c r="K9" i="5"/>
  <c r="N9" i="5" s="1"/>
  <c r="M9" i="5"/>
  <c r="C10" i="5"/>
  <c r="D10" i="5"/>
  <c r="J10" i="5"/>
  <c r="K10" i="5"/>
  <c r="N10" i="5" s="1"/>
  <c r="L10" i="5"/>
  <c r="C11" i="5"/>
  <c r="D11" i="5"/>
  <c r="J11" i="5"/>
  <c r="M11" i="5" s="1"/>
  <c r="K11" i="5"/>
  <c r="N11" i="5" s="1"/>
  <c r="C12" i="5"/>
  <c r="D12" i="5"/>
  <c r="K12" i="5"/>
  <c r="L12" i="5"/>
  <c r="D13" i="5"/>
  <c r="J13" i="5"/>
  <c r="M13" i="5" s="1"/>
  <c r="K13" i="5"/>
  <c r="N13" i="5" s="1"/>
  <c r="C14" i="5"/>
  <c r="D14" i="5"/>
  <c r="J14" i="5"/>
  <c r="K14" i="5"/>
  <c r="L14" i="5"/>
  <c r="M14" i="5"/>
  <c r="N14" i="5"/>
  <c r="C15" i="5"/>
  <c r="D15" i="5"/>
  <c r="J15" i="5"/>
  <c r="K15" i="5"/>
  <c r="L15" i="5"/>
  <c r="M15" i="5"/>
  <c r="N15" i="5"/>
  <c r="C16" i="5"/>
  <c r="D16" i="5" s="1"/>
  <c r="J16" i="5"/>
  <c r="K16" i="5"/>
  <c r="L16" i="5"/>
  <c r="M16" i="5"/>
  <c r="N16" i="5"/>
  <c r="C17" i="5"/>
  <c r="D17" i="5" s="1"/>
  <c r="J17" i="5"/>
  <c r="K17" i="5"/>
  <c r="L17" i="5"/>
  <c r="M17" i="5"/>
  <c r="N17" i="5"/>
  <c r="C18" i="5"/>
  <c r="D18" i="5" s="1"/>
  <c r="C22" i="5"/>
  <c r="D22" i="5" s="1"/>
  <c r="C23" i="5"/>
  <c r="D23" i="5" s="1"/>
  <c r="C24" i="5"/>
  <c r="D24" i="5" s="1"/>
  <c r="C28" i="5"/>
  <c r="D28" i="5"/>
  <c r="C29" i="5"/>
  <c r="D29" i="5"/>
  <c r="C30" i="5"/>
  <c r="D30" i="5"/>
  <c r="C31" i="5"/>
  <c r="D31" i="5" s="1"/>
  <c r="C32" i="5"/>
  <c r="D32" i="5"/>
  <c r="C33" i="5"/>
  <c r="D33" i="5"/>
  <c r="C34" i="5"/>
  <c r="D34" i="5"/>
  <c r="B89" i="9"/>
  <c r="D106" i="9"/>
  <c r="F106" i="9"/>
  <c r="C2" i="4"/>
  <c r="D2" i="4"/>
  <c r="E2" i="4"/>
  <c r="F2" i="4"/>
  <c r="G2" i="4" s="1"/>
  <c r="H2" i="4"/>
  <c r="C3" i="4"/>
  <c r="D3" i="4"/>
  <c r="E3" i="4"/>
  <c r="F3" i="4"/>
  <c r="G3" i="4"/>
  <c r="H3" i="4"/>
  <c r="C4" i="4"/>
  <c r="D4" i="4"/>
  <c r="E4" i="4"/>
  <c r="F4" i="4"/>
  <c r="G4" i="4" s="1"/>
  <c r="H4" i="4"/>
  <c r="C5" i="4"/>
  <c r="D5" i="4"/>
  <c r="E5" i="4"/>
  <c r="F5" i="4"/>
  <c r="G5" i="4"/>
  <c r="C6" i="4"/>
  <c r="D6" i="4"/>
  <c r="E6" i="4"/>
  <c r="F6" i="4"/>
  <c r="G6" i="4" s="1"/>
  <c r="C7" i="4"/>
  <c r="D7" i="4"/>
  <c r="E7" i="4"/>
  <c r="F7" i="4"/>
  <c r="G7" i="4"/>
  <c r="C8" i="4"/>
  <c r="D8" i="4"/>
  <c r="E8" i="4"/>
  <c r="F8" i="4"/>
  <c r="G8" i="4" s="1"/>
  <c r="C9" i="4"/>
  <c r="D9" i="4"/>
  <c r="E9" i="4"/>
  <c r="F9" i="4"/>
  <c r="G9" i="4"/>
  <c r="H9" i="4"/>
  <c r="C10" i="4"/>
  <c r="D10" i="4"/>
  <c r="E10" i="4"/>
  <c r="F10" i="4"/>
  <c r="G10" i="4" s="1"/>
  <c r="H10" i="4"/>
  <c r="C11" i="4"/>
  <c r="D11" i="4"/>
  <c r="E11" i="4"/>
  <c r="F11" i="4"/>
  <c r="G11" i="4" s="1"/>
  <c r="H11" i="4"/>
  <c r="C12" i="4"/>
  <c r="D12" i="4"/>
  <c r="E12" i="4"/>
  <c r="F12" i="4"/>
  <c r="G12" i="4" s="1"/>
  <c r="H12" i="4"/>
  <c r="C13" i="4"/>
  <c r="D13" i="4"/>
  <c r="E13" i="4"/>
  <c r="F13" i="4"/>
  <c r="G13" i="4"/>
  <c r="H13" i="4"/>
  <c r="C14" i="4"/>
  <c r="D14" i="4"/>
  <c r="E14" i="4"/>
  <c r="F14" i="4"/>
  <c r="G14" i="4" s="1"/>
  <c r="C15" i="4"/>
  <c r="D15" i="4"/>
  <c r="E15" i="4"/>
  <c r="F15" i="4"/>
  <c r="G15" i="4"/>
  <c r="H15" i="4"/>
  <c r="C16" i="4"/>
  <c r="D16" i="4"/>
  <c r="E16" i="4"/>
  <c r="F16" i="4"/>
  <c r="G16" i="4" s="1"/>
  <c r="H16" i="4"/>
  <c r="C17" i="4"/>
  <c r="D17" i="4"/>
  <c r="E17" i="4"/>
  <c r="F17" i="4"/>
  <c r="G17" i="4" s="1"/>
  <c r="C18" i="4"/>
  <c r="D18" i="4"/>
  <c r="E18" i="4"/>
  <c r="F18" i="4"/>
  <c r="G18" i="4"/>
  <c r="C19" i="4"/>
  <c r="D19" i="4"/>
  <c r="E19" i="4"/>
  <c r="F19" i="4"/>
  <c r="G19" i="4" s="1"/>
  <c r="C20" i="4"/>
  <c r="D20" i="4"/>
  <c r="E20" i="4"/>
  <c r="F20" i="4"/>
  <c r="G20" i="4" s="1"/>
  <c r="C21" i="4"/>
  <c r="D21" i="4"/>
  <c r="E21" i="4"/>
  <c r="F21" i="4"/>
  <c r="G21" i="4"/>
  <c r="H21" i="4"/>
  <c r="C22" i="4"/>
  <c r="D22" i="4"/>
  <c r="E22" i="4"/>
  <c r="F22" i="4"/>
  <c r="G22" i="4" s="1"/>
  <c r="C23" i="4"/>
  <c r="D23" i="4"/>
  <c r="E23" i="4"/>
  <c r="F23" i="4"/>
  <c r="G23" i="4" s="1"/>
  <c r="C24" i="4"/>
  <c r="D24" i="4"/>
  <c r="E24" i="4"/>
  <c r="F24" i="4"/>
  <c r="G24" i="4" s="1"/>
  <c r="C25" i="4"/>
  <c r="D25" i="4"/>
  <c r="E25" i="4"/>
  <c r="F25" i="4"/>
  <c r="G25" i="4"/>
  <c r="C26" i="4"/>
  <c r="D26" i="4"/>
  <c r="E26" i="4"/>
  <c r="F26" i="4"/>
  <c r="G26" i="4" s="1"/>
  <c r="C27" i="4"/>
  <c r="D27" i="4"/>
  <c r="E27" i="4"/>
  <c r="F27" i="4"/>
  <c r="G27" i="4" s="1"/>
  <c r="C28" i="4"/>
  <c r="D28" i="4"/>
  <c r="E28" i="4"/>
  <c r="F28" i="4"/>
  <c r="G28" i="4"/>
  <c r="C29" i="4"/>
  <c r="D29" i="4"/>
  <c r="E29" i="4"/>
  <c r="F29" i="4"/>
  <c r="G29" i="4"/>
  <c r="C30" i="4"/>
  <c r="D30" i="4"/>
  <c r="E30" i="4"/>
  <c r="F30" i="4"/>
  <c r="G30" i="4" s="1"/>
  <c r="C31" i="4"/>
  <c r="D31" i="4"/>
  <c r="E31" i="4"/>
  <c r="F31" i="4"/>
  <c r="G31" i="4" s="1"/>
  <c r="C32" i="4"/>
  <c r="D32" i="4"/>
  <c r="E32" i="4"/>
  <c r="F32" i="4"/>
  <c r="G32" i="4" s="1"/>
  <c r="C33" i="4"/>
  <c r="D33" i="4"/>
  <c r="F33" i="4" s="1"/>
  <c r="G33" i="4" s="1"/>
  <c r="E33" i="4"/>
  <c r="C34" i="4"/>
  <c r="D34" i="4"/>
  <c r="E34" i="4"/>
  <c r="F34" i="4"/>
  <c r="G34" i="4" s="1"/>
  <c r="C35" i="4"/>
  <c r="D35" i="4"/>
  <c r="E35" i="4"/>
  <c r="F35" i="4"/>
  <c r="G35" i="4" s="1"/>
  <c r="C36" i="4"/>
  <c r="D36" i="4"/>
  <c r="E36" i="4"/>
  <c r="F36" i="4"/>
  <c r="G36" i="4"/>
  <c r="C37" i="4"/>
  <c r="D37" i="4"/>
  <c r="E37" i="4"/>
  <c r="F37" i="4"/>
  <c r="G37" i="4"/>
  <c r="C38" i="4"/>
  <c r="D38" i="4"/>
  <c r="E38" i="4"/>
  <c r="F38" i="4"/>
  <c r="G38" i="4" s="1"/>
  <c r="C39" i="4"/>
  <c r="D39" i="4"/>
  <c r="E39" i="4"/>
  <c r="F39" i="4"/>
  <c r="G39" i="4" s="1"/>
  <c r="C40" i="4"/>
  <c r="D40" i="4"/>
  <c r="E40" i="4"/>
  <c r="F40" i="4"/>
  <c r="G40" i="4" s="1"/>
  <c r="C41" i="4"/>
  <c r="D41" i="4"/>
  <c r="E41" i="4"/>
  <c r="F41" i="4"/>
  <c r="G41" i="4"/>
  <c r="C42" i="4"/>
  <c r="D42" i="4"/>
  <c r="E42" i="4"/>
  <c r="F42" i="4"/>
  <c r="G42" i="4" s="1"/>
  <c r="C43" i="4"/>
  <c r="D43" i="4"/>
  <c r="E43" i="4"/>
  <c r="F43" i="4"/>
  <c r="G43" i="4" s="1"/>
  <c r="C44" i="4"/>
  <c r="D44" i="4"/>
  <c r="E44" i="4"/>
  <c r="F44" i="4"/>
  <c r="G44" i="4"/>
  <c r="C45" i="4"/>
  <c r="D45" i="4"/>
  <c r="E45" i="4"/>
  <c r="F45" i="4"/>
  <c r="G45" i="4"/>
  <c r="C46" i="4"/>
  <c r="D46" i="4"/>
  <c r="E46" i="4"/>
  <c r="F46" i="4"/>
  <c r="G46" i="4" s="1"/>
  <c r="C47" i="4"/>
  <c r="D47" i="4"/>
  <c r="E47" i="4"/>
  <c r="F47" i="4"/>
  <c r="G47" i="4" s="1"/>
  <c r="C48" i="4"/>
  <c r="D48" i="4"/>
  <c r="E48" i="4"/>
  <c r="F48" i="4"/>
  <c r="G48" i="4" s="1"/>
  <c r="C49" i="4"/>
  <c r="D49" i="4"/>
  <c r="E49" i="4"/>
  <c r="F49" i="4"/>
  <c r="G49" i="4"/>
  <c r="C50" i="4"/>
  <c r="D50" i="4"/>
  <c r="E50" i="4"/>
  <c r="F50" i="4"/>
  <c r="G50" i="4" s="1"/>
  <c r="C51" i="4"/>
  <c r="D51" i="4"/>
  <c r="E51" i="4"/>
  <c r="F51" i="4"/>
  <c r="G51" i="4" s="1"/>
  <c r="C52" i="4"/>
  <c r="D52" i="4"/>
  <c r="E52" i="4"/>
  <c r="F52" i="4"/>
  <c r="G52" i="4"/>
  <c r="C53" i="4"/>
  <c r="D53" i="4"/>
  <c r="E53" i="4"/>
  <c r="F53" i="4"/>
  <c r="G53" i="4"/>
  <c r="C54" i="4"/>
  <c r="D54" i="4"/>
  <c r="E54" i="4"/>
  <c r="F54" i="4"/>
  <c r="G54" i="4" s="1"/>
  <c r="C55" i="4"/>
  <c r="D55" i="4"/>
  <c r="E55" i="4"/>
  <c r="F55" i="4"/>
  <c r="G55" i="4" s="1"/>
  <c r="C56" i="4"/>
  <c r="D56" i="4"/>
  <c r="E56" i="4"/>
  <c r="F56" i="4"/>
  <c r="G56" i="4" s="1"/>
  <c r="C57" i="4"/>
  <c r="D57" i="4"/>
  <c r="E57" i="4"/>
  <c r="F57" i="4"/>
  <c r="G57" i="4"/>
  <c r="C58" i="4"/>
  <c r="D58" i="4"/>
  <c r="E58" i="4"/>
  <c r="F58" i="4"/>
  <c r="G58" i="4" s="1"/>
  <c r="C59" i="4"/>
  <c r="D59" i="4"/>
  <c r="E59" i="4"/>
  <c r="F59" i="4"/>
  <c r="G59" i="4" s="1"/>
  <c r="C60" i="4"/>
  <c r="D60" i="4"/>
  <c r="E60" i="4"/>
  <c r="F60" i="4"/>
  <c r="G60" i="4"/>
  <c r="C61" i="4"/>
  <c r="D61" i="4"/>
  <c r="E61" i="4"/>
  <c r="F61" i="4"/>
  <c r="G61" i="4"/>
  <c r="C62" i="4"/>
  <c r="D62" i="4"/>
  <c r="E62" i="4"/>
  <c r="F62" i="4"/>
  <c r="G62" i="4" s="1"/>
  <c r="C63" i="4"/>
  <c r="D63" i="4"/>
  <c r="E63" i="4"/>
  <c r="F63" i="4"/>
  <c r="G63" i="4" s="1"/>
  <c r="C64" i="4"/>
  <c r="D64" i="4"/>
  <c r="E64" i="4"/>
  <c r="F64" i="4"/>
  <c r="G64" i="4" s="1"/>
  <c r="C65" i="4"/>
  <c r="D65" i="4"/>
  <c r="E65" i="4"/>
  <c r="F65" i="4"/>
  <c r="G65" i="4"/>
  <c r="C66" i="4"/>
  <c r="D66" i="4"/>
  <c r="E66" i="4"/>
  <c r="F66" i="4"/>
  <c r="G66" i="4" s="1"/>
  <c r="C2" i="6"/>
  <c r="D2" i="6"/>
  <c r="E2" i="6"/>
  <c r="F2" i="6"/>
  <c r="G2" i="6"/>
  <c r="C3" i="6"/>
  <c r="D3" i="6"/>
  <c r="E3" i="6"/>
  <c r="F3" i="6"/>
  <c r="G3" i="6" s="1"/>
  <c r="C4" i="6"/>
  <c r="D4" i="6"/>
  <c r="E4" i="6"/>
  <c r="F4" i="6"/>
  <c r="G4" i="6"/>
  <c r="C5" i="6"/>
  <c r="D5" i="6"/>
  <c r="E5" i="6"/>
  <c r="F5" i="6"/>
  <c r="G5" i="6"/>
  <c r="C6" i="6"/>
  <c r="D6" i="6"/>
  <c r="E6" i="6"/>
  <c r="F6" i="6"/>
  <c r="G6" i="6"/>
  <c r="C7" i="6"/>
  <c r="D7" i="6"/>
  <c r="E7" i="6"/>
  <c r="F7" i="6"/>
  <c r="G7" i="6"/>
  <c r="C8" i="6"/>
  <c r="D8" i="6"/>
  <c r="E8" i="6"/>
  <c r="F8" i="6"/>
  <c r="G8" i="6"/>
  <c r="C9" i="6"/>
  <c r="D9" i="6"/>
  <c r="E9" i="6"/>
  <c r="F9" i="6"/>
  <c r="G9" i="6"/>
  <c r="C10" i="6"/>
  <c r="D10" i="6"/>
  <c r="E10" i="6"/>
  <c r="F10" i="6"/>
  <c r="G10" i="6" s="1"/>
  <c r="C11" i="6"/>
  <c r="D11" i="6"/>
  <c r="E11" i="6"/>
  <c r="F11" i="6"/>
  <c r="G11" i="6"/>
  <c r="C12" i="6"/>
  <c r="D12" i="6"/>
  <c r="E12" i="6"/>
  <c r="F12" i="6"/>
  <c r="G12" i="6"/>
  <c r="C13" i="6"/>
  <c r="D13" i="6"/>
  <c r="E13" i="6"/>
  <c r="F13" i="6"/>
  <c r="G13" i="6"/>
  <c r="C14" i="6"/>
  <c r="D14" i="6"/>
  <c r="E14" i="6"/>
  <c r="F14" i="6" s="1"/>
  <c r="G14" i="6" s="1"/>
  <c r="C15" i="6"/>
  <c r="D15" i="6"/>
  <c r="E15" i="6"/>
  <c r="F15" i="6"/>
  <c r="G15" i="6" s="1"/>
  <c r="C16" i="6"/>
  <c r="D16" i="6"/>
  <c r="E16" i="6"/>
  <c r="F16" i="6"/>
  <c r="G16" i="6" s="1"/>
  <c r="C17" i="6"/>
  <c r="D17" i="6"/>
  <c r="E17" i="6"/>
  <c r="F17" i="6"/>
  <c r="G17" i="6"/>
  <c r="C18" i="6"/>
  <c r="D18" i="6"/>
  <c r="E18" i="6"/>
  <c r="F18" i="6"/>
  <c r="G18" i="6"/>
  <c r="C19" i="6"/>
  <c r="D19" i="6"/>
  <c r="E19" i="6"/>
  <c r="F19" i="6"/>
  <c r="G19" i="6"/>
  <c r="C20" i="6"/>
  <c r="D20" i="6"/>
  <c r="E20" i="6"/>
  <c r="F20" i="6"/>
  <c r="G20" i="6"/>
  <c r="C21" i="6"/>
  <c r="D21" i="6"/>
  <c r="E21" i="6"/>
  <c r="F21" i="6"/>
  <c r="G21" i="6"/>
  <c r="C22" i="6"/>
  <c r="D22" i="6"/>
  <c r="E22" i="6"/>
  <c r="F22" i="6"/>
  <c r="G22" i="6"/>
  <c r="C23" i="6"/>
  <c r="D23" i="6"/>
  <c r="E23" i="6"/>
  <c r="F23" i="6"/>
  <c r="G23" i="6" s="1"/>
  <c r="C24" i="6"/>
  <c r="D24" i="6"/>
  <c r="E24" i="6"/>
  <c r="F24" i="6"/>
  <c r="G24" i="6"/>
  <c r="C25" i="6"/>
  <c r="D25" i="6"/>
  <c r="E25" i="6"/>
  <c r="F25" i="6"/>
  <c r="G25" i="6"/>
  <c r="C26" i="6"/>
  <c r="D26" i="6"/>
  <c r="E26" i="6"/>
  <c r="F26" i="6"/>
  <c r="G26" i="6"/>
  <c r="C27" i="6"/>
  <c r="D27" i="6"/>
  <c r="E27" i="6"/>
  <c r="F27" i="6"/>
  <c r="G27" i="6" s="1"/>
  <c r="C28" i="6"/>
  <c r="D28" i="6"/>
  <c r="E28" i="6"/>
  <c r="F28" i="6"/>
  <c r="G28" i="6"/>
  <c r="C29" i="6"/>
  <c r="D29" i="6"/>
  <c r="E29" i="6"/>
  <c r="F29" i="6"/>
  <c r="G29" i="6"/>
  <c r="C30" i="6"/>
  <c r="D30" i="6"/>
  <c r="E30" i="6"/>
  <c r="F30" i="6"/>
  <c r="G30" i="6"/>
  <c r="C31" i="6"/>
  <c r="D31" i="6"/>
  <c r="E31" i="6"/>
  <c r="F31" i="6"/>
  <c r="G31" i="6" s="1"/>
  <c r="C32" i="6"/>
  <c r="D32" i="6"/>
  <c r="E32" i="6"/>
  <c r="F32" i="6"/>
  <c r="G32" i="6" s="1"/>
  <c r="C33" i="6"/>
  <c r="D33" i="6"/>
  <c r="E33" i="6"/>
  <c r="F33" i="6"/>
  <c r="G33" i="6"/>
  <c r="C34" i="6"/>
  <c r="D34" i="6"/>
  <c r="E34" i="6"/>
  <c r="F34" i="6"/>
  <c r="G34" i="6" s="1"/>
  <c r="C35" i="6"/>
  <c r="D35" i="6"/>
  <c r="E35" i="6"/>
  <c r="F35" i="6"/>
  <c r="G35" i="6" s="1"/>
  <c r="C36" i="6"/>
  <c r="D36" i="6"/>
  <c r="E36" i="6"/>
  <c r="F36" i="6"/>
  <c r="G36" i="6" s="1"/>
  <c r="C37" i="6"/>
  <c r="D37" i="6"/>
  <c r="E37" i="6"/>
  <c r="F37" i="6"/>
  <c r="G37" i="6"/>
  <c r="C38" i="6"/>
  <c r="D38" i="6"/>
  <c r="E38" i="6"/>
  <c r="F38" i="6"/>
  <c r="G38" i="6"/>
  <c r="C39" i="6"/>
  <c r="D39" i="6"/>
  <c r="E39" i="6"/>
  <c r="F39" i="6"/>
  <c r="G39" i="6" s="1"/>
  <c r="C40" i="6"/>
  <c r="D40" i="6"/>
  <c r="E40" i="6"/>
  <c r="F40" i="6"/>
  <c r="G40" i="6" s="1"/>
  <c r="C41" i="6"/>
  <c r="D41" i="6"/>
  <c r="E41" i="6"/>
  <c r="F41" i="6"/>
  <c r="G41" i="6"/>
  <c r="C42" i="6"/>
  <c r="D42" i="6"/>
  <c r="E42" i="6"/>
  <c r="F42" i="6"/>
  <c r="G42" i="6" s="1"/>
  <c r="C43" i="6"/>
  <c r="D43" i="6"/>
  <c r="E43" i="6"/>
  <c r="F43" i="6"/>
  <c r="G43" i="6" s="1"/>
  <c r="C44" i="6"/>
  <c r="D44" i="6"/>
  <c r="E44" i="6"/>
  <c r="F44" i="6"/>
  <c r="G44" i="6"/>
  <c r="C45" i="6"/>
  <c r="D45" i="6"/>
  <c r="E45" i="6"/>
  <c r="F45" i="6"/>
  <c r="G45" i="6"/>
  <c r="C46" i="6"/>
  <c r="D46" i="6"/>
  <c r="E46" i="6"/>
  <c r="F46" i="6"/>
  <c r="G46" i="6"/>
  <c r="C47" i="6"/>
  <c r="D47" i="6"/>
  <c r="E47" i="6"/>
  <c r="F47" i="6"/>
  <c r="G47" i="6"/>
  <c r="C48" i="6"/>
  <c r="D48" i="6"/>
  <c r="E48" i="6"/>
  <c r="F48" i="6"/>
  <c r="G48" i="6"/>
  <c r="C49" i="6"/>
  <c r="D49" i="6"/>
  <c r="E49" i="6"/>
  <c r="F49" i="6"/>
  <c r="G49" i="6"/>
  <c r="C50" i="6"/>
  <c r="D50" i="6"/>
  <c r="E50" i="6"/>
  <c r="F50" i="6"/>
  <c r="G50" i="6"/>
  <c r="C51" i="6"/>
  <c r="D51" i="6"/>
  <c r="E51" i="6"/>
  <c r="F51" i="6"/>
  <c r="G51" i="6"/>
  <c r="C52" i="6"/>
  <c r="D52" i="6"/>
  <c r="E52" i="6"/>
  <c r="F52" i="6"/>
  <c r="G52" i="6"/>
  <c r="C53" i="6"/>
  <c r="D53" i="6"/>
  <c r="E53" i="6"/>
  <c r="F53" i="6"/>
  <c r="G53" i="6"/>
  <c r="C54" i="6"/>
  <c r="D54" i="6"/>
  <c r="E54" i="6"/>
  <c r="F54" i="6"/>
  <c r="G54" i="6"/>
  <c r="L5" i="1"/>
  <c r="CB40" i="2" s="1"/>
  <c r="AN55" i="2"/>
  <c r="J5" i="6" l="1"/>
  <c r="M10" i="5"/>
  <c r="N8" i="5"/>
  <c r="N21" i="5"/>
  <c r="C10" i="10"/>
  <c r="M13" i="10"/>
  <c r="L10" i="10"/>
  <c r="L13" i="10"/>
  <c r="M8" i="10"/>
  <c r="L9" i="10"/>
  <c r="L12" i="1"/>
  <c r="CB47" i="2" s="1"/>
  <c r="L10" i="1"/>
  <c r="CB46" i="2" s="1"/>
  <c r="L8" i="1"/>
  <c r="CB44" i="2" s="1"/>
  <c r="L6" i="1"/>
  <c r="CB41" i="2" s="1"/>
  <c r="L4" i="1"/>
  <c r="Y5" i="2" s="1"/>
  <c r="L9" i="1"/>
  <c r="CB45" i="2" s="1"/>
  <c r="J4" i="6"/>
  <c r="J3" i="6"/>
  <c r="J8" i="6" s="1"/>
  <c r="D23" i="10"/>
  <c r="L15" i="10"/>
  <c r="M17" i="10" s="1"/>
  <c r="N12" i="5"/>
  <c r="I27" i="5" s="1"/>
  <c r="I23" i="5"/>
  <c r="CA8" i="2" s="1"/>
  <c r="M12" i="5"/>
  <c r="I24" i="5"/>
  <c r="I22" i="5"/>
  <c r="J7" i="6"/>
  <c r="J6" i="4" s="1"/>
  <c r="J4" i="4"/>
  <c r="BX9" i="2" s="1"/>
  <c r="J3" i="4"/>
  <c r="AQ6" i="2"/>
  <c r="AP55" i="2"/>
  <c r="M12" i="10"/>
  <c r="D25" i="10"/>
  <c r="AO55" i="2"/>
  <c r="M8" i="5"/>
  <c r="L12" i="10"/>
  <c r="D26" i="10"/>
  <c r="J6" i="6"/>
  <c r="J5" i="4" s="1"/>
  <c r="BX10" i="2" s="1"/>
  <c r="G3" i="10"/>
  <c r="D24" i="10"/>
  <c r="I25" i="5" l="1"/>
  <c r="CA10" i="2" s="1"/>
  <c r="C14" i="10"/>
  <c r="M21" i="5"/>
  <c r="I33" i="5"/>
  <c r="CD9" i="2" s="1"/>
  <c r="J2" i="4"/>
  <c r="I31" i="5" s="1"/>
  <c r="CD7" i="2" s="1"/>
  <c r="I26" i="5"/>
  <c r="CA11" i="2" s="1"/>
  <c r="CA9" i="2"/>
  <c r="CA7" i="2"/>
  <c r="I34" i="5"/>
  <c r="CD10" i="2" s="1"/>
  <c r="C13" i="10"/>
  <c r="M25" i="5" s="1"/>
  <c r="D11" i="10"/>
  <c r="N23" i="5" s="1"/>
  <c r="C12" i="10"/>
  <c r="M23" i="5" s="1"/>
  <c r="D13" i="10"/>
  <c r="N25" i="5" s="1"/>
  <c r="AQ55" i="2"/>
  <c r="AR6" i="2"/>
  <c r="I36" i="5"/>
  <c r="BX8" i="2"/>
  <c r="I32" i="5"/>
  <c r="CD8" i="2" s="1"/>
  <c r="BX7" i="2" l="1"/>
  <c r="J7" i="4"/>
  <c r="BX11" i="2" s="1"/>
  <c r="I35" i="5"/>
  <c r="CD11" i="2" s="1"/>
  <c r="C8" i="10"/>
  <c r="AR55" i="2"/>
  <c r="AS6" i="2"/>
  <c r="D8" i="10"/>
  <c r="AT6" i="2" l="1"/>
  <c r="AS55" i="2"/>
  <c r="AT55" i="2" l="1"/>
  <c r="AU6" i="2"/>
  <c r="AV6" i="2" l="1"/>
  <c r="AU55" i="2"/>
  <c r="AV55" i="2" l="1"/>
  <c r="AW6" i="2"/>
  <c r="AX6" i="2" l="1"/>
  <c r="AW55" i="2"/>
  <c r="AX55" i="2" l="1"/>
  <c r="AY6" i="2"/>
  <c r="AY55" i="2" l="1"/>
  <c r="AZ6" i="2"/>
  <c r="AZ55" i="2" l="1"/>
  <c r="BA6" i="2"/>
  <c r="BB6" i="2" l="1"/>
  <c r="BA55" i="2"/>
  <c r="BC6" i="2" l="1"/>
  <c r="BB55" i="2"/>
  <c r="BC55" i="2" l="1"/>
  <c r="BD6" i="2"/>
  <c r="BE6" i="2" l="1"/>
  <c r="BD55" i="2"/>
  <c r="BE55" i="2" l="1"/>
  <c r="BF6" i="2"/>
  <c r="BG6" i="2" l="1"/>
  <c r="BF55" i="2"/>
  <c r="BG55" i="2" l="1"/>
  <c r="BH6" i="2"/>
  <c r="BI6" i="2" l="1"/>
  <c r="BH55" i="2"/>
  <c r="BI55" i="2" l="1"/>
  <c r="BJ6" i="2"/>
  <c r="BK6" i="2" l="1"/>
  <c r="BJ55" i="2"/>
  <c r="BK55" i="2" l="1"/>
  <c r="BL6" i="2"/>
  <c r="BM6" i="2" l="1"/>
  <c r="BL55" i="2"/>
  <c r="BM55" i="2" l="1"/>
  <c r="BN6" i="2"/>
  <c r="BO6" i="2" l="1"/>
  <c r="BN55" i="2"/>
  <c r="BO55" i="2" l="1"/>
  <c r="BP6" i="2"/>
  <c r="BQ6" i="2" l="1"/>
  <c r="BP55" i="2"/>
  <c r="BQ55" i="2" l="1"/>
  <c r="BR6" i="2"/>
  <c r="BR55" i="2" s="1"/>
</calcChain>
</file>

<file path=xl/comments1.xml><?xml version="1.0" encoding="utf-8"?>
<comments xmlns="http://schemas.openxmlformats.org/spreadsheetml/2006/main">
  <authors>
    <author/>
  </authors>
  <commentList>
    <comment ref="E4" authorId="0" shapeId="0">
      <text>
        <r>
          <rPr>
            <b/>
            <sz val="8"/>
            <color indexed="8"/>
            <rFont val="Tahoma"/>
            <family val="2"/>
            <charset val="204"/>
          </rPr>
          <t>Заполнить обязательно
Формат
ДД.ММ.ГГ</t>
        </r>
      </text>
    </comment>
    <comment ref="E5" authorId="0" shapeId="0">
      <text>
        <r>
          <rPr>
            <b/>
            <sz val="8"/>
            <color indexed="8"/>
            <rFont val="Tahoma"/>
            <family val="2"/>
            <charset val="204"/>
          </rPr>
          <t xml:space="preserve">Формат
ДД.ММ.ГГ
</t>
        </r>
      </text>
    </comment>
    <comment ref="E6" authorId="0" shapeId="0">
      <text>
        <r>
          <rPr>
            <b/>
            <sz val="8"/>
            <color indexed="8"/>
            <rFont val="Tahoma"/>
            <family val="2"/>
            <charset val="204"/>
          </rPr>
          <t>Формат
ДД.ММ.ГГ</t>
        </r>
      </text>
    </comment>
    <comment ref="E7" authorId="0" shapeId="0">
      <text>
        <r>
          <rPr>
            <b/>
            <sz val="8"/>
            <color indexed="8"/>
            <rFont val="Tahoma"/>
            <family val="2"/>
            <charset val="204"/>
          </rPr>
          <t xml:space="preserve">Формат
ДД.ММ.ГГ
</t>
        </r>
      </text>
    </comment>
    <comment ref="E8" authorId="0" shapeId="0">
      <text>
        <r>
          <rPr>
            <b/>
            <sz val="8"/>
            <color indexed="8"/>
            <rFont val="Tahoma"/>
            <family val="2"/>
            <charset val="204"/>
          </rPr>
          <t>Формат
ДД.ММ.ГГ</t>
        </r>
      </text>
    </comment>
    <comment ref="E9" authorId="0" shapeId="0">
      <text>
        <r>
          <rPr>
            <b/>
            <sz val="8"/>
            <color indexed="8"/>
            <rFont val="Tahoma"/>
            <family val="2"/>
            <charset val="204"/>
          </rPr>
          <t>Формат
ДД.ММ.ГГ</t>
        </r>
      </text>
    </comment>
    <comment ref="E10" authorId="0" shapeId="0">
      <text>
        <r>
          <rPr>
            <b/>
            <sz val="8"/>
            <color indexed="8"/>
            <rFont val="Tahoma"/>
            <family val="2"/>
            <charset val="204"/>
          </rPr>
          <t>Формат
ДД.ММ.ГГ</t>
        </r>
      </text>
    </comment>
  </commentList>
</comments>
</file>

<file path=xl/comments2.xml><?xml version="1.0" encoding="utf-8"?>
<comments xmlns="http://schemas.openxmlformats.org/spreadsheetml/2006/main">
  <authors>
    <author/>
  </authors>
  <commentList>
    <comment ref="BS40" authorId="0" shapeId="0">
      <text>
        <r>
          <rPr>
            <b/>
            <sz val="8"/>
            <color indexed="8"/>
            <rFont val="Tahoma"/>
            <family val="2"/>
            <charset val="204"/>
          </rPr>
          <t>Заполняется автоматически!! Не трогать</t>
        </r>
      </text>
    </comment>
    <comment ref="BS41" authorId="0" shapeId="0">
      <text>
        <r>
          <rPr>
            <b/>
            <sz val="8"/>
            <color indexed="8"/>
            <rFont val="Tahoma"/>
            <family val="2"/>
            <charset val="204"/>
          </rPr>
          <t>Заполняется автоматически!! Не трогать</t>
        </r>
      </text>
    </comment>
    <comment ref="BS42" authorId="0" shapeId="0">
      <text>
        <r>
          <rPr>
            <b/>
            <sz val="8"/>
            <color indexed="8"/>
            <rFont val="Tahoma"/>
            <family val="2"/>
            <charset val="204"/>
          </rPr>
          <t>Заполняется автоматически!! Не трогать</t>
        </r>
      </text>
    </comment>
    <comment ref="BS44" authorId="0" shapeId="0">
      <text>
        <r>
          <rPr>
            <b/>
            <sz val="8"/>
            <color indexed="8"/>
            <rFont val="Tahoma"/>
            <family val="2"/>
            <charset val="204"/>
          </rPr>
          <t xml:space="preserve">Заполняется автоматически!! Не трогать
</t>
        </r>
      </text>
    </comment>
    <comment ref="BS45" authorId="0" shapeId="0">
      <text>
        <r>
          <rPr>
            <b/>
            <sz val="8"/>
            <color indexed="8"/>
            <rFont val="Tahoma"/>
            <family val="2"/>
            <charset val="204"/>
          </rPr>
          <t xml:space="preserve">Заполняется автоматически!! Не трогать
</t>
        </r>
      </text>
    </comment>
    <comment ref="BS46" authorId="0" shapeId="0">
      <text>
        <r>
          <rPr>
            <b/>
            <sz val="8"/>
            <color indexed="8"/>
            <rFont val="Tahoma"/>
            <family val="2"/>
            <charset val="204"/>
          </rPr>
          <t xml:space="preserve">Заполняется автоматически!! Не трогать
</t>
        </r>
      </text>
    </comment>
  </commentList>
</comments>
</file>

<file path=xl/comments3.xml><?xml version="1.0" encoding="utf-8"?>
<comments xmlns="http://schemas.openxmlformats.org/spreadsheetml/2006/main">
  <authors>
    <author> </author>
  </authors>
  <commentList>
    <comment ref="G31" authorId="0" shapeId="0">
      <text>
        <r>
          <rPr>
            <b/>
            <sz val="9"/>
            <color indexed="81"/>
            <rFont val="Tahoma"/>
            <charset val="1"/>
          </rPr>
          <t> :</t>
        </r>
        <r>
          <rPr>
            <sz val="9"/>
            <color indexed="81"/>
            <rFont val="Tahoma"/>
            <charset val="1"/>
          </rPr>
          <t xml:space="preserve">
Недоношенные новорожденные:
1-3 дня - 14 ± 5
4-8 дней - 44,3 ± 9,3
8-14 дней - 35,4 ± 13,4
1,5-4 месяца - 67,4 ± 16,6
Доношенные новорожденные:
1-3 дня - 20,8 ± 5
3-4 дня - 39 ± 15,1
4-14 дней - 36,8 ± 7,2
15-19 дней - 46,9 ± 12,5
1-3 месяца - 85,3 ± 35,1
4-6 месяцев - 87,4 ± 22,3
7-12 месяцев - 96,2 ± 12,2
1-2 года - 105,2 ± 17,3
Дети:
3-4 года - 111,2 ± 18,5
5-6 лет - 114,1 ± 18,6
7-8 лет - 111,3 ± 18,3
9-10 лет - 110 ± 21,6
11-12 лет - 116,4 ± 18,9
13,15 лет - 117,2 ± 16,1
Молодые взрослые:
16,2-34 года - 112 ± 13</t>
        </r>
      </text>
    </comment>
    <comment ref="E33" authorId="0" shapeId="0">
      <text>
        <r>
          <rPr>
            <b/>
            <sz val="9"/>
            <color indexed="81"/>
            <rFont val="Tahoma"/>
            <charset val="1"/>
          </rPr>
          <t> :</t>
        </r>
        <r>
          <rPr>
            <sz val="9"/>
            <color indexed="81"/>
            <rFont val="Tahoma"/>
            <charset val="1"/>
          </rPr>
          <t xml:space="preserve">
0,33 - недоношенные новорожденные до 2 лет
0,45 - доношенные новорожденные до 2 лет
0,55 - дети 2-14 лет, девочки старше 14 лет
0,7 - мальчики старше 14 лет</t>
        </r>
      </text>
    </comment>
    <comment ref="H36" authorId="0" shapeId="0">
      <text>
        <r>
          <rPr>
            <b/>
            <sz val="9"/>
            <color indexed="81"/>
            <rFont val="Tahoma"/>
            <charset val="1"/>
          </rPr>
          <t> :</t>
        </r>
        <r>
          <rPr>
            <sz val="9"/>
            <color indexed="81"/>
            <rFont val="Tahoma"/>
            <charset val="1"/>
          </rPr>
          <t xml:space="preserve">
Недоношенные новорожденные:
1-3 дня - 14 ± 5
4-8 дней - 44,3 ± 9,3
8-14 дней - 35,4 ± 13,4
1,5-4 месяца - 67,4 ± 16,6
Доношенные новорожденные:
1-3 дня - 20,8 ± 5
3-4 дня - 39 ± 15,1
4-14 дней - 36,8 ± 7,2
15-19 дней - 46,9 ± 12,5
1-3 месяца - 85,3 ± 35,1
4-6 месяцев - 87,4 ± 22,3
7-12 месяцев - 96,2 ± 12,2
1-2 года - 105,2 ± 17,3
Дети:
3-4 года - 111,2 ± 18,5
5-6 лет - 114,1 ± 18,6
7-8 лет - 111,3 ± 18,3
9-10 лет - 110 ± 21,6
11-12 лет - 116,4 ± 18,9
13,15 лет - 117,2 ± 16,1
Молодые взрослые:
16,2-34 года - 112 ± 13</t>
        </r>
      </text>
    </comment>
  </commentList>
</comments>
</file>

<file path=xl/sharedStrings.xml><?xml version="1.0" encoding="utf-8"?>
<sst xmlns="http://schemas.openxmlformats.org/spreadsheetml/2006/main" count="489" uniqueCount="414">
  <si>
    <t xml:space="preserve"> ВНИМАНИЕ!</t>
  </si>
  <si>
    <t>Дата поступления в ГНОКБ</t>
  </si>
  <si>
    <t>Дата рождения</t>
  </si>
  <si>
    <t>Сутки</t>
  </si>
  <si>
    <t>Сутки2</t>
  </si>
  <si>
    <t>1. Очистите поле кнопкой Очистить.</t>
  </si>
  <si>
    <t>Дата поступления в ОРИТ</t>
  </si>
  <si>
    <t>2. Измените стартовое время.</t>
  </si>
  <si>
    <t>Дата трахеальная трубка</t>
  </si>
  <si>
    <t>Если устройства нет, или удалено оставьте поле пустым</t>
  </si>
  <si>
    <t>3. Расставьте точки (точку скопировать из поля под кнопкой Очистить)</t>
  </si>
  <si>
    <t>Дата трахеостома</t>
  </si>
  <si>
    <t>4. Расставьте линии (крыжики под картой, линия появляется справа)</t>
  </si>
  <si>
    <t>Дата CVC</t>
  </si>
  <si>
    <t xml:space="preserve">5. Печать ТОЛЬКО кнопкой ПЕЧАТЬ справа от Очистить (иначе напечатает кучу лишних листов с кнопками) </t>
  </si>
  <si>
    <t>Дата уретральный катетер</t>
  </si>
  <si>
    <t>Дата НГЗ</t>
  </si>
  <si>
    <t>Дата НИЗ</t>
  </si>
  <si>
    <t>дополнительные устройства</t>
  </si>
  <si>
    <t>Двухпросветный катетер</t>
  </si>
  <si>
    <t>Дата начала листа</t>
  </si>
  <si>
    <t>Дата лист закончен</t>
  </si>
  <si>
    <t>ОБЯЗАТЕЛЬНО ЗАПОЛНИТЬ!!!!!!! Формат  ДД.ММ.ГГ</t>
  </si>
  <si>
    <t>ОЧИСТКА ПОЛЕЙ КЛАВИШЕЙ  Delete</t>
  </si>
  <si>
    <t>Диагноз</t>
  </si>
  <si>
    <t>муж</t>
  </si>
  <si>
    <t>Пол (м,ж)</t>
  </si>
  <si>
    <t>жен</t>
  </si>
  <si>
    <t>№ мед.карты</t>
  </si>
  <si>
    <t>Фамилия</t>
  </si>
  <si>
    <t>Лекарственная непереносимость:</t>
  </si>
  <si>
    <t>№ отделения</t>
  </si>
  <si>
    <t>Имя</t>
  </si>
  <si>
    <t>Дата</t>
  </si>
  <si>
    <t>-</t>
  </si>
  <si>
    <t>Отчество</t>
  </si>
  <si>
    <t>Группа крови</t>
  </si>
  <si>
    <t>Инфекции:</t>
  </si>
  <si>
    <t>Кол-во суток в отд.</t>
  </si>
  <si>
    <t>Возраст</t>
  </si>
  <si>
    <t>Rh фактор</t>
  </si>
  <si>
    <t xml:space="preserve">Особые отметки:  </t>
  </si>
  <si>
    <t>N</t>
  </si>
  <si>
    <t>Назначения</t>
  </si>
  <si>
    <t>Нутриенты</t>
  </si>
  <si>
    <t>энтерал</t>
  </si>
  <si>
    <t>парэнт</t>
  </si>
  <si>
    <t>общ. кол-во</t>
  </si>
  <si>
    <t>Белок (г/сут, г/кг)</t>
  </si>
  <si>
    <t>Углеводы (г/сут, г/кг)</t>
  </si>
  <si>
    <t>Жиры(г/сут, г/кг)</t>
  </si>
  <si>
    <t>Ккал/сут, ккал/кг</t>
  </si>
  <si>
    <t>Метабол. соотношение</t>
  </si>
  <si>
    <t>Оценка по шкалам</t>
  </si>
  <si>
    <t>Время оценки</t>
  </si>
  <si>
    <t>CRIB (возраст 12 часов)</t>
  </si>
  <si>
    <t>Глазго для младенцев</t>
  </si>
  <si>
    <t>Сильверман (→ респ терапия)</t>
  </si>
  <si>
    <t>Диагностические и лечебные процедуры</t>
  </si>
  <si>
    <t>Вид</t>
  </si>
  <si>
    <t>Область</t>
  </si>
  <si>
    <t>R-графия</t>
  </si>
  <si>
    <t>Томография</t>
  </si>
  <si>
    <t>УЗИ:</t>
  </si>
  <si>
    <r>
      <rPr>
        <sz val="11"/>
        <rFont val="Times New Roman"/>
        <family val="1"/>
        <charset val="204"/>
      </rPr>
      <t xml:space="preserve">1. АД 1 ( мм рт. ст.)                                    </t>
    </r>
    <r>
      <rPr>
        <b/>
        <sz val="11"/>
        <rFont val="Times New Roman"/>
        <family val="1"/>
        <charset val="204"/>
      </rPr>
      <t>систолическое</t>
    </r>
  </si>
  <si>
    <r>
      <rPr>
        <sz val="11"/>
        <rFont val="Times New Roman"/>
        <family val="1"/>
        <charset val="204"/>
      </rPr>
      <t xml:space="preserve">                                                                    </t>
    </r>
    <r>
      <rPr>
        <i/>
        <sz val="11"/>
        <rFont val="Times New Roman"/>
        <family val="1"/>
        <charset val="204"/>
      </rPr>
      <t xml:space="preserve"> </t>
    </r>
    <r>
      <rPr>
        <b/>
        <sz val="11"/>
        <rFont val="Times New Roman"/>
        <family val="1"/>
        <charset val="204"/>
      </rPr>
      <t>диастолическое</t>
    </r>
  </si>
  <si>
    <t>Пункции:</t>
  </si>
  <si>
    <t>Эндоскоп. методы</t>
  </si>
  <si>
    <t>Длина катетера      см</t>
  </si>
  <si>
    <t>2. ЧСС/Пульс в минуту</t>
  </si>
  <si>
    <t>Экстракорп. методы</t>
  </si>
  <si>
    <t>3. ЦВД (мм водн. ст.)</t>
  </si>
  <si>
    <t xml:space="preserve">4. Температура Т1 кожная / Т2__________________ </t>
  </si>
  <si>
    <t>Инвазивные устройства</t>
  </si>
  <si>
    <t>Сутки установки</t>
  </si>
  <si>
    <r>
      <rPr>
        <sz val="11"/>
        <rFont val="Times New Roman"/>
        <family val="1"/>
        <charset val="204"/>
      </rPr>
      <t>5. SpO</t>
    </r>
    <r>
      <rPr>
        <vertAlign val="subscript"/>
        <sz val="11"/>
        <rFont val="Times New Roman"/>
        <family val="1"/>
        <charset val="204"/>
      </rPr>
      <t xml:space="preserve">2 </t>
    </r>
    <r>
      <rPr>
        <sz val="11"/>
        <rFont val="Times New Roman"/>
        <family val="1"/>
        <charset val="204"/>
      </rPr>
      <t xml:space="preserve">(%)  </t>
    </r>
  </si>
  <si>
    <t>6. etCO2 (мм.рт.ст.)</t>
  </si>
  <si>
    <t>Трахеальная трубка</t>
  </si>
  <si>
    <t>7. ИВЛ (режим)</t>
  </si>
  <si>
    <t>Трахеостомическая трубка</t>
  </si>
  <si>
    <t>8. MV</t>
  </si>
  <si>
    <t>Венозный катетер:</t>
  </si>
  <si>
    <t xml:space="preserve">9. F /ЧДД </t>
  </si>
  <si>
    <t>Периферический катетер</t>
  </si>
  <si>
    <t>10. Peak / PEEP</t>
  </si>
  <si>
    <t>Уретральный катетер</t>
  </si>
  <si>
    <r>
      <rPr>
        <sz val="11"/>
        <rFont val="Times New Roman"/>
        <family val="1"/>
        <charset val="204"/>
      </rPr>
      <t>11. FiO</t>
    </r>
    <r>
      <rPr>
        <vertAlign val="subscript"/>
        <sz val="11"/>
        <rFont val="Times New Roman"/>
        <family val="1"/>
        <charset val="204"/>
      </rPr>
      <t xml:space="preserve">2 </t>
    </r>
    <r>
      <rPr>
        <sz val="11"/>
        <rFont val="Times New Roman"/>
        <family val="1"/>
        <charset val="204"/>
      </rPr>
      <t>(%)_______ / O2 (л/мин)_______</t>
    </r>
  </si>
  <si>
    <t>Желудочный зонд</t>
  </si>
  <si>
    <t>12. В/венно (мл)</t>
  </si>
  <si>
    <t>Кишечный зонд</t>
  </si>
  <si>
    <t>13. В зонд /per os (мл)</t>
  </si>
  <si>
    <t>14. Измеряемые потери: диурез (мл)</t>
  </si>
  <si>
    <t>Исслед.материал</t>
  </si>
  <si>
    <t>Вид исслед.</t>
  </si>
  <si>
    <r>
      <rPr>
        <sz val="11"/>
        <rFont val="Times New Roman"/>
        <family val="1"/>
        <charset val="204"/>
      </rPr>
      <t xml:space="preserve">                                           стул  (+, </t>
    </r>
    <r>
      <rPr>
        <i/>
        <sz val="11"/>
        <rFont val="Times New Roman"/>
        <family val="1"/>
        <charset val="204"/>
      </rPr>
      <t>указать изменения</t>
    </r>
    <r>
      <rPr>
        <sz val="11"/>
        <rFont val="Times New Roman"/>
        <family val="1"/>
        <charset val="204"/>
      </rPr>
      <t>)</t>
    </r>
  </si>
  <si>
    <t xml:space="preserve">                                           рвота (+, мл)</t>
  </si>
  <si>
    <t xml:space="preserve">   уретральный катетер</t>
  </si>
  <si>
    <r>
      <rPr>
        <b/>
        <sz val="9"/>
        <rFont val="Times New Roman"/>
        <family val="1"/>
        <charset val="204"/>
      </rPr>
      <t>Врач</t>
    </r>
    <r>
      <rPr>
        <sz val="9"/>
        <rFont val="Times New Roman"/>
        <family val="1"/>
        <charset val="204"/>
      </rPr>
      <t xml:space="preserve"> (подпись)</t>
    </r>
  </si>
  <si>
    <t>●</t>
  </si>
  <si>
    <t>Дополнительные назначения</t>
  </si>
  <si>
    <t>Время</t>
  </si>
  <si>
    <t xml:space="preserve">  Врач      (фамилия, подпись)</t>
  </si>
  <si>
    <t xml:space="preserve">Мед. сестра (фамилия, подпись) </t>
  </si>
  <si>
    <t>СМЕСЬ</t>
  </si>
  <si>
    <t>р-р, мл</t>
  </si>
  <si>
    <t>белок, г</t>
  </si>
  <si>
    <t>углеводы, г</t>
  </si>
  <si>
    <t>жиры, г</t>
  </si>
  <si>
    <t>ккал</t>
  </si>
  <si>
    <t>небелковые ккал</t>
  </si>
  <si>
    <t>Сухой смеси</t>
  </si>
  <si>
    <t>Итого энтерально</t>
  </si>
  <si>
    <t>Нутризон</t>
  </si>
  <si>
    <t>Белок</t>
  </si>
  <si>
    <t>Нутризон Энергия с пищевыми волокнами</t>
  </si>
  <si>
    <t>Углеводы</t>
  </si>
  <si>
    <t>Нутризон Эдванст Пептисорб</t>
  </si>
  <si>
    <t>Жиры</t>
  </si>
  <si>
    <t>Нутризон Энергия</t>
  </si>
  <si>
    <t>Ккал</t>
  </si>
  <si>
    <t>Нутризон с пищевыми волокнами (Multi Fibre)</t>
  </si>
  <si>
    <t>Нутризон Эдванст Диазон</t>
  </si>
  <si>
    <t>Небелковые:азот</t>
  </si>
  <si>
    <t>Нутризон Эдванст Протизон</t>
  </si>
  <si>
    <t>Стрессон</t>
  </si>
  <si>
    <t>Нутридринк</t>
  </si>
  <si>
    <t>Нутридринк Эдванс Нутризон</t>
  </si>
  <si>
    <t>Ренилон</t>
  </si>
  <si>
    <t>Нутридринк Компакт Протеин</t>
  </si>
  <si>
    <t>Нутридринк Компакт с пищевыми волокнами</t>
  </si>
  <si>
    <t>Фортикер</t>
  </si>
  <si>
    <t>Нутрикомп Стандарт Ликвид</t>
  </si>
  <si>
    <t>Нутрикомп Энергия Файбер Ликвид</t>
  </si>
  <si>
    <t>Нутрикомп Диабет Ликвид</t>
  </si>
  <si>
    <t>Нутрикомп Файбер Ликвид</t>
  </si>
  <si>
    <t>Нутрикомп Гепа Ликвид</t>
  </si>
  <si>
    <t>Нутрикомп Имунный Ликвид</t>
  </si>
  <si>
    <t>Нутрикомп Пептид Ликвид</t>
  </si>
  <si>
    <t>Нутрикомп Ренал 1:1</t>
  </si>
  <si>
    <t>Нутрикомп Ренал 1:1,25</t>
  </si>
  <si>
    <t>Нутрикомп Ренал 1:1,5</t>
  </si>
  <si>
    <t>Фрезубин Оригинал</t>
  </si>
  <si>
    <t>Фрезубин Оригинал с пищевыми волокнами</t>
  </si>
  <si>
    <t>Фрезубин Энергия с Пищевыми Волокнами</t>
  </si>
  <si>
    <t>Фрезубин ВП Энергия</t>
  </si>
  <si>
    <t>Фрезубин Энергия Напиток</t>
  </si>
  <si>
    <t>Суппортан</t>
  </si>
  <si>
    <t>Суппортан Напиток</t>
  </si>
  <si>
    <t>Глюкоза 20%</t>
  </si>
  <si>
    <t>Интестамин</t>
  </si>
  <si>
    <t>Нутриэн Стандарт</t>
  </si>
  <si>
    <t>Нутриэн Стандарт с волокнами</t>
  </si>
  <si>
    <t>Нутриэн Элементаль</t>
  </si>
  <si>
    <t>Нутриэн Диабет</t>
  </si>
  <si>
    <t>Нутриэн Нефро</t>
  </si>
  <si>
    <t>Нутриэн Гепа</t>
  </si>
  <si>
    <t>Нутриэн Пульмо</t>
  </si>
  <si>
    <t>Нутриэн Фтизио</t>
  </si>
  <si>
    <t>Нутриэн Иммун</t>
  </si>
  <si>
    <t>Нутриэн Остео</t>
  </si>
  <si>
    <t>Оксепа</t>
  </si>
  <si>
    <t xml:space="preserve">Осмолайт </t>
  </si>
  <si>
    <t>Perative</t>
  </si>
  <si>
    <t>Pivot 1,5 Cal</t>
  </si>
  <si>
    <t>Optimental</t>
  </si>
  <si>
    <t>Ensure</t>
  </si>
  <si>
    <t>Ensure Plus</t>
  </si>
  <si>
    <t>Ensure High Protein</t>
  </si>
  <si>
    <t>Ensure Bone Health</t>
  </si>
  <si>
    <t>Ensure Clinical Strenght</t>
  </si>
  <si>
    <t>Ensure Immune Health</t>
  </si>
  <si>
    <t>Ensure Muscle Health</t>
  </si>
  <si>
    <t>Ensure Powder</t>
  </si>
  <si>
    <t>Glucerna 1.0 Cal</t>
  </si>
  <si>
    <t>Glucerna Shake</t>
  </si>
  <si>
    <t>Glucerna 1.2 Cal</t>
  </si>
  <si>
    <t>Glucerna 1.5 Cal</t>
  </si>
  <si>
    <t>Enlive</t>
  </si>
  <si>
    <t>Nepro with CarbSteady</t>
  </si>
  <si>
    <t>Sulpena with CarbSteady</t>
  </si>
  <si>
    <t>Vital HN</t>
  </si>
  <si>
    <t>ProMod</t>
  </si>
  <si>
    <t>Аминокислоты</t>
  </si>
  <si>
    <t>Энергия, ккал</t>
  </si>
  <si>
    <t>Мешки 2-х компонентные</t>
  </si>
  <si>
    <t>белок,г</t>
  </si>
  <si>
    <t>глюкоза,г</t>
  </si>
  <si>
    <t>Аминоплазмаль Е 5%</t>
  </si>
  <si>
    <t>Нутрифлекс 40/80</t>
  </si>
  <si>
    <t>Аминоплазмаль Е 10%</t>
  </si>
  <si>
    <t>Нутрифлекс 48/150</t>
  </si>
  <si>
    <t>Аминоплазмаль Е 15%</t>
  </si>
  <si>
    <t>Нутрифлекс 70/240</t>
  </si>
  <si>
    <t>Аминоплазмаль Гепа 10%</t>
  </si>
  <si>
    <t>Аминосол Нео 10%</t>
  </si>
  <si>
    <t>Аминосол Нео 15%</t>
  </si>
  <si>
    <t>Мешки 3-х компонентные</t>
  </si>
  <si>
    <t>жиры,г</t>
  </si>
  <si>
    <t>небелковые, ккал</t>
  </si>
  <si>
    <t>Аминосол Нео Е 10%</t>
  </si>
  <si>
    <t>Нутрифлекс 40/80 Липид</t>
  </si>
  <si>
    <t>Аминовен 5%</t>
  </si>
  <si>
    <t>Нутрифлекс 40/80 Липид без жира</t>
  </si>
  <si>
    <t>Аминовен 10%</t>
  </si>
  <si>
    <t>Нутрифлекс 48/150 Липид</t>
  </si>
  <si>
    <t>Аминовен 15%</t>
  </si>
  <si>
    <t>Нутрифлекс 48/150 Липид без жира</t>
  </si>
  <si>
    <t>Аминовен Инфант 6%</t>
  </si>
  <si>
    <t>Нутрифлекс 70/180 Липид</t>
  </si>
  <si>
    <t>Аминовен Инфант 10%</t>
  </si>
  <si>
    <t>Нутрифлекс 70/180 Липид без жира</t>
  </si>
  <si>
    <t>Аминостерил КЕ 10%</t>
  </si>
  <si>
    <t>СМОФКабивен (центральный)</t>
  </si>
  <si>
    <t>Аминостерил Гепа 8%</t>
  </si>
  <si>
    <t>СМОФКабивен периферический</t>
  </si>
  <si>
    <t>Аминостерил КЕ Нефро 6,7%</t>
  </si>
  <si>
    <t>Кабивен центральный</t>
  </si>
  <si>
    <t>Инфезол 40</t>
  </si>
  <si>
    <t>Кабивен периферический</t>
  </si>
  <si>
    <t>Инфезол 100</t>
  </si>
  <si>
    <t>ИТОГО ПАРЕНТЕРАЛЬНО</t>
  </si>
  <si>
    <t>глюкоза, г</t>
  </si>
  <si>
    <t>Глюкоза 10%</t>
  </si>
  <si>
    <t>Глюкоза 40%</t>
  </si>
  <si>
    <t>Белок:небелковые калории</t>
  </si>
  <si>
    <t>Липиды</t>
  </si>
  <si>
    <t>Жиры, г</t>
  </si>
  <si>
    <t>Небелковые ккал</t>
  </si>
  <si>
    <t>Липофундин 10%</t>
  </si>
  <si>
    <t>Липофундин 20%</t>
  </si>
  <si>
    <t>Липоплюс 20%</t>
  </si>
  <si>
    <t>Суммарный Нутритив</t>
  </si>
  <si>
    <t>Пропофол Липуро 1%</t>
  </si>
  <si>
    <t>Интралипид 20%</t>
  </si>
  <si>
    <t>СМОФлипид 20%</t>
  </si>
  <si>
    <t>Омегавен</t>
  </si>
  <si>
    <t>Нутриэн Юниор</t>
  </si>
  <si>
    <t>Альфаре</t>
  </si>
  <si>
    <t>Малютка 1</t>
  </si>
  <si>
    <t>Малютка 2</t>
  </si>
  <si>
    <t>Малютка 3</t>
  </si>
  <si>
    <t>НАН 1</t>
  </si>
  <si>
    <t>НАН 2</t>
  </si>
  <si>
    <t>НАН 3</t>
  </si>
  <si>
    <t>НАН безлактозный</t>
  </si>
  <si>
    <t>НАН гипоаллергенный 1</t>
  </si>
  <si>
    <t>НАН гипоаллергенный 2?</t>
  </si>
  <si>
    <t>Нестожен 1</t>
  </si>
  <si>
    <t>Нестожен 2</t>
  </si>
  <si>
    <t>Нутрилон Пре 0 жидкий</t>
  </si>
  <si>
    <t>Нутрилон Пре 1</t>
  </si>
  <si>
    <t>Нутрилон 1</t>
  </si>
  <si>
    <t>Нутрилон 2</t>
  </si>
  <si>
    <t>Нутрилон 3</t>
  </si>
  <si>
    <t>Нутрилон-антирефлюкс</t>
  </si>
  <si>
    <t>Нутрилон гипоаллергенный 1</t>
  </si>
  <si>
    <t>Нутрилон гипоаллергенный 2</t>
  </si>
  <si>
    <t>Нутрилон Комфорт 1</t>
  </si>
  <si>
    <t>Нутрилон Комфорт 2</t>
  </si>
  <si>
    <t>Нутрилон низколактозный</t>
  </si>
  <si>
    <t>Нутрилон Пепти ТСЦ</t>
  </si>
  <si>
    <t>Нутрилон Без лактозный</t>
  </si>
  <si>
    <t>Нутрилон Соя</t>
  </si>
  <si>
    <t>Инфатрини</t>
  </si>
  <si>
    <t>Нутрини</t>
  </si>
  <si>
    <t>Нутрини с пищевыми волокнами</t>
  </si>
  <si>
    <t>Нутрини Энергия</t>
  </si>
  <si>
    <t>НутриниДринк с пищевыми волокнами</t>
  </si>
  <si>
    <t>Пре Нан 0</t>
  </si>
  <si>
    <t>Пре Нан</t>
  </si>
  <si>
    <t>Симилак особая забота протеин +</t>
  </si>
  <si>
    <t>Симилак Неошур</t>
  </si>
  <si>
    <t>Симилак 1 Гипоаллергенный</t>
  </si>
  <si>
    <t>Симилак Антирефлюкс</t>
  </si>
  <si>
    <t>Неокейт LCP</t>
  </si>
  <si>
    <t>Неокейт Эдванс</t>
  </si>
  <si>
    <t>Пептикейт</t>
  </si>
  <si>
    <t>Фрисовом 1</t>
  </si>
  <si>
    <t>Фрисовом 2</t>
  </si>
  <si>
    <t>Фрисолак 1             0-6 мес</t>
  </si>
  <si>
    <t>Фрисолак 2             6-12 мес</t>
  </si>
  <si>
    <t>Фрисолак 3             1-3 года</t>
  </si>
  <si>
    <t>Фрисолак гипоаллергенный 1</t>
  </si>
  <si>
    <t>Фрисолак гипоаллергенный 2</t>
  </si>
  <si>
    <t>Фрисопеп (Фрисопеп АС)</t>
  </si>
  <si>
    <t>Фрисо Пре 80 ккал/1мл</t>
  </si>
  <si>
    <t>Фрисо Пре 105 ккал/1мл</t>
  </si>
  <si>
    <t>EleCare</t>
  </si>
  <si>
    <t>Vital jr.</t>
  </si>
  <si>
    <t>Лист врачебных назначений</t>
  </si>
  <si>
    <t>ФИО</t>
  </si>
  <si>
    <t>ИБ №</t>
  </si>
  <si>
    <t>Биохимия</t>
  </si>
  <si>
    <t>Гемостаз плановый</t>
  </si>
  <si>
    <t>Гемостаз экстренный</t>
  </si>
  <si>
    <t>TORCH</t>
  </si>
  <si>
    <t>Гепатиты, RW</t>
  </si>
  <si>
    <t>ВИЧ</t>
  </si>
  <si>
    <t>ОАМ</t>
  </si>
  <si>
    <t>Моча по Нечипоренко</t>
  </si>
  <si>
    <t>Копрограмма</t>
  </si>
  <si>
    <t>Кал на УПФ + посев</t>
  </si>
  <si>
    <t>Кал на диз. Группу</t>
  </si>
  <si>
    <t>Посев мочи</t>
  </si>
  <si>
    <t>Посев ПВБ</t>
  </si>
  <si>
    <t>Посев крови</t>
  </si>
  <si>
    <t>Посев ликвора</t>
  </si>
  <si>
    <t>Неонатальный скрининг</t>
  </si>
  <si>
    <t>ПЦР крови (возбудитель)</t>
  </si>
  <si>
    <t>ПЦР мочи (возбудитель)</t>
  </si>
  <si>
    <t>ПЦР слюны (возбудитель)</t>
  </si>
  <si>
    <t>ПЦР мокроты (возбудитель)</t>
  </si>
  <si>
    <t>ПЦР ликвора (возбудитель)</t>
  </si>
  <si>
    <t xml:space="preserve">Кариотип
</t>
  </si>
  <si>
    <t>Д.р.</t>
  </si>
  <si>
    <t>Д.п.</t>
  </si>
  <si>
    <t>№ ИБ</t>
  </si>
  <si>
    <t xml:space="preserve">Приложение № 1
к приказу ГБУЗ НСО 
«Государственная Новосибирская
областная клиническая больница»
от 10.03.2017 г. № 229
</t>
  </si>
  <si>
    <t xml:space="preserve">ИНФОРМИРОВАННОЕ СОГЛАСИЕ
НА ПРОВЕДЕНИЕ ОБСЛЕДОВАНИЯ НА ВИЧ-ИНФЕКЦИЮ
</t>
  </si>
  <si>
    <t xml:space="preserve">Я, _________________________________________________________________________________________________
(фамилия, имя, отчество пациента) 
___________________________________________________________________________________________________,
(фамилия, имя, отчество законного представителя пациента)
представляющий (-ая) интересы пациента ______________________________________________________________,
                                                                                                   (фамилия, имя, отчество)
___________________________,    
(дата рождения пациента)
</t>
  </si>
  <si>
    <t xml:space="preserve">Настоящим подтверждаю, что на основании предоставленной мне информации, свободно и без принуждения, отдавая отчет о последствиях обследования, принял решение пройти (провести моему представляемому) тестирование на антитела к ВИЧ. Для этой цели я соглашаюсь сдать (выполнить) анализ крови объемом около 5 мл. В процессе забора крови, как правило, будет необходим один укол иглой. Эта процедура может быть связана с некоторым дискомфортом, включая возможное проявление кровоподтека на месте укола.
Я подтверждаю, что мне разъяснено, почему важно пройти тестирование на ВИЧ, как проводится тест и какие последствия может иметь тестирование на ВИЧ.
Я проинформирован, что:
- Тестирование на ВИЧ можно пройти в Центре СПИД и других медицинских учреждениях, тестирование по добровольному выбору освидетельствуемого лица может быть добровольным анонимным (когда не нужно сообщать свое имя и персональные данные, а результат только обследуемый может узнать по коду) или конфиденциальным (в этом случае тестирование проводится по документу, удостоверяющему личность, и результат будет известен обследуемому и лечащему врачу). В государственных медицинских учреждениях тестирование на ВИЧ проводится бесплатно.
- Результаты обследования крови на антитела к ВИЧ могут быть положительными (антитела к ВИЧ обнаружены), отрицательными (антитела к ВИЧ не обнаружены, результаты «негативные») или неопределенными.
- При обнаружении антител к ВИЧ, человек, у которого они выявлены, считается «ВИЧ-положительным» или «ВИЧ-позитивным» и от него может произойти заражение другого лица. Обнаружение антител к ВИЧ накладывает на человека определенные обязательства по предупреждению возможного заражения других лиц. 
- В случае «неопределенных» результатов обследования, обследуемому назначаются повторные обследования крови на антитела к ВИЧ или другие необходимые исследования. Человек с неопределенными результатами обследования так же должен принимать меры предосторожности, чтобы не допустить заражение других лиц. 
- Если антитела к ВИЧ не обнаружены, то вероятно, человек не инфицирован ВИЧ. Однако существует периода «серонегативного окна» (промежуток времени между заражением ВИЧ и появлением антител к ВИЧ который обычно составляет до 3 месяцев, но может быть и дольше). В течение этого периода человек уже заражен и может заразить других, но при исследовании крови антитела к ВИЧ не обнаруживаются. Поэтому, если имелся риск заражения ВИЧ в течение менее 3 мес. до проведения обследования на ВИЧ, обследование рекомендуется повторить через 3  и 6 месяцев.
- В случае обнаружения антител к ВИЧ, ВИЧ-позитивный, информируется  о результатах исследования, ему будет предложено подробное разъяснение значения результатов этого исследования (то есть ему должно быть предоставлено подробное послетестовое консультирование) и предложено пройти дополнительные клиническое, лабораторное и эпидемиологическое обследования для установления окончательного диагноза ВИЧ-инфекции, стадии заболевания и назначения соответствующего лечения.
- В настоящее время в России существует бесплатное лечение для всех нуждающихся инфицированных ВИЧ, для его получения нужно обратиться в территориальный центр СПИД. </t>
  </si>
  <si>
    <r>
      <rPr>
        <b/>
        <sz val="11"/>
        <rFont val="Times New Roman"/>
        <family val="1"/>
        <charset val="204"/>
      </rPr>
      <t xml:space="preserve">Отметка о проведении дотестового консультирования:
</t>
    </r>
    <r>
      <rPr>
        <sz val="10"/>
        <rFont val="Times New Roman"/>
        <family val="1"/>
        <charset val="204"/>
      </rPr>
      <t xml:space="preserve">
</t>
    </r>
  </si>
  <si>
    <t xml:space="preserve">жизни и нахождением пациента </t>
  </si>
  <si>
    <t>в состоянии, не позволяющем выразить</t>
  </si>
  <si>
    <r>
      <rPr>
        <b/>
        <sz val="11"/>
        <rFont val="Times New Roman"/>
        <family val="1"/>
        <charset val="204"/>
      </rPr>
      <t>ИНФОРМИРОВАННОЕ ДОБРОВОЛЬНОЕ СОГЛАСИЕ ПАЦИЕНТА 
НА МЕДИЦИНСКОЕ ВМЕШАТЕЛЬСТВО</t>
    </r>
    <r>
      <rPr>
        <sz val="11"/>
        <rFont val="Arial Cyr"/>
        <charset val="204"/>
      </rPr>
      <t xml:space="preserve">
</t>
    </r>
  </si>
  <si>
    <r>
      <rPr>
        <b/>
        <sz val="10.5"/>
        <rFont val="Times New Roman"/>
        <family val="1"/>
        <charset val="204"/>
      </rPr>
      <t>Этот раздел бланка заполняется только на лиц, не достигших возраста 15* лет, или недееспособных
граждан</t>
    </r>
    <r>
      <rPr>
        <sz val="10.5"/>
        <rFont val="Times New Roman"/>
        <family val="1"/>
        <charset val="204"/>
      </rPr>
      <t xml:space="preserve">: Я, _______________________________________________________________________________________
паспорт:________________________  , выдан (кем, когда) ________________________________________________
__________________________________________________________________________________________________
являюсь законным представителем (мать, отец, усыновитель, опекун, попечитель) ребенка или лица,
признанного недееспособным:________________________________________________________________________ 
                                                     </t>
    </r>
    <r>
      <rPr>
        <sz val="9"/>
        <rFont val="Times New Roman"/>
        <family val="1"/>
        <charset val="204"/>
      </rPr>
      <t xml:space="preserve"> (ФИО несовершеннолетнего или недееспособного гражданина – полностью, год рождения)</t>
    </r>
    <r>
      <rPr>
        <sz val="10.5"/>
        <rFont val="Times New Roman"/>
        <family val="1"/>
        <charset val="204"/>
      </rPr>
      <t xml:space="preserve">
*либо более старшего возраста в случаях, установленных действующим законодательством</t>
    </r>
  </si>
  <si>
    <r>
      <t xml:space="preserve">Принятие решения без согласия гражданина (его законного представителя)
</t>
    </r>
    <r>
      <rPr>
        <sz val="10"/>
        <rFont val="Times New Roman"/>
        <family val="1"/>
        <charset val="204"/>
      </rPr>
      <t xml:space="preserve">В связи с необходимостью проведения медицинского вмешательства по экстренным показаниям для устранения угрозы </t>
    </r>
  </si>
  <si>
    <r>
      <t xml:space="preserve">Лечение существенно продляет жизнь и улучшает качество жизни при ВИЧ-инфекции. ВИЧ-инфицированным беременным женщинам важно вовремя обратиться в центр СПИД и начать принимать специальные лекарства для предотвращения заражения будущего ребенка.
- ВИЧ инфекция передается только тремя путями:
при сексуальных контактах без презерватива;
через кровь, при медицинских или немедицинских процедурах. Чаще всего заражение этим путем происходит при использовании нестерильного инструментария для употребления наркотиков (либо предмета или приспособления, на который попадает кровь); возможно заражение при применении готовых растворов наркотиков, в который могли занести ВИЧ раньше.
от инфицированной ВИЧ матери к ребенку во время беременности, родов и при грудном вскармливании.
Заражение ВИЧ в быту при рукопожатиях, пользовании общей посудой, бассейном, туалетом, транспортом, совместном приеме пищи, а также при укусах насекомых не происходит.
- Защитить себя от заражения ВИЧ-инфекцией можно, если не иметь опасных контактов (контакты с кровью или выделениями половых органов, грудным молоком) с инфицированными ВИЧ людьми или людьми с неизвестным ВИЧ-статусом. В течение жизни, в зависимости от личных обстоятельств и убеждений, для того, чтобы избежать заражения СПИДом, человек может использовать разные способы предохранения. Например, всегда пользоваться презервативами или иметь только не инфицированных ВИЧ сексуальных партнеров. Избежать заражения через кровь при нарушении целостности кожных покровов можно используя только стерильные инструменты.
- Результаты тестирования на ВИЧ по телефону не сообщаются. Их сообщает консультант при послетестовом консультировании, которое  проводится  после получения  обследования на антитела к ВИЧ с целью разъяснения  обследуемому его результатов и рекомендаций относительно дальнейшего  образа жизни.
- С вопросами можно обратиться в территориальный центр по профилактике и борьбе со СПИД </t>
    </r>
    <r>
      <rPr>
        <u/>
        <sz val="10.5"/>
        <rFont val="Times New Roman"/>
        <family val="1"/>
        <charset val="204"/>
      </rPr>
      <t xml:space="preserve">по адресу: г. Новосибирск, ул. Семьи Шамшиных,40
</t>
    </r>
  </si>
  <si>
    <t xml:space="preserve"> угрозы жизни и нахождением пациента </t>
  </si>
  <si>
    <r>
      <rPr>
        <b/>
        <u/>
        <sz val="10.5"/>
        <rFont val="Times New Roman"/>
        <family val="1"/>
        <charset val="204"/>
      </rPr>
      <t>Принятие решения без согласия гражданина (его законного представителя)</t>
    </r>
    <r>
      <rPr>
        <sz val="10.5"/>
        <rFont val="Times New Roman"/>
        <family val="1"/>
        <charset val="204"/>
      </rPr>
      <t xml:space="preserve">
В связи с необходимостью проведения медицинского вмешательства по экстренным показаниям для устранения
</t>
    </r>
  </si>
  <si>
    <t>не позволяющем выразить свою волю (в связи с отсутствием его законных представителей),  принято решение</t>
  </si>
  <si>
    <t>о проведении медицинского вмешательства без согласия гражданина (его законного представителя).</t>
  </si>
  <si>
    <t>в состоянии,</t>
  </si>
  <si>
    <r>
      <rPr>
        <sz val="10.5"/>
        <rFont val="Times New Roman"/>
        <family val="1"/>
        <charset val="204"/>
      </rPr>
      <t>Лечащий (дежурный) врач:</t>
    </r>
    <r>
      <rPr>
        <sz val="10"/>
        <rFont val="Times New Roman"/>
        <family val="1"/>
        <charset val="204"/>
      </rPr>
      <t xml:space="preserve"> __________________________________________________________________________
                                                                                                   </t>
    </r>
    <r>
      <rPr>
        <sz val="9"/>
        <rFont val="Times New Roman"/>
        <family val="1"/>
        <charset val="204"/>
      </rPr>
      <t xml:space="preserve"> (должность, ФИО, подпись)</t>
    </r>
    <r>
      <rPr>
        <sz val="10"/>
        <rFont val="Times New Roman"/>
        <family val="1"/>
        <charset val="204"/>
      </rPr>
      <t xml:space="preserve">
</t>
    </r>
  </si>
  <si>
    <t xml:space="preserve">Приложение № 1 
Утверждено приказом ГБУЗ НСО «ГНОКБ»
от 16.07.2019 № 740
</t>
  </si>
  <si>
    <r>
      <t xml:space="preserve">Отметка о проведении послетестового консультирования:
</t>
    </r>
    <r>
      <rPr>
        <sz val="11"/>
        <rFont val="Times New Roman"/>
        <family val="1"/>
        <charset val="204"/>
      </rPr>
      <t xml:space="preserve">дата ________________
______________________________________________________________________________________
</t>
    </r>
    <r>
      <rPr>
        <sz val="10"/>
        <rFont val="Times New Roman"/>
        <family val="1"/>
        <charset val="204"/>
      </rPr>
      <t xml:space="preserve">                                          (фамилия, инициалы, подпись врача, проводившего консультирование)
</t>
    </r>
  </si>
  <si>
    <t xml:space="preserve">Приложение № 2 
Утверждено приказом ГБУЗ НСО «ГНОКБ»
от 16.07.2019 № 740
</t>
  </si>
  <si>
    <t>Информированное добровольное согласие пациента
на анестезиологическое обеспечение медицинского вмешательства</t>
  </si>
  <si>
    <t>Этот раздел бланка заполняется только на лиц, не достигших возраста 15* лет, или недееспособных</t>
  </si>
  <si>
    <t>являюсь законным представителем (мать, отец, усыновитель, опекун, попечитель) ребенка или лица,</t>
  </si>
  <si>
    <t>*либо более старшего возраста в случаях, установленных действующим законодательством</t>
  </si>
  <si>
    <t>паспорт: ________________________, выдан (кем, когда)_________________________________________________</t>
  </si>
  <si>
    <t>__________________________________________________________________________________________________</t>
  </si>
  <si>
    <t xml:space="preserve">                                                                       (ФИО несовершеннолетнего или недееспособного гражданина – полностью, год рождения)</t>
  </si>
  <si>
    <t>признанного недееспособным:________________________________________________________________________</t>
  </si>
  <si>
    <r>
      <rPr>
        <b/>
        <sz val="10.5"/>
        <rFont val="Times New Roman"/>
        <family val="1"/>
        <charset val="204"/>
      </rPr>
      <t>граждан:</t>
    </r>
    <r>
      <rPr>
        <sz val="10.5"/>
        <rFont val="Times New Roman"/>
        <family val="1"/>
        <charset val="204"/>
      </rPr>
      <t xml:space="preserve"> Я, ______________________________________________________________________________________</t>
    </r>
  </si>
  <si>
    <r>
      <t xml:space="preserve">В связи с </t>
    </r>
    <r>
      <rPr>
        <u/>
        <sz val="10.5"/>
        <rFont val="Times New Roman"/>
        <family val="1"/>
        <charset val="204"/>
      </rPr>
      <t>несовершеннолетием</t>
    </r>
    <r>
      <rPr>
        <sz val="10.5"/>
        <rFont val="Times New Roman"/>
        <family val="1"/>
        <charset val="204"/>
      </rPr>
      <t xml:space="preserve">______________________________________________________________________
                                                                                            </t>
    </r>
    <r>
      <rPr>
        <sz val="9"/>
        <rFont val="Times New Roman"/>
        <family val="1"/>
        <charset val="204"/>
      </rPr>
      <t>(причина)</t>
    </r>
    <r>
      <rPr>
        <sz val="10.5"/>
        <rFont val="Times New Roman"/>
        <family val="1"/>
        <charset val="204"/>
      </rPr>
      <t xml:space="preserve">
за пациента настоящее информированное согласие с согласия пациента подписал ____________________________ _________________________________________________________________________________________________
                                 </t>
    </r>
    <r>
      <rPr>
        <sz val="9"/>
        <rFont val="Times New Roman"/>
        <family val="1"/>
        <charset val="204"/>
      </rPr>
      <t>(ФИО, реквизиты документа, удостоверяющего личность подписавшего)</t>
    </r>
    <r>
      <rPr>
        <sz val="10.5"/>
        <rFont val="Times New Roman"/>
        <family val="1"/>
        <charset val="204"/>
      </rPr>
      <t xml:space="preserve">
</t>
    </r>
  </si>
  <si>
    <t>Принятие решения без согласия гражданина (его законного представителя)</t>
  </si>
  <si>
    <t>В связи с необходимостью проведения медицинского вмешательства по экстренным показаниям для устранения</t>
  </si>
  <si>
    <t xml:space="preserve">в состоянии, </t>
  </si>
  <si>
    <t xml:space="preserve"> проведении анестезиологического обеспечения медицинского вмешательства без согласия гражданина </t>
  </si>
  <si>
    <t>________________________________________________________________________________________________</t>
  </si>
  <si>
    <t xml:space="preserve">                                                                                                  (должности, ФИО, подписи)</t>
  </si>
  <si>
    <t>Лечащий (дежурный) врач: _________________________________________________________________________</t>
  </si>
  <si>
    <t>(должность, ФИО, подпись)</t>
  </si>
  <si>
    <t xml:space="preserve">                (должность, ФИО, подпись)</t>
  </si>
  <si>
    <t xml:space="preserve">                                                                                                    (ФИО, подпись)</t>
  </si>
  <si>
    <r>
      <t xml:space="preserve">не позволяющем выразить свою волю (в связи с отсутствием его законных представителей), </t>
    </r>
    <r>
      <rPr>
        <u/>
        <sz val="10.5"/>
        <rFont val="Times New Roman"/>
        <family val="1"/>
        <charset val="204"/>
      </rPr>
      <t xml:space="preserve"> принято решение о</t>
    </r>
  </si>
  <si>
    <r>
      <rPr>
        <u/>
        <sz val="10.5"/>
        <rFont val="Times New Roman"/>
        <family val="1"/>
        <charset val="204"/>
      </rPr>
      <t>(его законного представителя).</t>
    </r>
    <r>
      <rPr>
        <sz val="10.5"/>
        <rFont val="Times New Roman"/>
        <family val="1"/>
        <charset val="204"/>
      </rPr>
      <t xml:space="preserve"> </t>
    </r>
  </si>
  <si>
    <t xml:space="preserve">о проведении медицинского вмешательства без согласия гражданина (его законного представителя). </t>
  </si>
  <si>
    <t xml:space="preserve">                                                                                         (должности, ФИО, подписи)</t>
  </si>
  <si>
    <r>
      <t xml:space="preserve">____________________________________________________________________________ 
</t>
    </r>
    <r>
      <rPr>
        <sz val="10"/>
        <rFont val="Times New Roman"/>
        <family val="1"/>
        <charset val="204"/>
      </rPr>
      <t xml:space="preserve"> (подпись обследуемого на ВИЧ    или его законного представителя) </t>
    </r>
    <r>
      <rPr>
        <sz val="10"/>
        <rFont val="Arial Cyr"/>
        <charset val="204"/>
      </rPr>
      <t xml:space="preserve">                                   
</t>
    </r>
    <r>
      <rPr>
        <sz val="10.5"/>
        <rFont val="Times New Roman"/>
        <family val="1"/>
        <charset val="204"/>
      </rPr>
      <t>дата</t>
    </r>
    <r>
      <rPr>
        <sz val="10"/>
        <rFont val="Arial Cyr"/>
        <charset val="204"/>
      </rPr>
      <t xml:space="preserve"> _______________ 
</t>
    </r>
  </si>
  <si>
    <r>
      <t xml:space="preserve">переливания компонентов крови. Мне была предоставлена возможность задать все имеющиеся у меня вопросы в отношении переливания донорской или ауто (собственной) крови и/или ее компонентов, и врач дал понятные мне исчерпывающие ответы. 
7. Я осознаю, что </t>
    </r>
    <r>
      <rPr>
        <b/>
        <sz val="10.5"/>
        <rFont val="Times New Roman"/>
        <family val="1"/>
        <charset val="204"/>
      </rPr>
      <t>абсолютных гарантий положительных результатов как медицинского вмешательства, так и лечения в целом дано быть не может</t>
    </r>
    <r>
      <rPr>
        <sz val="10.5"/>
        <rFont val="Times New Roman"/>
        <family val="1"/>
        <charset val="204"/>
      </rPr>
      <t xml:space="preserve">. 
- Я извещен (-а) о том, что мне (представляемому) необходимо регулярно принимать назначенные медикаменты и другие методы лечения, немедленно сообщать лечащему врачу о любом ухудшении самочувствия, согласовывать с лечащим врачом прием любых, не назначенных им медикаментов.
- Я </t>
    </r>
    <r>
      <rPr>
        <b/>
        <sz val="10.5"/>
        <rFont val="Times New Roman"/>
        <family val="1"/>
        <charset val="204"/>
      </rPr>
      <t>предупрежден (-а) и осознаю</t>
    </r>
    <r>
      <rPr>
        <sz val="10.5"/>
        <rFont val="Times New Roman"/>
        <family val="1"/>
        <charset val="204"/>
      </rPr>
      <t xml:space="preserve">, что отказ от лечения, несоблюдение лечебно-охранительного режима, рекомендаций медицинских работников, режима приема медикаментов и выполнения процедур, самовольное использование медицинского инструментария и оборудования, бесконтрольное самолечение могут осложнить процесс лечения и отрицательно сказаться на состоянии здоровья.
- </t>
    </r>
    <r>
      <rPr>
        <b/>
        <sz val="10.5"/>
        <rFont val="Times New Roman"/>
        <family val="1"/>
        <charset val="204"/>
      </rPr>
      <t>Я сообщил (-а)</t>
    </r>
    <r>
      <rPr>
        <sz val="10.5"/>
        <rFont val="Times New Roman"/>
        <family val="1"/>
        <charset val="204"/>
      </rPr>
      <t xml:space="preserve"> врачу обо всех проблемах, связанных со здоровьем, в том числе об аллергических проявлениях или индивидуальной непереносимости мной (представляемым) лекарственных препаратов: ___________________________________________________________________________________, пищи, бытовой химии и т.п., обо всех перенесенных мною (представляемым) и известных мне травмах, операциях, заболеваниях, об экологических и производственных факторах физической, химической или биологической природы, воздействующих на меня (представляемого) во время жизнедеятельности, о принимаемых лекарственных средствах. Я сообщил (-а) правдивые сведения о наследственности, а также об употреблении алкоголя, наркотических и токсических средств.
8. Я ознакомлен (-а) с </t>
    </r>
    <r>
      <rPr>
        <b/>
        <sz val="10.5"/>
        <rFont val="Times New Roman"/>
        <family val="1"/>
        <charset val="204"/>
      </rPr>
      <t>правилами внутреннего распорядка</t>
    </r>
    <r>
      <rPr>
        <sz val="10.5"/>
        <rFont val="Times New Roman"/>
        <family val="1"/>
        <charset val="204"/>
      </rPr>
      <t xml:space="preserve"> в «ГНОКБ» и </t>
    </r>
    <r>
      <rPr>
        <b/>
        <sz val="10.5"/>
        <rFont val="Times New Roman"/>
        <family val="1"/>
        <charset val="204"/>
      </rPr>
      <t>обязуюсь их соблюдать</t>
    </r>
    <r>
      <rPr>
        <sz val="10.5"/>
        <rFont val="Times New Roman"/>
        <family val="1"/>
        <charset val="204"/>
      </rPr>
      <t xml:space="preserve">.
9. </t>
    </r>
    <r>
      <rPr>
        <b/>
        <sz val="10.5"/>
        <rFont val="Times New Roman"/>
        <family val="1"/>
        <charset val="204"/>
      </rPr>
      <t>Я извещен (-а)</t>
    </r>
    <r>
      <rPr>
        <sz val="10.5"/>
        <rFont val="Times New Roman"/>
        <family val="1"/>
        <charset val="204"/>
      </rPr>
      <t xml:space="preserve"> о клиническом профиле ГБУЗ НСО «ГНОКБ» и о проводимой в учреждении преподавательской, научно-исследовательской работе и </t>
    </r>
    <r>
      <rPr>
        <b/>
        <sz val="10.5"/>
        <rFont val="Times New Roman"/>
        <family val="1"/>
        <charset val="204"/>
      </rPr>
      <t>согласен (-на)</t>
    </r>
    <r>
      <rPr>
        <sz val="10.5"/>
        <rFont val="Times New Roman"/>
        <family val="1"/>
        <charset val="204"/>
      </rPr>
      <t xml:space="preserve"> участвовать в учебном процессе, а также </t>
    </r>
    <r>
      <rPr>
        <b/>
        <sz val="10.5"/>
        <rFont val="Times New Roman"/>
        <family val="1"/>
        <charset val="204"/>
      </rPr>
      <t>согласен (-на)</t>
    </r>
    <r>
      <rPr>
        <sz val="10.5"/>
        <rFont val="Times New Roman"/>
        <family val="1"/>
        <charset val="204"/>
      </rPr>
      <t xml:space="preserve"> на анонимное использование результатов моего обследования и лечения (обследования и лечения представляемого) для научного анализа и (или) опубликования.
10. Мне была </t>
    </r>
    <r>
      <rPr>
        <b/>
        <sz val="10.5"/>
        <rFont val="Times New Roman"/>
        <family val="1"/>
        <charset val="204"/>
      </rPr>
      <t xml:space="preserve">предоставлена возможность задать вопросы </t>
    </r>
    <r>
      <rPr>
        <sz val="10.5"/>
        <rFont val="Times New Roman"/>
        <family val="1"/>
        <charset val="204"/>
      </rPr>
      <t>о состоянии моего здоровья (здоровья представляемого), обследовании и лечении и врач дал понятные мне исчерпывающие ответы.
11.</t>
    </r>
    <r>
      <rPr>
        <b/>
        <sz val="10.5"/>
        <rFont val="Times New Roman"/>
        <family val="1"/>
        <charset val="204"/>
      </rPr>
      <t xml:space="preserve"> Я ознакомлен (-а) и согласен (-на)</t>
    </r>
    <r>
      <rPr>
        <sz val="10.5"/>
        <rFont val="Times New Roman"/>
        <family val="1"/>
        <charset val="204"/>
      </rPr>
      <t xml:space="preserve"> со всеми пунктами настоящего документа, положения которого мне разъяснены и понятны.
12. _____________________________________________________________________________________________
________________________________________________________________________________________________
Беседу провел врач ______________________________________________________________________________
                                                                    </t>
    </r>
    <r>
      <rPr>
        <sz val="9"/>
        <rFont val="Times New Roman"/>
        <family val="1"/>
        <charset val="204"/>
      </rPr>
      <t>(должность, ФИО, подпись)</t>
    </r>
    <r>
      <rPr>
        <sz val="10.5"/>
        <rFont val="Times New Roman"/>
        <family val="1"/>
        <charset val="204"/>
      </rPr>
      <t xml:space="preserve">
Пациент (законный представитель) _________________________________________________________________
                                                                    </t>
    </r>
    <r>
      <rPr>
        <sz val="9"/>
        <rFont val="Times New Roman"/>
        <family val="1"/>
        <charset val="204"/>
      </rPr>
      <t>(подпись пациента или его законного представителя)</t>
    </r>
    <r>
      <rPr>
        <sz val="10.5"/>
        <rFont val="Times New Roman"/>
        <family val="1"/>
        <charset val="204"/>
      </rPr>
      <t xml:space="preserve">
</t>
    </r>
  </si>
  <si>
    <r>
      <t xml:space="preserve">В связи с </t>
    </r>
    <r>
      <rPr>
        <u/>
        <sz val="10.5"/>
        <rFont val="Times New Roman"/>
        <family val="1"/>
        <charset val="204"/>
      </rPr>
      <t>несовершеннолетием</t>
    </r>
    <r>
      <rPr>
        <sz val="10.5"/>
        <rFont val="Times New Roman"/>
        <family val="1"/>
        <charset val="204"/>
      </rPr>
      <t xml:space="preserve">____________________________________________________________________
                                                            </t>
    </r>
    <r>
      <rPr>
        <sz val="9"/>
        <rFont val="Times New Roman"/>
        <family val="1"/>
        <charset val="204"/>
      </rPr>
      <t xml:space="preserve"> (причина)</t>
    </r>
    <r>
      <rPr>
        <sz val="10.5"/>
        <rFont val="Times New Roman"/>
        <family val="1"/>
        <charset val="204"/>
      </rPr>
      <t xml:space="preserve">
за пациента настоящее информированное согласие с согласия пациента подписал __________________________
_______________________________________________________________________________________________
                                     </t>
    </r>
    <r>
      <rPr>
        <sz val="9"/>
        <rFont val="Times New Roman"/>
        <family val="1"/>
        <charset val="204"/>
      </rPr>
      <t>(ФИО, реквизиты документа, удостоверяющего личность подписавшего)</t>
    </r>
  </si>
  <si>
    <t>Вес(кг)</t>
  </si>
  <si>
    <t>V = ФП  =   мл/сут</t>
  </si>
  <si>
    <t>Вес пациента</t>
  </si>
  <si>
    <t>Метаболическое соотношение:</t>
  </si>
  <si>
    <t>Общий объём ПЭП:</t>
  </si>
  <si>
    <t>Аминоазот</t>
  </si>
  <si>
    <t>на 20%</t>
  </si>
  <si>
    <t>на 40%</t>
  </si>
  <si>
    <t>Объём нутрифлекса:</t>
  </si>
  <si>
    <t>Добавить глюкозы 20% в ПЭП:</t>
  </si>
  <si>
    <t>ВАЖНО: в расчетах нутрифлекса используется метаболическое соотношение 130</t>
  </si>
  <si>
    <t>ИНСТРУКЦИЯ: Вводим метаболическое соотношение и количество белка, остальное считается автоматически.</t>
  </si>
  <si>
    <t>Требуемый объём ПЭП</t>
  </si>
  <si>
    <t>Обратный расчет (от объёма)</t>
  </si>
  <si>
    <t>Дозировка лекарств на вес</t>
  </si>
  <si>
    <t>Калий 4% (2 ммоль/кг)</t>
  </si>
  <si>
    <t>Кальций 10% (1 ммоль/кг)</t>
  </si>
  <si>
    <t>Гепарин (30 Ед/кг)</t>
  </si>
  <si>
    <t>Магний 25% (0,4 мл/кг)</t>
  </si>
  <si>
    <r>
      <t xml:space="preserve">Врач-анестезиолог-реаниматолог: </t>
    </r>
    <r>
      <rPr>
        <u/>
        <sz val="10.5"/>
        <rFont val="Times New Roman"/>
        <family val="1"/>
        <charset val="204"/>
      </rPr>
      <t>Горбовский В. О.</t>
    </r>
    <r>
      <rPr>
        <sz val="10.5"/>
        <rFont val="Times New Roman"/>
        <family val="1"/>
        <charset val="204"/>
      </rPr>
      <t>_____________________________________________________</t>
    </r>
  </si>
  <si>
    <t>Белок:</t>
  </si>
  <si>
    <r>
      <t>поставлен (-а) в известность, что я (представляемый) госпитализирован (-а) в отделение
__________________________________</t>
    </r>
    <r>
      <rPr>
        <u/>
        <sz val="10.5"/>
        <rFont val="Times New Roman"/>
        <family val="1"/>
        <charset val="204"/>
      </rPr>
      <t xml:space="preserve">50 ДОРИТ                 </t>
    </r>
    <r>
      <rPr>
        <sz val="10.5"/>
        <rFont val="Times New Roman"/>
        <family val="1"/>
        <charset val="204"/>
      </rPr>
      <t>_________________________</t>
    </r>
    <r>
      <rPr>
        <u/>
        <sz val="10.5"/>
        <rFont val="Times New Roman"/>
        <family val="1"/>
        <charset val="204"/>
      </rPr>
      <t xml:space="preserve"> ГБУЗ НСО «ГНОКБ»</t>
    </r>
    <r>
      <rPr>
        <sz val="10.5"/>
        <rFont val="Times New Roman"/>
        <family val="1"/>
        <charset val="204"/>
      </rPr>
      <t xml:space="preserve">
                                                           </t>
    </r>
    <r>
      <rPr>
        <sz val="9"/>
        <rFont val="Times New Roman"/>
        <family val="1"/>
        <charset val="204"/>
      </rPr>
      <t>(наименование или профиль отделения)</t>
    </r>
    <r>
      <rPr>
        <sz val="10.5"/>
        <rFont val="Times New Roman"/>
        <family val="1"/>
        <charset val="204"/>
      </rPr>
      <t xml:space="preserve">
2. В соответствии со ст. 20, 22 Федерального закона от 21.11.2011 № 323-ФЗ  «Об основах охраны здоровья граждан в  Российской Федерации»:
- Мне, согласно моей воле, </t>
    </r>
    <r>
      <rPr>
        <b/>
        <sz val="10.5"/>
        <rFont val="Times New Roman"/>
        <family val="1"/>
        <charset val="204"/>
      </rPr>
      <t>даны</t>
    </r>
    <r>
      <rPr>
        <sz val="10.5"/>
        <rFont val="Times New Roman"/>
        <family val="1"/>
        <charset val="204"/>
      </rPr>
      <t xml:space="preserve"> врачом </t>
    </r>
    <r>
      <rPr>
        <b/>
        <sz val="10.5"/>
        <rFont val="Times New Roman"/>
        <family val="1"/>
        <charset val="204"/>
      </rPr>
      <t>разъяснения</t>
    </r>
    <r>
      <rPr>
        <sz val="10.5"/>
        <rFont val="Times New Roman"/>
        <family val="1"/>
        <charset val="204"/>
      </rPr>
      <t xml:space="preserve"> о характере, степени тяжести и возможных осложнениях моего заболевания (заболевания представляемого). 
- Мне в доступной форме </t>
    </r>
    <r>
      <rPr>
        <b/>
        <sz val="10.5"/>
        <rFont val="Times New Roman"/>
        <family val="1"/>
        <charset val="204"/>
      </rPr>
      <t>объяснены</t>
    </r>
    <r>
      <rPr>
        <sz val="10.5"/>
        <rFont val="Times New Roman"/>
        <family val="1"/>
        <charset val="204"/>
      </rPr>
      <t xml:space="preserve"> врачом цель, необходимость и методы моего обследования и лечения (обследования и лечения представляемого),  возможные последствия и осложнения, в случае развития которых </t>
    </r>
    <r>
      <rPr>
        <b/>
        <sz val="10.5"/>
        <rFont val="Times New Roman"/>
        <family val="1"/>
        <charset val="204"/>
      </rPr>
      <t>я согласен (-на)</t>
    </r>
    <r>
      <rPr>
        <sz val="10.5"/>
        <rFont val="Times New Roman"/>
        <family val="1"/>
        <charset val="204"/>
      </rPr>
      <t xml:space="preserve"> на проведение дополнительных диагностических и лечебных мероприятий, необходимых для пользы моего здоровья (здоровья представляемого), а также предполагаемые результаты обследования и лечения.
3. </t>
    </r>
    <r>
      <rPr>
        <b/>
        <i/>
        <sz val="10.5"/>
        <rFont val="Times New Roman"/>
        <family val="1"/>
        <charset val="204"/>
      </rPr>
      <t>Я понимаю необходимость предлагаемого мне обследования и лечения.</t>
    </r>
    <r>
      <rPr>
        <sz val="10.5"/>
        <rFont val="Times New Roman"/>
        <family val="1"/>
        <charset val="204"/>
      </rPr>
      <t xml:space="preserve">  Я целиком и полностью доверяю лечащему (дежурному) врачу ________________________________________________________________________
                                                                                  </t>
    </r>
    <r>
      <rPr>
        <sz val="9"/>
        <rFont val="Times New Roman"/>
        <family val="1"/>
        <charset val="204"/>
      </rPr>
      <t>(ФИО врача)</t>
    </r>
    <r>
      <rPr>
        <sz val="10.5"/>
        <rFont val="Times New Roman"/>
        <family val="1"/>
        <charset val="204"/>
      </rPr>
      <t xml:space="preserve">
и его коллегам в выборе тактики лечения, методах и объемах обследования.
4. </t>
    </r>
    <r>
      <rPr>
        <b/>
        <sz val="10.5"/>
        <rFont val="Times New Roman"/>
        <family val="1"/>
        <charset val="204"/>
      </rPr>
      <t>Я добровольно даю согласие</t>
    </r>
    <r>
      <rPr>
        <sz val="10.5"/>
        <rFont val="Times New Roman"/>
        <family val="1"/>
        <charset val="204"/>
      </rPr>
      <t xml:space="preserve"> на проведение мне (представляемому), в соответствии с назначениями врача: </t>
    </r>
    <r>
      <rPr>
        <b/>
        <sz val="10.5"/>
        <rFont val="Times New Roman"/>
        <family val="1"/>
        <charset val="204"/>
      </rPr>
      <t>осмотра; клинических лабораторных исследований биологического материала</t>
    </r>
    <r>
      <rPr>
        <sz val="10.5"/>
        <rFont val="Times New Roman"/>
        <family val="1"/>
        <charset val="204"/>
      </rPr>
      <t xml:space="preserve"> (с забором биологического материала), </t>
    </r>
    <r>
      <rPr>
        <b/>
        <sz val="10.5"/>
        <rFont val="Times New Roman"/>
        <family val="1"/>
        <charset val="204"/>
      </rPr>
      <t>функциональных исследований,  ультразвуковых исследований, рентгенологических исследований с контрастным и/или без контрастного вещества,  томографических исследований с контрастным и/или без контрастного вещества, пункций и других инвазивных исследований</t>
    </r>
    <r>
      <rPr>
        <sz val="10.5"/>
        <rFont val="Times New Roman"/>
        <family val="1"/>
        <charset val="204"/>
      </rPr>
      <t xml:space="preserve">: </t>
    </r>
    <r>
      <rPr>
        <u/>
        <sz val="10.5"/>
        <rFont val="Times New Roman"/>
        <family val="1"/>
        <charset val="204"/>
      </rPr>
      <t>катетеризация центральных вен, интубация трахеи, назначение препаратов ”off  label”</t>
    </r>
    <r>
      <rPr>
        <sz val="10.5"/>
        <rFont val="Times New Roman"/>
        <family val="1"/>
        <charset val="204"/>
      </rPr>
      <t xml:space="preserve">__________________________________________________
лечебных мероприятий: </t>
    </r>
    <r>
      <rPr>
        <i/>
        <u/>
        <sz val="10.5"/>
        <rFont val="Times New Roman"/>
        <family val="1"/>
        <charset val="204"/>
      </rPr>
      <t>прием лекарственных препаратов, проведение инъекций, внутривенных вливаний, физиотерапевтических процедур, перевязок</t>
    </r>
    <r>
      <rPr>
        <sz val="10.5"/>
        <rFont val="Times New Roman"/>
        <family val="1"/>
        <charset val="204"/>
      </rPr>
      <t xml:space="preserve">___________________________________________________________
В случае возникновения необходимости в других методах обследования и лечения соответствующая  информация о них будет мне разъяснена дополнительно.
- Я информирован (-а) о целях, характере и возможных неблагоприятных эффектах диагностических и лечебных процедур, возможности непреднамеренного причинения вреда здоровью.
5. Я понимаю, что в ходе выполнения медицинских вмешательств может возникнуть необходимость выполнения других медицинских вмешательств,  не указанных в пункте 4, при этом, возможно,  по состоянию здоровья (в связи с моим отсутствием) я не смогу выразить свое информированное согласие на их проведение. В этом случае я доверяю  лечащему врачу и его коллегам принять соответствующее решение, в соответствии с их профессиональными суждениями, и выполнить любые медицинские вмешательства, которые они сочтут необходимыми для улучшения моего состояния здоровья (состояния здоровья представляемого).
6. Я даю свое согласие на переливание мне (моему представляемому) донорской или ауто (собственной) крови и/или ее компонентов в случае такой необходимости. Мне объяснены лечащим врачом цель переливания, характер и особенности процедуры, ее возможные последствия, в случае развития которых я согласен  (-на) на проведение всех нужных лечебных мероприятий. Я извещен (-а) о вероятном течении заболевания при отказе от операции </t>
    </r>
  </si>
  <si>
    <t>ИБ#</t>
  </si>
  <si>
    <t>Клиренс креатинина</t>
  </si>
  <si>
    <t>Площадь по Дюбуа</t>
  </si>
  <si>
    <t>Длина тела (см)</t>
  </si>
  <si>
    <t>Шпаргалка норм</t>
  </si>
  <si>
    <t>Креатинин сыворотки (мкмоль/л)</t>
  </si>
  <si>
    <t>Масса  тела</t>
  </si>
  <si>
    <t>Коэффициент</t>
  </si>
  <si>
    <t>Рост в см</t>
  </si>
  <si>
    <t>S (m2)</t>
  </si>
  <si>
    <t>СКФ</t>
  </si>
  <si>
    <t>Норма</t>
  </si>
  <si>
    <t>% от нормы</t>
  </si>
  <si>
    <t>Аминовен-инфант</t>
  </si>
  <si>
    <t>20% глюкоза</t>
  </si>
  <si>
    <t>40% глюкоза</t>
  </si>
  <si>
    <t>Липофундин</t>
  </si>
  <si>
    <t>Глюкоза</t>
  </si>
  <si>
    <t>¤            Карта интенсивной терапии и наблюдения                                          Отделение №</t>
  </si>
  <si>
    <t>v 2.3</t>
  </si>
  <si>
    <r>
      <t>__</t>
    </r>
    <r>
      <rPr>
        <u/>
        <sz val="10.5"/>
        <rFont val="Times New Roman"/>
        <family val="1"/>
        <charset val="204"/>
      </rPr>
      <t>вр. анестезиолог-реаниматолог</t>
    </r>
    <r>
      <rPr>
        <sz val="10"/>
        <rFont val="Times New Roman"/>
        <family val="1"/>
        <charset val="204"/>
      </rPr>
      <t>______________________________________________________
                                          (фамилия, инициалы, подпись врача, проводившего консультирование)</t>
    </r>
  </si>
  <si>
    <r>
      <t>__</t>
    </r>
    <r>
      <rPr>
        <u/>
        <sz val="10.5"/>
        <rFont val="Times New Roman"/>
        <family val="1"/>
        <charset val="204"/>
      </rPr>
      <t>вр. анестезиолог-реаниматолог</t>
    </r>
    <r>
      <rPr>
        <sz val="10.5"/>
        <rFont val="Times New Roman"/>
        <family val="1"/>
        <charset val="204"/>
      </rPr>
      <t>_____________________________________________________</t>
    </r>
  </si>
  <si>
    <r>
      <t>Консилиум:_______</t>
    </r>
    <r>
      <rPr>
        <u/>
        <sz val="10.5"/>
        <rFont val="Times New Roman"/>
        <family val="1"/>
        <charset val="204"/>
      </rPr>
      <t>___________</t>
    </r>
    <r>
      <rPr>
        <sz val="10.5"/>
        <rFont val="Times New Roman"/>
        <family val="1"/>
        <charset val="204"/>
      </rPr>
      <t>_____________________________________________</t>
    </r>
  </si>
  <si>
    <r>
      <rPr>
        <sz val="10.5"/>
        <rFont val="Times New Roman"/>
        <family val="1"/>
        <charset val="204"/>
      </rPr>
      <t>Консилиум:</t>
    </r>
    <r>
      <rPr>
        <sz val="10"/>
        <rFont val="Times New Roman"/>
        <family val="1"/>
        <charset val="204"/>
      </rPr>
      <t>_______</t>
    </r>
    <r>
      <rPr>
        <sz val="10"/>
        <rFont val="Times New Roman"/>
        <family val="1"/>
        <charset val="204"/>
      </rPr>
      <t>_______________________________________________________
____</t>
    </r>
    <r>
      <rPr>
        <u/>
        <sz val="10.5"/>
        <rFont val="Times New Roman"/>
        <family val="1"/>
        <charset val="204"/>
      </rPr>
      <t>вр. анестезиолог-реаниматолог</t>
    </r>
    <r>
      <rPr>
        <sz val="10"/>
        <rFont val="Times New Roman"/>
        <family val="1"/>
        <charset val="204"/>
      </rPr>
      <t xml:space="preserve">__________________________________________________
________________________________________________________________________________________________
                                                                                                    </t>
    </r>
    <r>
      <rPr>
        <sz val="9"/>
        <rFont val="Times New Roman"/>
        <family val="1"/>
        <charset val="204"/>
      </rPr>
      <t>(должности, ФИО, подписи)</t>
    </r>
    <r>
      <rPr>
        <sz val="10"/>
        <rFont val="Times New Roman"/>
        <family val="1"/>
        <charset val="204"/>
      </rPr>
      <t xml:space="preserve">
</t>
    </r>
  </si>
  <si>
    <r>
      <t>Я, ______________________________________________________________________________________________, 
                                                                              (ФИО пациента - полностью)
находясь на лечении (обследовании, родоразрешении) в отделении:  _________</t>
    </r>
    <r>
      <rPr>
        <sz val="10.5"/>
        <rFont val="Times New Roman"/>
        <family val="1"/>
        <charset val="204"/>
      </rPr>
      <t xml:space="preserve">__________
ГБУЗ НСО «ГНОКБ»,
</t>
    </r>
  </si>
  <si>
    <r>
      <rPr>
        <b/>
        <sz val="10.5"/>
        <rFont val="Times New Roman"/>
        <family val="1"/>
        <charset val="204"/>
      </rPr>
      <t>добровольно даю согласие на проведение</t>
    </r>
    <r>
      <rPr>
        <sz val="10.5"/>
        <rFont val="Times New Roman"/>
        <family val="1"/>
        <charset val="204"/>
      </rPr>
      <t xml:space="preserve"> мне (представляемому): </t>
    </r>
    <r>
      <rPr>
        <u/>
        <sz val="10.5"/>
        <rFont val="Times New Roman"/>
        <family val="1"/>
        <charset val="204"/>
      </rPr>
      <t>анестезиологических пособий на время госпитализации в ДОРИТ______________________________________________________________________</t>
    </r>
    <r>
      <rPr>
        <sz val="10.5"/>
        <rFont val="Times New Roman"/>
        <family val="1"/>
        <charset val="204"/>
      </rPr>
      <t xml:space="preserve">
                                                         </t>
    </r>
    <r>
      <rPr>
        <sz val="9"/>
        <rFont val="Times New Roman"/>
        <family val="1"/>
        <charset val="204"/>
      </rPr>
      <t>(наименование анестезиологического пособия)</t>
    </r>
    <r>
      <rPr>
        <sz val="10.5"/>
        <rFont val="Times New Roman"/>
        <family val="1"/>
        <charset val="204"/>
      </rPr>
      <t xml:space="preserve">
- Я </t>
    </r>
    <r>
      <rPr>
        <b/>
        <sz val="10.5"/>
        <rFont val="Times New Roman"/>
        <family val="1"/>
        <charset val="204"/>
      </rPr>
      <t>сообщил (-а)</t>
    </r>
    <r>
      <rPr>
        <sz val="10.5"/>
        <rFont val="Times New Roman"/>
        <family val="1"/>
        <charset val="204"/>
      </rPr>
      <t xml:space="preserve"> врачу обо всех проблемах, связанных со здоровьем, в том числе об аллергических проявлениях или индивидуальной непереносимости мной (представляемым) лекарственных препаратов: 
_________________________________________________________________________________________________,
пищи, бытовой химии, цветочной пыльцы; обо всех перенесенных мною (представляемым) и известных мне травмах, операциях, заболеваниях, анестезиологических пособиях; об экологических и производственных факторах физической, химической или биологической природы, воздействующих на меня (представляемого) во время жизнедеятельности, о принимаемых лекарственных средствах. Я сообщил (-а) правдивые сведения о наследственности, употреблении алкоголя, наркотических и токсических средств.
- Я информирован (-а) о целях и характере анестезиологического обеспечения медицинского вмешательства, а также о том, что предстоит мне (представляемому) делать накануне и во время его проведения.
- Я </t>
    </r>
    <r>
      <rPr>
        <b/>
        <sz val="10.5"/>
        <rFont val="Times New Roman"/>
        <family val="1"/>
        <charset val="204"/>
      </rPr>
      <t>предупрежден (-а) о возможных неблагоприятных последствиях</t>
    </r>
    <r>
      <rPr>
        <sz val="10.5"/>
        <rFont val="Times New Roman"/>
        <family val="1"/>
        <charset val="204"/>
      </rPr>
      <t xml:space="preserve"> и понимаю, что проведение анестезиологического обеспечения медицинского вмешательства сопряжено с риском нарушений со стороны сердечно-сосудистой, нервной, дыхательной и других систем жизнедеятельности организма, непреднамеренного причинения вреда здоровью и жизни.
- Мне разъяснено и я осознаю, что во время анестезиологического пособия могут возникнуть непредвиденные обстоятельства и осложнения. В таком случае, я </t>
    </r>
    <r>
      <rPr>
        <b/>
        <sz val="10.5"/>
        <rFont val="Times New Roman"/>
        <family val="1"/>
        <charset val="204"/>
      </rPr>
      <t>согласен (-на)</t>
    </r>
    <r>
      <rPr>
        <sz val="10.5"/>
        <rFont val="Times New Roman"/>
        <family val="1"/>
        <charset val="204"/>
      </rPr>
      <t xml:space="preserve"> на то, что </t>
    </r>
    <r>
      <rPr>
        <b/>
        <sz val="10.5"/>
        <rFont val="Times New Roman"/>
        <family val="1"/>
        <charset val="204"/>
      </rPr>
      <t>вид и тактика анестезиологического пособия может быть изменена врачами по их усмотрению.</t>
    </r>
    <r>
      <rPr>
        <sz val="10.5"/>
        <rFont val="Times New Roman"/>
        <family val="1"/>
        <charset val="204"/>
      </rPr>
      <t xml:space="preserve">
- Мне была </t>
    </r>
    <r>
      <rPr>
        <b/>
        <sz val="10.5"/>
        <rFont val="Times New Roman"/>
        <family val="1"/>
        <charset val="204"/>
      </rPr>
      <t xml:space="preserve">предоставлена возможность задать вопросы </t>
    </r>
    <r>
      <rPr>
        <sz val="10.5"/>
        <rFont val="Times New Roman"/>
        <family val="1"/>
        <charset val="204"/>
      </rPr>
      <t>о целях, характере и степени риска анестезиологического пособия, и врач дал понятные мне исчерпывающие ответы.
- Я</t>
    </r>
    <r>
      <rPr>
        <b/>
        <sz val="10.5"/>
        <rFont val="Times New Roman"/>
        <family val="1"/>
        <charset val="204"/>
      </rPr>
      <t xml:space="preserve"> ознакомлен (-а) и согласен (-на)</t>
    </r>
    <r>
      <rPr>
        <sz val="10.5"/>
        <rFont val="Times New Roman"/>
        <family val="1"/>
        <charset val="204"/>
      </rPr>
      <t xml:space="preserve"> со всеми пунктами настоящего документа, положения которого мне разъяснены и понятны.
Беседу провел врач-анестезиолог-реаниматолог</t>
    </r>
    <r>
      <rPr>
        <sz val="10.5"/>
        <rFont val="Times New Roman"/>
        <family val="1"/>
        <charset val="204"/>
      </rPr>
      <t xml:space="preserve">___________________________________
                                                                                                     </t>
    </r>
    <r>
      <rPr>
        <sz val="9"/>
        <rFont val="Times New Roman"/>
        <family val="1"/>
        <charset val="204"/>
      </rPr>
      <t xml:space="preserve"> (ФИО, подпись) </t>
    </r>
    <r>
      <rPr>
        <sz val="10.5"/>
        <rFont val="Times New Roman"/>
        <family val="1"/>
        <charset val="204"/>
      </rPr>
      <t xml:space="preserve">  
Пациент (законный представитель) __________________________________________________________________
                                                                         </t>
    </r>
    <r>
      <rPr>
        <sz val="9"/>
        <rFont val="Times New Roman"/>
        <family val="1"/>
        <charset val="204"/>
      </rPr>
      <t xml:space="preserve"> (подпись пациента или его законного представителя)</t>
    </r>
  </si>
  <si>
    <r>
      <t>Консилиум:_____</t>
    </r>
    <r>
      <rPr>
        <sz val="10.5"/>
        <rFont val="Times New Roman"/>
        <family val="1"/>
        <charset val="204"/>
      </rPr>
      <t>________________________________________________________</t>
    </r>
  </si>
  <si>
    <r>
      <t>____</t>
    </r>
    <r>
      <rPr>
        <u/>
        <sz val="10.5"/>
        <rFont val="Times New Roman"/>
        <family val="1"/>
        <charset val="204"/>
      </rPr>
      <t xml:space="preserve">вр. анестезиолог-реаниматолог </t>
    </r>
    <r>
      <rPr>
        <sz val="10.5"/>
        <rFont val="Times New Roman"/>
        <family val="1"/>
        <charset val="204"/>
      </rPr>
      <t>_________________________________________________</t>
    </r>
  </si>
</sst>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dd/mm/yy;@"/>
    <numFmt numFmtId="165" formatCode="d/m;@"/>
    <numFmt numFmtId="166" formatCode="0.000"/>
    <numFmt numFmtId="167" formatCode="[&lt;=9999999]###\-####;\(###\)\ ###\-####"/>
    <numFmt numFmtId="168" formatCode="[&lt;=9999999]#,###,###;\(#,##\)\ #,###,###"/>
    <numFmt numFmtId="169" formatCode="General\ &quot;мл&quot;"/>
    <numFmt numFmtId="170" formatCode="General\ &quot;г/кг&quot;"/>
    <numFmt numFmtId="171" formatCode="General\ &quot;г&quot;"/>
    <numFmt numFmtId="172" formatCode="General\ &quot;кг&quot;"/>
    <numFmt numFmtId="173" formatCode="General\ &quot;ккал/кг&quot;"/>
  </numFmts>
  <fonts count="54" x14ac:knownFonts="1">
    <font>
      <sz val="10"/>
      <name val="Arial Cyr"/>
      <charset val="204"/>
    </font>
    <font>
      <b/>
      <sz val="24"/>
      <color indexed="8"/>
      <name val="Arial Cyr"/>
      <charset val="204"/>
    </font>
    <font>
      <sz val="18"/>
      <color indexed="8"/>
      <name val="Arial Cyr"/>
      <charset val="204"/>
    </font>
    <font>
      <sz val="12"/>
      <color indexed="8"/>
      <name val="Arial Cyr"/>
      <charset val="204"/>
    </font>
    <font>
      <sz val="10"/>
      <color indexed="63"/>
      <name val="Arial Cyr"/>
      <charset val="204"/>
    </font>
    <font>
      <i/>
      <sz val="10"/>
      <color indexed="23"/>
      <name val="Arial Cyr"/>
      <charset val="204"/>
    </font>
    <font>
      <sz val="10"/>
      <color indexed="17"/>
      <name val="Arial Cyr"/>
      <charset val="204"/>
    </font>
    <font>
      <sz val="10"/>
      <color indexed="19"/>
      <name val="Arial Cyr"/>
      <charset val="204"/>
    </font>
    <font>
      <sz val="10"/>
      <color indexed="16"/>
      <name val="Arial Cyr"/>
      <charset val="204"/>
    </font>
    <font>
      <b/>
      <sz val="10"/>
      <color indexed="9"/>
      <name val="Arial Cyr"/>
      <charset val="204"/>
    </font>
    <font>
      <b/>
      <sz val="10"/>
      <color indexed="8"/>
      <name val="Arial Cyr"/>
      <charset val="204"/>
    </font>
    <font>
      <sz val="10"/>
      <color indexed="9"/>
      <name val="Arial Cyr"/>
      <charset val="204"/>
    </font>
    <font>
      <b/>
      <sz val="10"/>
      <color indexed="10"/>
      <name val="Arial Cyr"/>
      <charset val="204"/>
    </font>
    <font>
      <b/>
      <sz val="10"/>
      <name val="Arial Cyr"/>
      <charset val="204"/>
    </font>
    <font>
      <b/>
      <sz val="18"/>
      <color indexed="10"/>
      <name val="Arial Cyr"/>
      <charset val="204"/>
    </font>
    <font>
      <sz val="10"/>
      <color indexed="42"/>
      <name val="Arial Cyr"/>
      <charset val="204"/>
    </font>
    <font>
      <b/>
      <sz val="8"/>
      <color indexed="8"/>
      <name val="Tahoma"/>
      <family val="2"/>
      <charset val="204"/>
    </font>
    <font>
      <sz val="10"/>
      <name val="Times New Roman"/>
      <family val="1"/>
      <charset val="204"/>
    </font>
    <font>
      <sz val="12"/>
      <name val="Times New Roman"/>
      <family val="1"/>
      <charset val="204"/>
    </font>
    <font>
      <b/>
      <sz val="12"/>
      <name val="Times New Roman"/>
      <family val="1"/>
      <charset val="204"/>
    </font>
    <font>
      <sz val="11"/>
      <name val="Times New Roman"/>
      <family val="1"/>
      <charset val="204"/>
    </font>
    <font>
      <b/>
      <sz val="10"/>
      <name val="Times New Roman"/>
      <family val="1"/>
      <charset val="204"/>
    </font>
    <font>
      <b/>
      <sz val="11"/>
      <name val="Times New Roman"/>
      <family val="1"/>
      <charset val="204"/>
    </font>
    <font>
      <b/>
      <sz val="8"/>
      <name val="Times New Roman"/>
      <family val="1"/>
      <charset val="204"/>
    </font>
    <font>
      <sz val="8"/>
      <name val="Arial Cyr"/>
      <charset val="204"/>
    </font>
    <font>
      <sz val="8"/>
      <name val="Times New Roman"/>
      <family val="1"/>
      <charset val="204"/>
    </font>
    <font>
      <sz val="9"/>
      <name val="Times New Roman"/>
      <family val="1"/>
      <charset val="204"/>
    </font>
    <font>
      <sz val="9"/>
      <name val="Arial Cyr"/>
      <charset val="204"/>
    </font>
    <font>
      <sz val="7"/>
      <name val="Times New Roman"/>
      <family val="1"/>
      <charset val="204"/>
    </font>
    <font>
      <i/>
      <sz val="10"/>
      <name val="Times New Roman"/>
      <family val="1"/>
      <charset val="204"/>
    </font>
    <font>
      <sz val="10"/>
      <name val="Arial"/>
      <family val="2"/>
      <charset val="204"/>
    </font>
    <font>
      <i/>
      <sz val="11"/>
      <name val="Times New Roman"/>
      <family val="1"/>
      <charset val="204"/>
    </font>
    <font>
      <vertAlign val="subscript"/>
      <sz val="11"/>
      <name val="Times New Roman"/>
      <family val="1"/>
      <charset val="204"/>
    </font>
    <font>
      <b/>
      <sz val="9"/>
      <name val="Times New Roman"/>
      <family val="1"/>
      <charset val="204"/>
    </font>
    <font>
      <sz val="15"/>
      <name val="Arial Cyr"/>
      <charset val="204"/>
    </font>
    <font>
      <sz val="12"/>
      <name val="Calibri"/>
      <family val="1"/>
      <charset val="204"/>
    </font>
    <font>
      <sz val="18"/>
      <name val="Times New Roman"/>
      <family val="1"/>
      <charset val="204"/>
    </font>
    <font>
      <sz val="36"/>
      <name val="Times New Roman"/>
      <family val="1"/>
      <charset val="204"/>
    </font>
    <font>
      <sz val="28"/>
      <name val="Times New Roman"/>
      <family val="1"/>
      <charset val="204"/>
    </font>
    <font>
      <b/>
      <sz val="38"/>
      <name val="Times New Roman"/>
      <family val="1"/>
      <charset val="204"/>
    </font>
    <font>
      <sz val="10.5"/>
      <name val="Times New Roman"/>
      <family val="1"/>
      <charset val="204"/>
    </font>
    <font>
      <u/>
      <sz val="10.5"/>
      <name val="Times New Roman"/>
      <family val="1"/>
      <charset val="204"/>
    </font>
    <font>
      <u/>
      <sz val="10"/>
      <name val="Times New Roman"/>
      <family val="1"/>
      <charset val="204"/>
    </font>
    <font>
      <sz val="10"/>
      <name val="Arial Cyr"/>
      <charset val="204"/>
    </font>
    <font>
      <b/>
      <sz val="45"/>
      <name val="Tahoma"/>
      <family val="2"/>
      <charset val="204"/>
    </font>
    <font>
      <sz val="11"/>
      <name val="Arial Cyr"/>
      <charset val="204"/>
    </font>
    <font>
      <b/>
      <sz val="10.5"/>
      <name val="Times New Roman"/>
      <family val="1"/>
      <charset val="204"/>
    </font>
    <font>
      <i/>
      <u/>
      <sz val="10.5"/>
      <name val="Times New Roman"/>
      <family val="1"/>
      <charset val="204"/>
    </font>
    <font>
      <b/>
      <i/>
      <sz val="10.5"/>
      <name val="Times New Roman"/>
      <family val="1"/>
      <charset val="204"/>
    </font>
    <font>
      <b/>
      <u/>
      <sz val="10.5"/>
      <name val="Times New Roman"/>
      <family val="1"/>
      <charset val="204"/>
    </font>
    <font>
      <b/>
      <sz val="13.5"/>
      <name val="Times New Roman"/>
      <family val="1"/>
      <charset val="204"/>
    </font>
    <font>
      <b/>
      <sz val="46"/>
      <name val="Times New Roman"/>
      <family val="1"/>
      <charset val="204"/>
    </font>
    <font>
      <sz val="9"/>
      <color indexed="81"/>
      <name val="Tahoma"/>
      <charset val="1"/>
    </font>
    <font>
      <b/>
      <sz val="9"/>
      <color indexed="81"/>
      <name val="Tahoma"/>
      <charset val="1"/>
    </font>
  </fonts>
  <fills count="17">
    <fill>
      <patternFill patternType="none"/>
    </fill>
    <fill>
      <patternFill patternType="gray125"/>
    </fill>
    <fill>
      <patternFill patternType="solid">
        <fgColor indexed="8"/>
        <bgColor indexed="58"/>
      </patternFill>
    </fill>
    <fill>
      <patternFill patternType="solid">
        <fgColor indexed="23"/>
        <bgColor indexed="55"/>
      </patternFill>
    </fill>
    <fill>
      <patternFill patternType="solid">
        <fgColor indexed="31"/>
        <bgColor indexed="47"/>
      </patternFill>
    </fill>
    <fill>
      <patternFill patternType="solid">
        <fgColor indexed="47"/>
        <bgColor indexed="31"/>
      </patternFill>
    </fill>
    <fill>
      <patternFill patternType="solid">
        <fgColor indexed="16"/>
        <bgColor indexed="10"/>
      </patternFill>
    </fill>
    <fill>
      <patternFill patternType="solid">
        <fgColor indexed="42"/>
        <bgColor indexed="27"/>
      </patternFill>
    </fill>
    <fill>
      <patternFill patternType="solid">
        <fgColor indexed="26"/>
        <bgColor indexed="9"/>
      </patternFill>
    </fill>
    <fill>
      <patternFill patternType="solid">
        <fgColor indexed="43"/>
        <bgColor indexed="26"/>
      </patternFill>
    </fill>
    <fill>
      <patternFill patternType="solid">
        <fgColor indexed="27"/>
        <bgColor indexed="41"/>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34998626667073579"/>
        <bgColor indexed="64"/>
      </patternFill>
    </fill>
    <fill>
      <patternFill patternType="solid">
        <fgColor theme="0" tint="-0.14999847407452621"/>
        <bgColor indexed="64"/>
      </patternFill>
    </fill>
  </fills>
  <borders count="128">
    <border>
      <left/>
      <right/>
      <top/>
      <bottom/>
      <diagonal/>
    </border>
    <border>
      <left style="thin">
        <color indexed="23"/>
      </left>
      <right style="thin">
        <color indexed="23"/>
      </right>
      <top style="thin">
        <color indexed="23"/>
      </top>
      <bottom style="thin">
        <color indexed="23"/>
      </bottom>
      <diagonal/>
    </border>
    <border>
      <left style="thick">
        <color indexed="8"/>
      </left>
      <right style="thick">
        <color indexed="8"/>
      </right>
      <top style="thick">
        <color indexed="8"/>
      </top>
      <bottom/>
      <diagonal/>
    </border>
    <border>
      <left style="thin">
        <color indexed="8"/>
      </left>
      <right style="thin">
        <color indexed="8"/>
      </right>
      <top style="thin">
        <color indexed="8"/>
      </top>
      <bottom style="thin">
        <color indexed="8"/>
      </bottom>
      <diagonal/>
    </border>
    <border>
      <left style="thick">
        <color indexed="8"/>
      </left>
      <right style="thick">
        <color indexed="8"/>
      </right>
      <top/>
      <bottom/>
      <diagonal/>
    </border>
    <border>
      <left style="thick">
        <color indexed="8"/>
      </left>
      <right style="thick">
        <color indexed="8"/>
      </right>
      <top style="thin">
        <color indexed="8"/>
      </top>
      <bottom style="thin">
        <color indexed="8"/>
      </bottom>
      <diagonal/>
    </border>
    <border>
      <left style="thick">
        <color indexed="8"/>
      </left>
      <right style="thick">
        <color indexed="8"/>
      </right>
      <top style="thin">
        <color indexed="8"/>
      </top>
      <bottom style="thick">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dotted">
        <color indexed="8"/>
      </bottom>
      <diagonal/>
    </border>
    <border>
      <left/>
      <right style="hair">
        <color indexed="8"/>
      </right>
      <top/>
      <bottom style="dotted">
        <color indexed="8"/>
      </bottom>
      <diagonal/>
    </border>
    <border>
      <left style="hair">
        <color indexed="8"/>
      </left>
      <right style="hair">
        <color indexed="8"/>
      </right>
      <top/>
      <bottom style="dotted">
        <color indexed="8"/>
      </bottom>
      <diagonal/>
    </border>
    <border>
      <left style="thin">
        <color indexed="8"/>
      </left>
      <right style="dotted">
        <color indexed="8"/>
      </right>
      <top style="thin">
        <color indexed="8"/>
      </top>
      <bottom style="dotted">
        <color indexed="8"/>
      </bottom>
      <diagonal/>
    </border>
    <border>
      <left style="dotted">
        <color indexed="8"/>
      </left>
      <right style="dotted">
        <color indexed="8"/>
      </right>
      <top style="thin">
        <color indexed="8"/>
      </top>
      <bottom style="dotted">
        <color indexed="8"/>
      </bottom>
      <diagonal/>
    </border>
    <border>
      <left style="dotted">
        <color indexed="8"/>
      </left>
      <right/>
      <top style="thin">
        <color indexed="8"/>
      </top>
      <bottom style="dotted">
        <color indexed="8"/>
      </bottom>
      <diagonal/>
    </border>
    <border>
      <left/>
      <right style="dotted">
        <color indexed="8"/>
      </right>
      <top style="thin">
        <color indexed="8"/>
      </top>
      <bottom style="dotted">
        <color indexed="8"/>
      </bottom>
      <diagonal/>
    </border>
    <border>
      <left style="dotted">
        <color indexed="8"/>
      </left>
      <right style="thin">
        <color indexed="8"/>
      </right>
      <top style="thin">
        <color indexed="8"/>
      </top>
      <bottom style="dotted">
        <color indexed="8"/>
      </bottom>
      <diagonal/>
    </border>
    <border>
      <left style="thin">
        <color indexed="8"/>
      </left>
      <right style="thin">
        <color indexed="8"/>
      </right>
      <top style="dotted">
        <color indexed="8"/>
      </top>
      <bottom style="dotted">
        <color indexed="8"/>
      </bottom>
      <diagonal/>
    </border>
    <border>
      <left/>
      <right style="hair">
        <color indexed="8"/>
      </right>
      <top style="dotted">
        <color indexed="8"/>
      </top>
      <bottom style="dotted">
        <color indexed="8"/>
      </bottom>
      <diagonal/>
    </border>
    <border>
      <left style="hair">
        <color indexed="8"/>
      </left>
      <right style="hair">
        <color indexed="8"/>
      </right>
      <top style="dotted">
        <color indexed="8"/>
      </top>
      <bottom style="dotted">
        <color indexed="8"/>
      </bottom>
      <diagonal/>
    </border>
    <border>
      <left style="thin">
        <color indexed="8"/>
      </left>
      <right style="dotted">
        <color indexed="8"/>
      </right>
      <top style="dotted">
        <color indexed="8"/>
      </top>
      <bottom style="dotted">
        <color indexed="8"/>
      </bottom>
      <diagonal/>
    </border>
    <border>
      <left style="dotted">
        <color indexed="8"/>
      </left>
      <right/>
      <top style="dotted">
        <color indexed="8"/>
      </top>
      <bottom style="dotted">
        <color indexed="8"/>
      </bottom>
      <diagonal/>
    </border>
    <border>
      <left style="dotted">
        <color indexed="8"/>
      </left>
      <right style="dotted">
        <color indexed="8"/>
      </right>
      <top style="dotted">
        <color indexed="8"/>
      </top>
      <bottom style="dotted">
        <color indexed="8"/>
      </bottom>
      <diagonal/>
    </border>
    <border>
      <left/>
      <right style="dotted">
        <color indexed="8"/>
      </right>
      <top style="dotted">
        <color indexed="8"/>
      </top>
      <bottom style="dotted">
        <color indexed="8"/>
      </bottom>
      <diagonal/>
    </border>
    <border>
      <left style="dotted">
        <color indexed="8"/>
      </left>
      <right style="thin">
        <color indexed="8"/>
      </right>
      <top style="dotted">
        <color indexed="8"/>
      </top>
      <bottom style="dotted">
        <color indexed="8"/>
      </bottom>
      <diagonal/>
    </border>
    <border>
      <left/>
      <right style="hair">
        <color indexed="8"/>
      </right>
      <top style="dotted">
        <color indexed="8"/>
      </top>
      <bottom style="hair">
        <color indexed="8"/>
      </bottom>
      <diagonal/>
    </border>
    <border>
      <left style="hair">
        <color indexed="8"/>
      </left>
      <right style="hair">
        <color indexed="8"/>
      </right>
      <top style="dotted">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thin">
        <color indexed="8"/>
      </left>
      <right style="thin">
        <color indexed="8"/>
      </right>
      <top style="dotted">
        <color indexed="8"/>
      </top>
      <bottom style="hair">
        <color indexed="8"/>
      </bottom>
      <diagonal/>
    </border>
    <border>
      <left style="thin">
        <color indexed="8"/>
      </left>
      <right style="dotted">
        <color indexed="8"/>
      </right>
      <top style="dotted">
        <color indexed="8"/>
      </top>
      <bottom style="hair">
        <color indexed="8"/>
      </bottom>
      <diagonal/>
    </border>
    <border>
      <left style="dotted">
        <color indexed="8"/>
      </left>
      <right style="dotted">
        <color indexed="8"/>
      </right>
      <top style="dotted">
        <color indexed="8"/>
      </top>
      <bottom style="hair">
        <color indexed="8"/>
      </bottom>
      <diagonal/>
    </border>
    <border>
      <left style="dotted">
        <color indexed="8"/>
      </left>
      <right/>
      <top style="dotted">
        <color indexed="8"/>
      </top>
      <bottom style="hair">
        <color indexed="8"/>
      </bottom>
      <diagonal/>
    </border>
    <border>
      <left/>
      <right style="dotted">
        <color indexed="8"/>
      </right>
      <top style="dotted">
        <color indexed="8"/>
      </top>
      <bottom style="hair">
        <color indexed="8"/>
      </bottom>
      <diagonal/>
    </border>
    <border>
      <left style="dotted">
        <color indexed="8"/>
      </left>
      <right style="thin">
        <color indexed="8"/>
      </right>
      <top style="dotted">
        <color indexed="8"/>
      </top>
      <bottom style="hair">
        <color indexed="8"/>
      </bottom>
      <diagonal/>
    </border>
    <border>
      <left style="thin">
        <color indexed="8"/>
      </left>
      <right style="thin">
        <color indexed="8"/>
      </right>
      <top style="hair">
        <color indexed="8"/>
      </top>
      <bottom style="hair">
        <color indexed="8"/>
      </bottom>
      <diagonal/>
    </border>
    <border>
      <left style="thin">
        <color indexed="8"/>
      </left>
      <right/>
      <top style="hair">
        <color indexed="8"/>
      </top>
      <bottom style="hair">
        <color indexed="8"/>
      </bottom>
      <diagonal/>
    </border>
    <border>
      <left style="dotted">
        <color indexed="8"/>
      </left>
      <right/>
      <top style="hair">
        <color indexed="8"/>
      </top>
      <bottom style="hair">
        <color indexed="8"/>
      </bottom>
      <diagonal/>
    </border>
    <border>
      <left style="dotted">
        <color indexed="8"/>
      </left>
      <right style="thin">
        <color indexed="8"/>
      </right>
      <top style="hair">
        <color indexed="8"/>
      </top>
      <bottom style="hair">
        <color indexed="8"/>
      </bottom>
      <diagonal/>
    </border>
    <border>
      <left/>
      <right/>
      <top style="hair">
        <color indexed="8"/>
      </top>
      <bottom style="hair">
        <color indexed="8"/>
      </bottom>
      <diagonal/>
    </border>
    <border>
      <left style="dotted">
        <color indexed="8"/>
      </left>
      <right style="dotted">
        <color indexed="8"/>
      </right>
      <top style="hair">
        <color indexed="8"/>
      </top>
      <bottom style="hair">
        <color indexed="8"/>
      </bottom>
      <diagonal/>
    </border>
    <border>
      <left/>
      <right style="thin">
        <color indexed="8"/>
      </right>
      <top style="hair">
        <color indexed="8"/>
      </top>
      <bottom style="hair">
        <color indexed="8"/>
      </bottom>
      <diagonal/>
    </border>
    <border>
      <left style="thin">
        <color indexed="8"/>
      </left>
      <right style="thin">
        <color indexed="8"/>
      </right>
      <top style="hair">
        <color indexed="8"/>
      </top>
      <bottom/>
      <diagonal/>
    </border>
    <border>
      <left/>
      <right style="hair">
        <color indexed="8"/>
      </right>
      <top style="hair">
        <color indexed="8"/>
      </top>
      <bottom/>
      <diagonal/>
    </border>
    <border>
      <left style="hair">
        <color indexed="8"/>
      </left>
      <right style="hair">
        <color indexed="8"/>
      </right>
      <top style="hair">
        <color indexed="8"/>
      </top>
      <bottom/>
      <diagonal/>
    </border>
    <border>
      <left style="thin">
        <color indexed="8"/>
      </left>
      <right/>
      <top style="hair">
        <color indexed="8"/>
      </top>
      <bottom/>
      <diagonal/>
    </border>
    <border>
      <left style="dotted">
        <color indexed="8"/>
      </left>
      <right/>
      <top style="hair">
        <color indexed="8"/>
      </top>
      <bottom/>
      <diagonal/>
    </border>
    <border>
      <left style="dotted">
        <color indexed="8"/>
      </left>
      <right style="thin">
        <color indexed="8"/>
      </right>
      <top style="hair">
        <color indexed="8"/>
      </top>
      <bottom/>
      <diagonal/>
    </border>
    <border>
      <left/>
      <right/>
      <top style="hair">
        <color indexed="8"/>
      </top>
      <bottom/>
      <diagonal/>
    </border>
    <border>
      <left style="dotted">
        <color indexed="8"/>
      </left>
      <right style="dotted">
        <color indexed="8"/>
      </right>
      <top style="hair">
        <color indexed="8"/>
      </top>
      <bottom/>
      <diagonal/>
    </border>
    <border>
      <left/>
      <right style="thin">
        <color indexed="8"/>
      </right>
      <top style="hair">
        <color indexed="8"/>
      </top>
      <bottom/>
      <diagonal/>
    </border>
    <border>
      <left style="thin">
        <color indexed="8"/>
      </left>
      <right style="dotted">
        <color indexed="8"/>
      </right>
      <top style="medium">
        <color indexed="8"/>
      </top>
      <bottom style="dotted">
        <color indexed="8"/>
      </bottom>
      <diagonal/>
    </border>
    <border>
      <left style="dotted">
        <color indexed="8"/>
      </left>
      <right style="dotted">
        <color indexed="8"/>
      </right>
      <top style="medium">
        <color indexed="8"/>
      </top>
      <bottom style="dotted">
        <color indexed="8"/>
      </bottom>
      <diagonal/>
    </border>
    <border>
      <left style="dotted">
        <color indexed="8"/>
      </left>
      <right/>
      <top style="medium">
        <color indexed="8"/>
      </top>
      <bottom style="dotted">
        <color indexed="8"/>
      </bottom>
      <diagonal/>
    </border>
    <border>
      <left/>
      <right style="dotted">
        <color indexed="8"/>
      </right>
      <top style="medium">
        <color indexed="8"/>
      </top>
      <bottom style="dotted">
        <color indexed="8"/>
      </bottom>
      <diagonal/>
    </border>
    <border>
      <left style="dotted">
        <color indexed="8"/>
      </left>
      <right style="thin">
        <color indexed="8"/>
      </right>
      <top style="medium">
        <color indexed="8"/>
      </top>
      <bottom style="dotted">
        <color indexed="8"/>
      </bottom>
      <diagonal/>
    </border>
    <border>
      <left style="thin">
        <color indexed="8"/>
      </left>
      <right style="dotted">
        <color indexed="8"/>
      </right>
      <top style="dotted">
        <color indexed="8"/>
      </top>
      <bottom style="medium">
        <color indexed="8"/>
      </bottom>
      <diagonal/>
    </border>
    <border>
      <left style="dotted">
        <color indexed="8"/>
      </left>
      <right style="dotted">
        <color indexed="8"/>
      </right>
      <top style="dotted">
        <color indexed="8"/>
      </top>
      <bottom style="medium">
        <color indexed="8"/>
      </bottom>
      <diagonal/>
    </border>
    <border>
      <left style="dotted">
        <color indexed="8"/>
      </left>
      <right/>
      <top style="dotted">
        <color indexed="8"/>
      </top>
      <bottom style="medium">
        <color indexed="8"/>
      </bottom>
      <diagonal/>
    </border>
    <border>
      <left/>
      <right style="dotted">
        <color indexed="8"/>
      </right>
      <top style="dotted">
        <color indexed="8"/>
      </top>
      <bottom style="medium">
        <color indexed="8"/>
      </bottom>
      <diagonal/>
    </border>
    <border>
      <left style="dotted">
        <color indexed="8"/>
      </left>
      <right style="thin">
        <color indexed="8"/>
      </right>
      <top style="dotted">
        <color indexed="8"/>
      </top>
      <bottom style="medium">
        <color indexed="8"/>
      </bottom>
      <diagonal/>
    </border>
    <border>
      <left/>
      <right style="dotted">
        <color indexed="8"/>
      </right>
      <top/>
      <bottom style="dotted">
        <color indexed="8"/>
      </bottom>
      <diagonal/>
    </border>
    <border>
      <left style="dotted">
        <color indexed="8"/>
      </left>
      <right style="dotted">
        <color indexed="8"/>
      </right>
      <top/>
      <bottom style="dotted">
        <color indexed="8"/>
      </bottom>
      <diagonal/>
    </border>
    <border>
      <left style="dotted">
        <color indexed="8"/>
      </left>
      <right/>
      <top/>
      <bottom style="dotted">
        <color indexed="8"/>
      </bottom>
      <diagonal/>
    </border>
    <border>
      <left style="dotted">
        <color indexed="8"/>
      </left>
      <right style="thin">
        <color indexed="8"/>
      </right>
      <top/>
      <bottom style="dotted">
        <color indexed="8"/>
      </bottom>
      <diagonal/>
    </border>
    <border>
      <left style="thin">
        <color indexed="8"/>
      </left>
      <right style="dotted">
        <color indexed="8"/>
      </right>
      <top style="dotted">
        <color indexed="8"/>
      </top>
      <bottom style="thin">
        <color indexed="8"/>
      </bottom>
      <diagonal/>
    </border>
    <border>
      <left style="dotted">
        <color indexed="8"/>
      </left>
      <right style="dotted">
        <color indexed="8"/>
      </right>
      <top style="dotted">
        <color indexed="8"/>
      </top>
      <bottom style="thin">
        <color indexed="8"/>
      </bottom>
      <diagonal/>
    </border>
    <border>
      <left style="dotted">
        <color indexed="8"/>
      </left>
      <right/>
      <top style="dotted">
        <color indexed="8"/>
      </top>
      <bottom style="thin">
        <color indexed="8"/>
      </bottom>
      <diagonal/>
    </border>
    <border>
      <left/>
      <right style="dotted">
        <color indexed="8"/>
      </right>
      <top style="dotted">
        <color indexed="8"/>
      </top>
      <bottom style="thin">
        <color indexed="8"/>
      </bottom>
      <diagonal/>
    </border>
    <border>
      <left style="dotted">
        <color indexed="8"/>
      </left>
      <right style="thin">
        <color indexed="8"/>
      </right>
      <top style="dotted">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style="hair">
        <color indexed="8"/>
      </right>
      <top style="medium">
        <color indexed="8"/>
      </top>
      <bottom style="hair">
        <color indexed="8"/>
      </bottom>
      <diagonal/>
    </border>
    <border>
      <left style="hair">
        <color indexed="8"/>
      </left>
      <right style="hair">
        <color indexed="8"/>
      </right>
      <top style="medium">
        <color indexed="8"/>
      </top>
      <bottom style="hair">
        <color indexed="8"/>
      </bottom>
      <diagonal/>
    </border>
    <border>
      <left style="hair">
        <color indexed="8"/>
      </left>
      <right style="medium">
        <color indexed="8"/>
      </right>
      <top style="medium">
        <color indexed="8"/>
      </top>
      <bottom style="hair">
        <color indexed="8"/>
      </bottom>
      <diagonal/>
    </border>
    <border>
      <left style="medium">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medium">
        <color indexed="8"/>
      </left>
      <right style="hair">
        <color indexed="8"/>
      </right>
      <top style="hair">
        <color indexed="8"/>
      </top>
      <bottom style="medium">
        <color indexed="8"/>
      </bottom>
      <diagonal/>
    </border>
    <border>
      <left style="hair">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
      <left style="hair">
        <color indexed="8"/>
      </left>
      <right style="hair">
        <color indexed="8"/>
      </right>
      <top/>
      <bottom style="hair">
        <color indexed="8"/>
      </bottom>
      <diagonal/>
    </border>
    <border>
      <left style="medium">
        <color indexed="8"/>
      </left>
      <right style="hair">
        <color indexed="8"/>
      </right>
      <top style="hair">
        <color indexed="8"/>
      </top>
      <bottom/>
      <diagonal/>
    </border>
    <border>
      <left style="hair">
        <color indexed="8"/>
      </left>
      <right style="medium">
        <color indexed="8"/>
      </right>
      <top style="hair">
        <color indexed="8"/>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hair">
        <color indexed="8"/>
      </left>
      <right/>
      <top style="dotted">
        <color indexed="8"/>
      </top>
      <bottom style="dotted">
        <color indexed="8"/>
      </bottom>
      <diagonal/>
    </border>
    <border>
      <left style="hair">
        <color indexed="8"/>
      </left>
      <right/>
      <top style="dotted">
        <color indexed="8"/>
      </top>
      <bottom style="hair">
        <color indexed="8"/>
      </bottom>
      <diagonal/>
    </border>
    <border>
      <left style="hair">
        <color indexed="8"/>
      </left>
      <right/>
      <top style="hair">
        <color indexed="8"/>
      </top>
      <bottom/>
      <diagonal/>
    </border>
    <border>
      <left style="thin">
        <color indexed="8"/>
      </left>
      <right/>
      <top style="medium">
        <color indexed="8"/>
      </top>
      <bottom style="dotted">
        <color indexed="8"/>
      </bottom>
      <diagonal/>
    </border>
    <border>
      <left style="thin">
        <color indexed="8"/>
      </left>
      <right/>
      <top style="dotted">
        <color indexed="8"/>
      </top>
      <bottom style="dotted">
        <color indexed="8"/>
      </bottom>
      <diagonal/>
    </border>
    <border>
      <left style="thin">
        <color indexed="8"/>
      </left>
      <right/>
      <top style="dotted">
        <color indexed="8"/>
      </top>
      <bottom style="medium">
        <color indexed="8"/>
      </bottom>
      <diagonal/>
    </border>
    <border>
      <left style="thin">
        <color indexed="8"/>
      </left>
      <right/>
      <top style="hair">
        <color indexed="8"/>
      </top>
      <bottom style="dotted">
        <color indexed="8"/>
      </bottom>
      <diagonal/>
    </border>
    <border>
      <left style="thin">
        <color indexed="8"/>
      </left>
      <right/>
      <top style="dotted">
        <color indexed="8"/>
      </top>
      <bottom style="thin">
        <color indexed="8"/>
      </bottom>
      <diagonal/>
    </border>
    <border>
      <left/>
      <right/>
      <top style="thin">
        <color indexed="8"/>
      </top>
      <bottom/>
      <diagonal/>
    </border>
    <border>
      <left/>
      <right/>
      <top/>
      <bottom style="hair">
        <color indexed="8"/>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s>
  <cellStyleXfs count="18">
    <xf numFmtId="0" fontId="0" fillId="0" borderId="0"/>
    <xf numFmtId="0" fontId="10" fillId="0" borderId="0" applyNumberFormat="0" applyFill="0" applyBorder="0" applyAlignment="0" applyProtection="0"/>
    <xf numFmtId="0" fontId="11" fillId="2" borderId="0" applyNumberFormat="0" applyBorder="0" applyAlignment="0" applyProtection="0"/>
    <xf numFmtId="0" fontId="11" fillId="3" borderId="0" applyNumberFormat="0" applyBorder="0" applyAlignment="0" applyProtection="0"/>
    <xf numFmtId="0" fontId="10"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5"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7" fillId="8" borderId="0" applyNumberFormat="0" applyBorder="0" applyAlignment="0" applyProtection="0"/>
    <xf numFmtId="0" fontId="4" fillId="8" borderId="1" applyNumberFormat="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8" fillId="0" borderId="0" applyNumberFormat="0" applyFill="0" applyBorder="0" applyAlignment="0" applyProtection="0"/>
    <xf numFmtId="0" fontId="43" fillId="0" borderId="0" applyNumberFormat="0" applyFill="0" applyBorder="0" applyAlignment="0" applyProtection="0"/>
  </cellStyleXfs>
  <cellXfs count="496">
    <xf numFmtId="0" fontId="0" fillId="0" borderId="0" xfId="0"/>
    <xf numFmtId="0" fontId="0" fillId="7" borderId="0" xfId="0" applyFill="1"/>
    <xf numFmtId="14" fontId="0" fillId="7" borderId="0" xfId="0" applyNumberFormat="1" applyFill="1"/>
    <xf numFmtId="0" fontId="12" fillId="7" borderId="2" xfId="0" applyFont="1" applyFill="1" applyBorder="1" applyAlignment="1">
      <alignment horizontal="center" wrapText="1"/>
    </xf>
    <xf numFmtId="0" fontId="0" fillId="7" borderId="3" xfId="0" applyFont="1" applyFill="1" applyBorder="1"/>
    <xf numFmtId="164" fontId="0" fillId="9" borderId="3" xfId="0" applyNumberFormat="1" applyFill="1" applyBorder="1" applyProtection="1">
      <protection locked="0"/>
    </xf>
    <xf numFmtId="0" fontId="13" fillId="7" borderId="4" xfId="0" applyFont="1" applyFill="1" applyBorder="1" applyAlignment="1">
      <alignment wrapText="1"/>
    </xf>
    <xf numFmtId="0" fontId="0" fillId="7" borderId="0" xfId="0" applyNumberFormat="1" applyFont="1" applyFill="1"/>
    <xf numFmtId="0" fontId="13" fillId="7" borderId="5" xfId="0" applyFont="1" applyFill="1" applyBorder="1" applyAlignment="1">
      <alignment wrapText="1"/>
    </xf>
    <xf numFmtId="164" fontId="0" fillId="0" borderId="3" xfId="0" applyNumberFormat="1" applyFill="1" applyBorder="1" applyProtection="1">
      <protection locked="0"/>
    </xf>
    <xf numFmtId="0" fontId="13" fillId="7" borderId="6" xfId="0" applyFont="1" applyFill="1" applyBorder="1" applyAlignment="1">
      <alignment wrapText="1"/>
    </xf>
    <xf numFmtId="49" fontId="0" fillId="7" borderId="3" xfId="0" applyNumberFormat="1" applyFont="1" applyFill="1" applyBorder="1"/>
    <xf numFmtId="165" fontId="0" fillId="7" borderId="0" xfId="0" applyNumberFormat="1" applyFill="1"/>
    <xf numFmtId="49" fontId="0" fillId="7" borderId="0" xfId="0" applyNumberFormat="1" applyFill="1"/>
    <xf numFmtId="164" fontId="0" fillId="7" borderId="0" xfId="0" applyNumberFormat="1" applyFill="1"/>
    <xf numFmtId="0" fontId="14" fillId="7" borderId="0" xfId="0" applyFont="1" applyFill="1"/>
    <xf numFmtId="0" fontId="0" fillId="9" borderId="3" xfId="0" applyFill="1" applyBorder="1"/>
    <xf numFmtId="0" fontId="0" fillId="0" borderId="3" xfId="0" applyFill="1" applyBorder="1" applyProtection="1">
      <protection locked="0"/>
    </xf>
    <xf numFmtId="0" fontId="15" fillId="7" borderId="0" xfId="0" applyFont="1" applyFill="1"/>
    <xf numFmtId="0" fontId="0" fillId="0" borderId="3" xfId="0" applyFont="1" applyFill="1" applyBorder="1" applyProtection="1">
      <protection locked="0"/>
    </xf>
    <xf numFmtId="0" fontId="17" fillId="0" borderId="0" xfId="0" applyFont="1" applyFill="1" applyBorder="1" applyAlignment="1"/>
    <xf numFmtId="0" fontId="18" fillId="0" borderId="0" xfId="0" applyFont="1" applyFill="1" applyBorder="1" applyAlignment="1"/>
    <xf numFmtId="0" fontId="0" fillId="0" borderId="0" xfId="0" applyFill="1" applyBorder="1" applyAlignment="1">
      <alignment horizontal="center" vertical="center"/>
    </xf>
    <xf numFmtId="49" fontId="0" fillId="0" borderId="7" xfId="0" applyNumberFormat="1" applyFont="1" applyBorder="1" applyAlignment="1" applyProtection="1">
      <alignment horizontal="center"/>
    </xf>
    <xf numFmtId="0" fontId="17" fillId="0" borderId="3" xfId="0" applyFont="1" applyFill="1" applyBorder="1" applyAlignment="1" applyProtection="1">
      <alignment horizontal="center"/>
    </xf>
    <xf numFmtId="0" fontId="17" fillId="0" borderId="7" xfId="0" applyFont="1" applyFill="1" applyBorder="1" applyAlignment="1" applyProtection="1"/>
    <xf numFmtId="0" fontId="17" fillId="0" borderId="3" xfId="0" applyFont="1" applyFill="1" applyBorder="1" applyAlignment="1" applyProtection="1">
      <protection locked="0"/>
    </xf>
    <xf numFmtId="0" fontId="17" fillId="0" borderId="3" xfId="0" applyFont="1" applyFill="1" applyBorder="1" applyAlignment="1" applyProtection="1"/>
    <xf numFmtId="0" fontId="17" fillId="0" borderId="8" xfId="0" applyFont="1" applyFill="1" applyBorder="1" applyAlignment="1" applyProtection="1"/>
    <xf numFmtId="0" fontId="24" fillId="0" borderId="3" xfId="0" applyFont="1" applyBorder="1" applyAlignment="1"/>
    <xf numFmtId="0" fontId="25" fillId="0" borderId="3" xfId="0" applyFont="1" applyFill="1" applyBorder="1" applyAlignment="1"/>
    <xf numFmtId="0" fontId="26" fillId="0" borderId="3" xfId="0" applyFont="1" applyFill="1" applyBorder="1" applyAlignment="1"/>
    <xf numFmtId="0" fontId="27" fillId="0" borderId="3" xfId="0" applyFont="1" applyBorder="1" applyAlignment="1"/>
    <xf numFmtId="0" fontId="20" fillId="0" borderId="9" xfId="0" applyFont="1" applyBorder="1" applyAlignment="1" applyProtection="1">
      <alignment horizontal="center"/>
      <protection locked="0"/>
    </xf>
    <xf numFmtId="0" fontId="17" fillId="0" borderId="10" xfId="0" applyFont="1" applyBorder="1" applyAlignment="1" applyProtection="1">
      <protection locked="0"/>
    </xf>
    <xf numFmtId="0" fontId="17" fillId="0" borderId="11" xfId="0" applyFont="1" applyBorder="1" applyAlignment="1" applyProtection="1">
      <protection locked="0"/>
    </xf>
    <xf numFmtId="0" fontId="17" fillId="0" borderId="12" xfId="0" applyFont="1" applyFill="1" applyBorder="1" applyAlignment="1" applyProtection="1">
      <alignment horizontal="center" vertical="center"/>
      <protection locked="0"/>
    </xf>
    <xf numFmtId="0" fontId="0" fillId="0" borderId="13" xfId="0" applyFont="1" applyFill="1" applyBorder="1" applyAlignment="1" applyProtection="1">
      <alignment horizontal="center" vertical="center"/>
      <protection locked="0"/>
    </xf>
    <xf numFmtId="0" fontId="17" fillId="0" borderId="14" xfId="0" applyFont="1" applyFill="1" applyBorder="1" applyAlignment="1" applyProtection="1">
      <alignment horizontal="center" vertical="center"/>
      <protection locked="0"/>
    </xf>
    <xf numFmtId="0" fontId="17" fillId="0" borderId="13" xfId="0" applyFont="1" applyFill="1" applyBorder="1" applyAlignment="1" applyProtection="1">
      <alignment horizontal="center" vertical="center"/>
      <protection locked="0"/>
    </xf>
    <xf numFmtId="0" fontId="17" fillId="0" borderId="15" xfId="0" applyFont="1" applyFill="1" applyBorder="1" applyAlignment="1" applyProtection="1">
      <alignment horizontal="center" vertical="center"/>
      <protection locked="0"/>
    </xf>
    <xf numFmtId="0" fontId="0" fillId="0" borderId="14" xfId="0" applyFont="1" applyFill="1" applyBorder="1" applyAlignment="1" applyProtection="1">
      <alignment horizontal="center" vertical="center"/>
      <protection locked="0"/>
    </xf>
    <xf numFmtId="0" fontId="0" fillId="0" borderId="15" xfId="0" applyFont="1" applyFill="1" applyBorder="1" applyAlignment="1" applyProtection="1">
      <alignment horizontal="center" vertical="center"/>
      <protection locked="0"/>
    </xf>
    <xf numFmtId="0" fontId="17" fillId="0" borderId="16" xfId="0" applyFont="1" applyFill="1" applyBorder="1" applyAlignment="1" applyProtection="1">
      <alignment horizontal="center" vertical="center"/>
      <protection locked="0"/>
    </xf>
    <xf numFmtId="0" fontId="25" fillId="0" borderId="3" xfId="0" applyFont="1" applyFill="1" applyBorder="1" applyAlignment="1" applyProtection="1">
      <alignment horizontal="center" vertical="center"/>
    </xf>
    <xf numFmtId="0" fontId="20" fillId="0" borderId="17" xfId="0" applyFont="1" applyBorder="1" applyAlignment="1" applyProtection="1">
      <alignment horizontal="center"/>
      <protection locked="0"/>
    </xf>
    <xf numFmtId="0" fontId="17" fillId="0" borderId="18" xfId="0" applyFont="1" applyBorder="1" applyAlignment="1" applyProtection="1">
      <protection locked="0"/>
    </xf>
    <xf numFmtId="0" fontId="17" fillId="0" borderId="19" xfId="0" applyFont="1" applyBorder="1" applyAlignment="1" applyProtection="1">
      <protection locked="0"/>
    </xf>
    <xf numFmtId="0" fontId="17" fillId="0" borderId="20" xfId="0" applyFont="1" applyFill="1" applyBorder="1" applyAlignment="1" applyProtection="1">
      <alignment horizontal="center" vertical="center"/>
      <protection locked="0"/>
    </xf>
    <xf numFmtId="0" fontId="0" fillId="0" borderId="21" xfId="0" applyFill="1" applyBorder="1" applyAlignment="1">
      <alignment horizontal="center" vertical="center"/>
    </xf>
    <xf numFmtId="0" fontId="17" fillId="0" borderId="22" xfId="0" applyFont="1" applyFill="1" applyBorder="1" applyAlignment="1" applyProtection="1">
      <alignment horizontal="center" vertical="center"/>
      <protection locked="0"/>
    </xf>
    <xf numFmtId="0" fontId="17" fillId="0" borderId="23" xfId="0" applyFont="1" applyFill="1" applyBorder="1" applyAlignment="1" applyProtection="1">
      <alignment horizontal="center" vertical="center"/>
      <protection locked="0"/>
    </xf>
    <xf numFmtId="0" fontId="0" fillId="0" borderId="22" xfId="0" applyFont="1" applyFill="1" applyBorder="1" applyAlignment="1" applyProtection="1">
      <alignment horizontal="center" vertical="center"/>
      <protection locked="0"/>
    </xf>
    <xf numFmtId="0" fontId="0" fillId="0" borderId="22" xfId="0" applyFill="1" applyBorder="1" applyAlignment="1">
      <alignment horizontal="center" vertical="center"/>
    </xf>
    <xf numFmtId="0" fontId="0" fillId="0" borderId="21" xfId="0" applyFont="1" applyFill="1" applyBorder="1" applyAlignment="1" applyProtection="1">
      <alignment horizontal="center" vertical="center"/>
      <protection locked="0"/>
    </xf>
    <xf numFmtId="0" fontId="0" fillId="0" borderId="23" xfId="0" applyFill="1" applyBorder="1" applyAlignment="1">
      <alignment horizontal="center" vertical="center"/>
    </xf>
    <xf numFmtId="0" fontId="0" fillId="0" borderId="24" xfId="0" applyFont="1" applyFill="1" applyBorder="1" applyAlignment="1" applyProtection="1">
      <alignment horizontal="center" vertical="center"/>
      <protection locked="0"/>
    </xf>
    <xf numFmtId="0" fontId="26" fillId="0" borderId="22" xfId="0" applyFont="1" applyFill="1" applyBorder="1" applyAlignment="1" applyProtection="1">
      <alignment horizontal="center" vertical="center"/>
      <protection locked="0"/>
    </xf>
    <xf numFmtId="0" fontId="17" fillId="0" borderId="21" xfId="0" applyFont="1" applyFill="1" applyBorder="1" applyAlignment="1" applyProtection="1">
      <alignment horizontal="center" vertical="center"/>
      <protection locked="0"/>
    </xf>
    <xf numFmtId="0" fontId="0" fillId="0" borderId="23" xfId="0" applyFont="1" applyFill="1" applyBorder="1" applyAlignment="1" applyProtection="1">
      <alignment horizontal="center" vertical="center"/>
      <protection locked="0"/>
    </xf>
    <xf numFmtId="0" fontId="17" fillId="0" borderId="24" xfId="0" applyFont="1" applyFill="1" applyBorder="1" applyAlignment="1" applyProtection="1">
      <alignment horizontal="center" vertical="center"/>
      <protection locked="0"/>
    </xf>
    <xf numFmtId="0" fontId="0" fillId="0" borderId="20" xfId="0" applyFill="1" applyBorder="1" applyAlignment="1">
      <alignment horizontal="center" vertical="center"/>
    </xf>
    <xf numFmtId="0" fontId="0" fillId="0" borderId="20" xfId="0" applyFont="1" applyFill="1" applyBorder="1" applyAlignment="1" applyProtection="1">
      <alignment horizontal="center" vertical="center"/>
      <protection locked="0"/>
    </xf>
    <xf numFmtId="0" fontId="30" fillId="0" borderId="22" xfId="0" applyFont="1" applyFill="1" applyBorder="1" applyAlignment="1" applyProtection="1">
      <alignment horizontal="center" vertical="center"/>
      <protection locked="0"/>
    </xf>
    <xf numFmtId="0" fontId="17" fillId="0" borderId="3" xfId="0" applyFont="1" applyFill="1" applyBorder="1" applyAlignment="1" applyProtection="1">
      <alignment horizontal="center" vertical="center"/>
      <protection locked="0"/>
    </xf>
    <xf numFmtId="0" fontId="17" fillId="0" borderId="25" xfId="0" applyFont="1" applyBorder="1" applyAlignment="1" applyProtection="1">
      <protection locked="0"/>
    </xf>
    <xf numFmtId="0" fontId="17" fillId="0" borderId="26" xfId="0" applyFont="1" applyBorder="1" applyAlignment="1" applyProtection="1">
      <protection locked="0"/>
    </xf>
    <xf numFmtId="0" fontId="17" fillId="0" borderId="27" xfId="0" applyFont="1" applyBorder="1" applyAlignment="1" applyProtection="1">
      <protection locked="0"/>
    </xf>
    <xf numFmtId="0" fontId="17" fillId="0" borderId="28" xfId="0" applyFont="1" applyBorder="1" applyAlignment="1" applyProtection="1">
      <protection locked="0"/>
    </xf>
    <xf numFmtId="0" fontId="17" fillId="0" borderId="3" xfId="0" applyFont="1" applyFill="1" applyBorder="1" applyAlignment="1" applyProtection="1">
      <alignment horizontal="center"/>
      <protection locked="0"/>
    </xf>
    <xf numFmtId="0" fontId="20" fillId="0" borderId="17" xfId="0" applyFont="1" applyFill="1" applyBorder="1" applyAlignment="1" applyProtection="1">
      <alignment horizontal="center"/>
      <protection locked="0"/>
    </xf>
    <xf numFmtId="0" fontId="17" fillId="0" borderId="27" xfId="0" applyFont="1" applyFill="1" applyBorder="1" applyAlignment="1" applyProtection="1">
      <protection locked="0"/>
    </xf>
    <xf numFmtId="0" fontId="17" fillId="0" borderId="28" xfId="0" applyFont="1" applyFill="1" applyBorder="1" applyAlignment="1" applyProtection="1">
      <protection locked="0"/>
    </xf>
    <xf numFmtId="0" fontId="17" fillId="0" borderId="29" xfId="0" applyFont="1" applyFill="1" applyBorder="1" applyAlignment="1" applyProtection="1">
      <protection locked="0"/>
    </xf>
    <xf numFmtId="0" fontId="17" fillId="0" borderId="3" xfId="0" applyFont="1" applyFill="1" applyBorder="1" applyAlignment="1">
      <alignment horizontal="center"/>
    </xf>
    <xf numFmtId="0" fontId="20" fillId="0" borderId="30" xfId="0" applyFont="1" applyFill="1" applyBorder="1" applyAlignment="1" applyProtection="1">
      <alignment horizontal="center"/>
      <protection locked="0"/>
    </xf>
    <xf numFmtId="0" fontId="17" fillId="0" borderId="31" xfId="0" applyFont="1" applyFill="1" applyBorder="1" applyAlignment="1" applyProtection="1">
      <alignment horizontal="center" vertical="center"/>
      <protection locked="0"/>
    </xf>
    <xf numFmtId="0" fontId="17" fillId="0" borderId="32" xfId="0" applyFont="1" applyFill="1" applyBorder="1" applyAlignment="1" applyProtection="1">
      <alignment horizontal="center" vertical="center"/>
      <protection locked="0"/>
    </xf>
    <xf numFmtId="0" fontId="17" fillId="0" borderId="33" xfId="0" applyFont="1" applyFill="1" applyBorder="1" applyAlignment="1" applyProtection="1">
      <alignment horizontal="center" vertical="center"/>
      <protection locked="0"/>
    </xf>
    <xf numFmtId="0" fontId="17" fillId="0" borderId="34" xfId="0" applyFont="1" applyFill="1" applyBorder="1" applyAlignment="1" applyProtection="1">
      <alignment horizontal="center" vertical="center"/>
      <protection locked="0"/>
    </xf>
    <xf numFmtId="0" fontId="17" fillId="0" borderId="35" xfId="0" applyFont="1" applyFill="1" applyBorder="1" applyAlignment="1" applyProtection="1">
      <alignment horizontal="center" vertical="center"/>
      <protection locked="0"/>
    </xf>
    <xf numFmtId="0" fontId="20" fillId="0" borderId="36" xfId="0" applyFont="1" applyFill="1" applyBorder="1" applyAlignment="1" applyProtection="1">
      <alignment horizontal="center"/>
      <protection locked="0"/>
    </xf>
    <xf numFmtId="0" fontId="17" fillId="0" borderId="37" xfId="0" applyFont="1" applyFill="1" applyBorder="1" applyAlignment="1" applyProtection="1">
      <alignment horizontal="center" vertical="center"/>
      <protection locked="0"/>
    </xf>
    <xf numFmtId="0" fontId="17" fillId="0" borderId="38" xfId="0" applyFont="1" applyFill="1" applyBorder="1" applyAlignment="1" applyProtection="1">
      <alignment horizontal="center" vertical="center"/>
      <protection locked="0"/>
    </xf>
    <xf numFmtId="0" fontId="17" fillId="0" borderId="39" xfId="0" applyFont="1" applyFill="1" applyBorder="1" applyAlignment="1" applyProtection="1">
      <alignment horizontal="center" vertical="center"/>
      <protection locked="0"/>
    </xf>
    <xf numFmtId="0" fontId="17" fillId="0" borderId="40" xfId="0" applyFont="1" applyFill="1" applyBorder="1" applyAlignment="1" applyProtection="1">
      <alignment horizontal="center" vertical="center"/>
      <protection locked="0"/>
    </xf>
    <xf numFmtId="0" fontId="17" fillId="0" borderId="41" xfId="0" applyFont="1" applyFill="1" applyBorder="1" applyAlignment="1" applyProtection="1">
      <alignment horizontal="center" vertical="center"/>
      <protection locked="0"/>
    </xf>
    <xf numFmtId="0" fontId="17" fillId="0" borderId="42" xfId="0" applyFont="1" applyFill="1" applyBorder="1" applyAlignment="1" applyProtection="1">
      <alignment horizontal="center" vertical="center"/>
      <protection locked="0"/>
    </xf>
    <xf numFmtId="0" fontId="20" fillId="0" borderId="43" xfId="0" applyFont="1" applyFill="1" applyBorder="1" applyAlignment="1" applyProtection="1">
      <alignment horizontal="center"/>
      <protection locked="0"/>
    </xf>
    <xf numFmtId="0" fontId="17" fillId="0" borderId="44" xfId="0" applyFont="1" applyFill="1" applyBorder="1" applyAlignment="1" applyProtection="1">
      <protection locked="0"/>
    </xf>
    <xf numFmtId="0" fontId="17" fillId="0" borderId="45" xfId="0" applyFont="1" applyFill="1" applyBorder="1" applyAlignment="1" applyProtection="1">
      <protection locked="0"/>
    </xf>
    <xf numFmtId="0" fontId="17" fillId="0" borderId="46" xfId="0" applyFont="1" applyFill="1" applyBorder="1" applyAlignment="1" applyProtection="1">
      <alignment horizontal="center" vertical="center"/>
      <protection locked="0"/>
    </xf>
    <xf numFmtId="0" fontId="17" fillId="0" borderId="47" xfId="0" applyFont="1" applyFill="1" applyBorder="1" applyAlignment="1" applyProtection="1">
      <alignment horizontal="center" vertical="center"/>
      <protection locked="0"/>
    </xf>
    <xf numFmtId="0" fontId="17" fillId="0" borderId="48" xfId="0" applyFont="1" applyFill="1" applyBorder="1" applyAlignment="1" applyProtection="1">
      <alignment horizontal="center" vertical="center"/>
      <protection locked="0"/>
    </xf>
    <xf numFmtId="0" fontId="17" fillId="0" borderId="49" xfId="0" applyFont="1" applyFill="1" applyBorder="1" applyAlignment="1" applyProtection="1">
      <alignment horizontal="center" vertical="center"/>
      <protection locked="0"/>
    </xf>
    <xf numFmtId="0" fontId="17" fillId="0" borderId="50" xfId="0" applyFont="1" applyFill="1" applyBorder="1" applyAlignment="1" applyProtection="1">
      <alignment horizontal="center" vertical="center"/>
      <protection locked="0"/>
    </xf>
    <xf numFmtId="0" fontId="17" fillId="0" borderId="51" xfId="0" applyFont="1" applyFill="1" applyBorder="1" applyAlignment="1" applyProtection="1">
      <alignment horizontal="center" vertical="center"/>
      <protection locked="0"/>
    </xf>
    <xf numFmtId="0" fontId="17" fillId="0" borderId="52" xfId="0" applyFont="1" applyFill="1" applyBorder="1" applyAlignment="1" applyProtection="1">
      <alignment horizontal="center" vertical="center"/>
      <protection locked="0"/>
    </xf>
    <xf numFmtId="0" fontId="17" fillId="0" borderId="53" xfId="0" applyFont="1" applyFill="1" applyBorder="1" applyAlignment="1" applyProtection="1">
      <alignment horizontal="center" vertical="center"/>
      <protection locked="0"/>
    </xf>
    <xf numFmtId="0" fontId="17" fillId="0" borderId="54" xfId="0" applyFont="1" applyFill="1" applyBorder="1" applyAlignment="1" applyProtection="1">
      <alignment horizontal="center" vertical="center"/>
      <protection locked="0"/>
    </xf>
    <xf numFmtId="0" fontId="17" fillId="0" borderId="55" xfId="0" applyFont="1" applyFill="1" applyBorder="1" applyAlignment="1" applyProtection="1">
      <alignment horizontal="center" vertical="center"/>
      <protection locked="0"/>
    </xf>
    <xf numFmtId="0" fontId="17" fillId="0" borderId="56" xfId="0" applyFont="1" applyFill="1" applyBorder="1" applyAlignment="1" applyProtection="1">
      <alignment horizontal="center" vertical="center"/>
      <protection locked="0"/>
    </xf>
    <xf numFmtId="0" fontId="17" fillId="0" borderId="57" xfId="0" applyFont="1" applyFill="1" applyBorder="1" applyAlignment="1" applyProtection="1">
      <alignment horizontal="center" vertical="center"/>
      <protection locked="0"/>
    </xf>
    <xf numFmtId="0" fontId="17" fillId="0" borderId="58" xfId="0" applyFont="1" applyFill="1" applyBorder="1" applyAlignment="1" applyProtection="1">
      <alignment horizontal="center" vertical="center"/>
      <protection locked="0"/>
    </xf>
    <xf numFmtId="0" fontId="17" fillId="0" borderId="59" xfId="0" applyFont="1" applyFill="1" applyBorder="1" applyAlignment="1" applyProtection="1">
      <alignment horizontal="center" vertical="center"/>
      <protection locked="0"/>
    </xf>
    <xf numFmtId="0" fontId="17" fillId="0" borderId="60" xfId="0" applyFont="1" applyFill="1" applyBorder="1" applyAlignment="1" applyProtection="1">
      <alignment horizontal="center" vertical="center"/>
      <protection locked="0"/>
    </xf>
    <xf numFmtId="0" fontId="17" fillId="0" borderId="61" xfId="0" applyFont="1" applyFill="1" applyBorder="1" applyAlignment="1" applyProtection="1">
      <alignment horizontal="center" vertical="center"/>
      <protection locked="0"/>
    </xf>
    <xf numFmtId="0" fontId="17" fillId="0" borderId="62" xfId="0" applyFont="1" applyFill="1" applyBorder="1" applyAlignment="1" applyProtection="1">
      <alignment horizontal="center" vertical="center"/>
      <protection locked="0"/>
    </xf>
    <xf numFmtId="0" fontId="17" fillId="0" borderId="63" xfId="0" applyFont="1" applyFill="1" applyBorder="1" applyAlignment="1" applyProtection="1">
      <alignment horizontal="center" vertical="center"/>
      <protection locked="0"/>
    </xf>
    <xf numFmtId="0" fontId="17" fillId="0" borderId="64" xfId="0" applyFont="1" applyFill="1" applyBorder="1" applyAlignment="1" applyProtection="1">
      <alignment horizontal="center" vertical="center"/>
      <protection locked="0"/>
    </xf>
    <xf numFmtId="0" fontId="17" fillId="0" borderId="65" xfId="0" applyFont="1" applyFill="1" applyBorder="1" applyAlignment="1" applyProtection="1">
      <alignment horizontal="center" vertical="center"/>
      <protection locked="0"/>
    </xf>
    <xf numFmtId="0" fontId="30" fillId="0" borderId="24" xfId="0" applyFont="1" applyFill="1" applyBorder="1" applyAlignment="1" applyProtection="1">
      <alignment horizontal="center" vertical="center"/>
      <protection locked="0"/>
    </xf>
    <xf numFmtId="0" fontId="17" fillId="0" borderId="3" xfId="0" applyFont="1" applyFill="1" applyBorder="1" applyAlignment="1">
      <alignment horizontal="center" vertical="center"/>
    </xf>
    <xf numFmtId="0" fontId="17" fillId="0" borderId="66" xfId="0" applyFont="1" applyFill="1" applyBorder="1" applyAlignment="1" applyProtection="1">
      <alignment horizontal="center" vertical="center"/>
      <protection locked="0"/>
    </xf>
    <xf numFmtId="0" fontId="17" fillId="0" borderId="67" xfId="0" applyFont="1" applyFill="1" applyBorder="1" applyAlignment="1" applyProtection="1">
      <alignment horizontal="center" vertical="center"/>
      <protection locked="0"/>
    </xf>
    <xf numFmtId="0" fontId="17" fillId="0" borderId="68" xfId="0" applyFont="1" applyFill="1" applyBorder="1" applyAlignment="1" applyProtection="1">
      <alignment horizontal="center" vertical="center"/>
      <protection locked="0"/>
    </xf>
    <xf numFmtId="0" fontId="17" fillId="0" borderId="69" xfId="0" applyFont="1" applyFill="1" applyBorder="1" applyAlignment="1" applyProtection="1">
      <alignment horizontal="center" vertical="center"/>
      <protection locked="0"/>
    </xf>
    <xf numFmtId="0" fontId="17" fillId="0" borderId="70" xfId="0" applyFont="1" applyFill="1" applyBorder="1" applyAlignment="1" applyProtection="1">
      <alignment horizontal="center" vertical="center"/>
      <protection locked="0"/>
    </xf>
    <xf numFmtId="0" fontId="17" fillId="0" borderId="0" xfId="0" applyFont="1" applyFill="1" applyBorder="1" applyAlignment="1">
      <alignment horizontal="center" vertical="center"/>
    </xf>
    <xf numFmtId="0" fontId="17" fillId="0" borderId="0" xfId="0" applyFont="1" applyBorder="1" applyAlignment="1"/>
    <xf numFmtId="0" fontId="18" fillId="0" borderId="3" xfId="0" applyFont="1" applyBorder="1" applyAlignment="1">
      <alignment horizontal="center" vertical="center"/>
    </xf>
    <xf numFmtId="0" fontId="18" fillId="0" borderId="0" xfId="0" applyFont="1" applyBorder="1" applyAlignment="1">
      <alignment horizontal="center"/>
    </xf>
    <xf numFmtId="0" fontId="18" fillId="0" borderId="71" xfId="0" applyFont="1" applyBorder="1" applyAlignment="1">
      <alignment horizontal="center" vertical="center"/>
    </xf>
    <xf numFmtId="0" fontId="18" fillId="0" borderId="7" xfId="0" applyFont="1" applyBorder="1" applyAlignment="1">
      <alignment horizontal="center" vertical="center"/>
    </xf>
    <xf numFmtId="0" fontId="17" fillId="0" borderId="7" xfId="0" applyFont="1" applyBorder="1" applyAlignment="1"/>
    <xf numFmtId="0" fontId="17" fillId="0" borderId="72" xfId="0" applyFont="1" applyBorder="1" applyAlignment="1"/>
    <xf numFmtId="0" fontId="17" fillId="0" borderId="3" xfId="0" applyFont="1" applyBorder="1" applyAlignment="1"/>
    <xf numFmtId="0" fontId="17" fillId="0" borderId="71" xfId="0" applyFont="1" applyBorder="1" applyAlignment="1"/>
    <xf numFmtId="0" fontId="0" fillId="10" borderId="28" xfId="0" applyFill="1" applyBorder="1"/>
    <xf numFmtId="0" fontId="13" fillId="10" borderId="73" xfId="0" applyFont="1" applyFill="1" applyBorder="1"/>
    <xf numFmtId="0" fontId="0" fillId="10" borderId="74" xfId="0" applyFont="1" applyFill="1" applyBorder="1"/>
    <xf numFmtId="0" fontId="0" fillId="10" borderId="75" xfId="0" applyFont="1" applyFill="1" applyBorder="1"/>
    <xf numFmtId="0" fontId="0" fillId="10" borderId="27" xfId="0" applyFont="1" applyFill="1" applyBorder="1"/>
    <xf numFmtId="0" fontId="13" fillId="10" borderId="28" xfId="0" applyFont="1" applyFill="1" applyBorder="1"/>
    <xf numFmtId="0" fontId="0" fillId="10" borderId="76" xfId="0" applyFont="1" applyFill="1" applyBorder="1"/>
    <xf numFmtId="0" fontId="0" fillId="0" borderId="28" xfId="0" applyFill="1" applyBorder="1" applyProtection="1">
      <protection locked="0"/>
    </xf>
    <xf numFmtId="0" fontId="0" fillId="10" borderId="77" xfId="0" applyFill="1" applyBorder="1"/>
    <xf numFmtId="1" fontId="0" fillId="10" borderId="27" xfId="0" applyNumberFormat="1" applyFill="1" applyBorder="1"/>
    <xf numFmtId="1" fontId="13" fillId="10" borderId="28" xfId="0" applyNumberFormat="1" applyFont="1" applyFill="1" applyBorder="1"/>
    <xf numFmtId="1" fontId="0" fillId="10" borderId="77" xfId="0" applyNumberFormat="1" applyFill="1" applyBorder="1"/>
    <xf numFmtId="0" fontId="30" fillId="10" borderId="28" xfId="0" applyFont="1" applyFill="1" applyBorder="1"/>
    <xf numFmtId="0" fontId="0" fillId="10" borderId="28" xfId="0" applyFill="1" applyBorder="1" applyProtection="1">
      <protection locked="0"/>
    </xf>
    <xf numFmtId="0" fontId="0" fillId="7" borderId="28" xfId="0" applyFill="1" applyBorder="1"/>
    <xf numFmtId="0" fontId="13" fillId="7" borderId="73" xfId="0" applyFont="1" applyFill="1" applyBorder="1"/>
    <xf numFmtId="0" fontId="0" fillId="7" borderId="74" xfId="0" applyFont="1" applyFill="1" applyBorder="1"/>
    <xf numFmtId="0" fontId="0" fillId="7" borderId="75" xfId="0" applyFont="1" applyFill="1" applyBorder="1"/>
    <xf numFmtId="0" fontId="0" fillId="7" borderId="40" xfId="0" applyFill="1" applyBorder="1"/>
    <xf numFmtId="0" fontId="0" fillId="7" borderId="27" xfId="0" applyFill="1" applyBorder="1"/>
    <xf numFmtId="0" fontId="0" fillId="7" borderId="76" xfId="0" applyFont="1" applyFill="1" applyBorder="1"/>
    <xf numFmtId="0" fontId="0" fillId="7" borderId="77" xfId="0" applyFill="1" applyBorder="1"/>
    <xf numFmtId="0" fontId="0" fillId="7" borderId="78" xfId="0" applyFont="1" applyFill="1" applyBorder="1"/>
    <xf numFmtId="0" fontId="0" fillId="7" borderId="79" xfId="0" applyFill="1" applyBorder="1"/>
    <xf numFmtId="0" fontId="0" fillId="0" borderId="79" xfId="0" applyFill="1" applyBorder="1" applyProtection="1">
      <protection locked="0"/>
    </xf>
    <xf numFmtId="0" fontId="0" fillId="7" borderId="80" xfId="0" applyFill="1" applyBorder="1"/>
    <xf numFmtId="0" fontId="0" fillId="7" borderId="81" xfId="0" applyFill="1" applyBorder="1"/>
    <xf numFmtId="0" fontId="0" fillId="7" borderId="45" xfId="0" applyFill="1" applyBorder="1"/>
    <xf numFmtId="1" fontId="0" fillId="7" borderId="77" xfId="0" applyNumberFormat="1" applyFill="1" applyBorder="1"/>
    <xf numFmtId="0" fontId="0" fillId="7" borderId="82" xfId="0" applyFont="1" applyFill="1" applyBorder="1"/>
    <xf numFmtId="0" fontId="0" fillId="0" borderId="45" xfId="0" applyFill="1" applyBorder="1" applyProtection="1">
      <protection locked="0"/>
    </xf>
    <xf numFmtId="0" fontId="0" fillId="7" borderId="83" xfId="0" applyFill="1" applyBorder="1"/>
    <xf numFmtId="0" fontId="13" fillId="7" borderId="28" xfId="0" applyFont="1" applyFill="1" applyBorder="1"/>
    <xf numFmtId="1" fontId="13" fillId="7" borderId="28" xfId="0" applyNumberFormat="1" applyFont="1" applyFill="1" applyBorder="1"/>
    <xf numFmtId="0" fontId="0" fillId="0" borderId="0" xfId="0" applyProtection="1">
      <protection locked="0"/>
    </xf>
    <xf numFmtId="0" fontId="0" fillId="0" borderId="28" xfId="0" applyBorder="1" applyProtection="1">
      <protection locked="0"/>
    </xf>
    <xf numFmtId="0" fontId="0" fillId="0" borderId="28" xfId="0" applyFont="1" applyBorder="1" applyAlignment="1">
      <alignment horizontal="right"/>
    </xf>
    <xf numFmtId="0" fontId="0" fillId="0" borderId="3" xfId="0" applyBorder="1"/>
    <xf numFmtId="0" fontId="36" fillId="0" borderId="0" xfId="0" applyFont="1" applyAlignment="1">
      <alignment horizontal="right"/>
    </xf>
    <xf numFmtId="0" fontId="36" fillId="0" borderId="0" xfId="0" applyFont="1" applyAlignment="1">
      <alignment horizontal="left"/>
    </xf>
    <xf numFmtId="0" fontId="0" fillId="0" borderId="0" xfId="0" applyAlignment="1">
      <alignment horizontal="left"/>
    </xf>
    <xf numFmtId="0" fontId="0" fillId="0" borderId="0" xfId="0" applyAlignment="1"/>
    <xf numFmtId="0" fontId="37" fillId="0" borderId="0" xfId="0" applyFont="1" applyAlignment="1">
      <alignment horizontal="right"/>
    </xf>
    <xf numFmtId="0" fontId="37" fillId="0" borderId="0" xfId="0" applyFont="1"/>
    <xf numFmtId="0" fontId="37" fillId="0" borderId="0" xfId="0" applyFont="1" applyAlignment="1">
      <alignment horizontal="left"/>
    </xf>
    <xf numFmtId="0" fontId="38" fillId="0" borderId="0" xfId="0" applyFont="1" applyAlignment="1">
      <alignment horizontal="right"/>
    </xf>
    <xf numFmtId="14" fontId="38" fillId="0" borderId="0" xfId="0" applyNumberFormat="1" applyFont="1" applyAlignment="1">
      <alignment horizontal="left"/>
    </xf>
    <xf numFmtId="0" fontId="17" fillId="0" borderId="0" xfId="0" applyFont="1" applyAlignment="1">
      <alignment wrapText="1"/>
    </xf>
    <xf numFmtId="0" fontId="17" fillId="0" borderId="0" xfId="0" applyFont="1" applyAlignment="1"/>
    <xf numFmtId="0" fontId="0" fillId="0" borderId="0" xfId="0" applyAlignment="1">
      <alignment vertical="top" wrapText="1"/>
    </xf>
    <xf numFmtId="0" fontId="20" fillId="0" borderId="0" xfId="0" applyFont="1" applyBorder="1" applyAlignment="1">
      <alignment vertical="center" wrapText="1"/>
    </xf>
    <xf numFmtId="0" fontId="0" fillId="0" borderId="0" xfId="0" applyAlignment="1">
      <alignment vertical="center"/>
    </xf>
    <xf numFmtId="0" fontId="17" fillId="0" borderId="0" xfId="0" applyFont="1" applyBorder="1" applyAlignment="1">
      <alignment vertical="top" wrapText="1"/>
    </xf>
    <xf numFmtId="0" fontId="40" fillId="0" borderId="0" xfId="0" applyFont="1"/>
    <xf numFmtId="0" fontId="0" fillId="0" borderId="0" xfId="0" applyBorder="1"/>
    <xf numFmtId="0" fontId="40" fillId="0" borderId="0" xfId="0" applyFont="1" applyAlignment="1">
      <alignment horizontal="center"/>
    </xf>
    <xf numFmtId="0" fontId="40" fillId="0" borderId="0" xfId="0" applyFont="1" applyAlignment="1">
      <alignment vertical="top" wrapText="1"/>
    </xf>
    <xf numFmtId="0" fontId="40" fillId="0" borderId="84" xfId="0" applyFont="1" applyBorder="1"/>
    <xf numFmtId="0" fontId="40" fillId="0" borderId="0" xfId="0" applyFont="1" applyBorder="1"/>
    <xf numFmtId="0" fontId="40" fillId="0" borderId="85" xfId="0" applyFont="1" applyBorder="1"/>
    <xf numFmtId="0" fontId="40" fillId="0" borderId="84" xfId="0" applyFont="1" applyBorder="1" applyAlignment="1">
      <alignment horizontal="center"/>
    </xf>
    <xf numFmtId="0" fontId="40" fillId="0" borderId="86" xfId="0" applyFont="1" applyBorder="1" applyAlignment="1">
      <alignment horizontal="center"/>
    </xf>
    <xf numFmtId="0" fontId="0" fillId="0" borderId="87" xfId="0" applyBorder="1"/>
    <xf numFmtId="0" fontId="40" fillId="0" borderId="87" xfId="0" applyFont="1" applyBorder="1"/>
    <xf numFmtId="0" fontId="40" fillId="0" borderId="88" xfId="0" applyFont="1" applyBorder="1"/>
    <xf numFmtId="0" fontId="0" fillId="0" borderId="85" xfId="0" applyBorder="1"/>
    <xf numFmtId="0" fontId="0" fillId="0" borderId="86" xfId="0" applyBorder="1"/>
    <xf numFmtId="0" fontId="0" fillId="0" borderId="88" xfId="0" applyBorder="1"/>
    <xf numFmtId="0" fontId="40" fillId="0" borderId="84" xfId="0" applyFont="1" applyBorder="1" applyAlignment="1">
      <alignment horizontal="center" vertical="top" wrapText="1"/>
    </xf>
    <xf numFmtId="0" fontId="17" fillId="0" borderId="85" xfId="0" applyFont="1" applyBorder="1" applyAlignment="1">
      <alignment vertical="top" wrapText="1"/>
    </xf>
    <xf numFmtId="0" fontId="17" fillId="0" borderId="86" xfId="0" applyFont="1" applyBorder="1" applyAlignment="1">
      <alignment vertical="top" wrapText="1"/>
    </xf>
    <xf numFmtId="0" fontId="17" fillId="0" borderId="87" xfId="0" applyFont="1" applyBorder="1" applyAlignment="1">
      <alignment vertical="top" wrapText="1"/>
    </xf>
    <xf numFmtId="0" fontId="17" fillId="0" borderId="88" xfId="0" applyFont="1" applyBorder="1" applyAlignment="1">
      <alignment vertical="top" wrapText="1"/>
    </xf>
    <xf numFmtId="0" fontId="0" fillId="0" borderId="49" xfId="0" applyFont="1" applyBorder="1" applyAlignment="1">
      <alignment horizontal="center" vertical="top"/>
    </xf>
    <xf numFmtId="0" fontId="0" fillId="0" borderId="0" xfId="0" applyFont="1" applyBorder="1" applyAlignment="1">
      <alignment horizontal="center" vertical="top"/>
    </xf>
    <xf numFmtId="0" fontId="0" fillId="11" borderId="89" xfId="0" applyFill="1" applyBorder="1" applyProtection="1"/>
    <xf numFmtId="0" fontId="0" fillId="12" borderId="90" xfId="0" applyFill="1" applyBorder="1" applyProtection="1"/>
    <xf numFmtId="0" fontId="0" fillId="12" borderId="91" xfId="0" applyFill="1" applyBorder="1" applyProtection="1"/>
    <xf numFmtId="0" fontId="0" fillId="12" borderId="84" xfId="0" applyFill="1" applyBorder="1" applyProtection="1"/>
    <xf numFmtId="0" fontId="0" fillId="12" borderId="0" xfId="0" applyFill="1" applyBorder="1" applyProtection="1"/>
    <xf numFmtId="0" fontId="0" fillId="12" borderId="93" xfId="0" applyFill="1" applyBorder="1" applyProtection="1"/>
    <xf numFmtId="0" fontId="0" fillId="13" borderId="89" xfId="0" applyFill="1" applyBorder="1" applyAlignment="1" applyProtection="1">
      <alignment horizontal="center"/>
      <protection locked="0"/>
    </xf>
    <xf numFmtId="0" fontId="0" fillId="11" borderId="89" xfId="0" applyFill="1" applyBorder="1" applyAlignment="1" applyProtection="1">
      <alignment horizontal="right"/>
    </xf>
    <xf numFmtId="0" fontId="0" fillId="12" borderId="89" xfId="0" applyFill="1" applyBorder="1" applyProtection="1"/>
    <xf numFmtId="0" fontId="0" fillId="0" borderId="96" xfId="0" applyBorder="1" applyProtection="1"/>
    <xf numFmtId="0" fontId="0" fillId="11" borderId="93" xfId="0" applyFill="1" applyBorder="1" applyProtection="1"/>
    <xf numFmtId="0" fontId="0" fillId="13" borderId="98" xfId="0" applyFill="1" applyBorder="1" applyAlignment="1" applyProtection="1">
      <alignment horizontal="center"/>
      <protection locked="0"/>
    </xf>
    <xf numFmtId="0" fontId="0" fillId="12" borderId="100" xfId="0" applyFill="1" applyBorder="1" applyProtection="1"/>
    <xf numFmtId="0" fontId="0" fillId="12" borderId="101" xfId="0" applyFill="1" applyBorder="1" applyProtection="1">
      <protection locked="0"/>
    </xf>
    <xf numFmtId="0" fontId="0" fillId="11" borderId="98" xfId="0" applyFill="1" applyBorder="1" applyAlignment="1" applyProtection="1">
      <alignment horizontal="right"/>
    </xf>
    <xf numFmtId="0" fontId="0" fillId="0" borderId="98" xfId="0" applyBorder="1" applyProtection="1"/>
    <xf numFmtId="0" fontId="0" fillId="11" borderId="120" xfId="0" applyFill="1" applyBorder="1" applyAlignment="1" applyProtection="1">
      <alignment horizontal="right"/>
    </xf>
    <xf numFmtId="0" fontId="17" fillId="0" borderId="0" xfId="0" applyFont="1" applyAlignment="1">
      <alignment horizontal="left"/>
    </xf>
    <xf numFmtId="0" fontId="17" fillId="0" borderId="0" xfId="0" applyFont="1" applyAlignment="1">
      <alignment horizontal="right"/>
    </xf>
    <xf numFmtId="169" fontId="0" fillId="11" borderId="85" xfId="0" applyNumberFormat="1" applyFill="1" applyBorder="1" applyAlignment="1" applyProtection="1">
      <alignment horizontal="right"/>
    </xf>
    <xf numFmtId="169" fontId="0" fillId="11" borderId="91" xfId="0" applyNumberFormat="1" applyFill="1" applyBorder="1" applyAlignment="1" applyProtection="1">
      <alignment horizontal="right"/>
    </xf>
    <xf numFmtId="169" fontId="0" fillId="13" borderId="98" xfId="0" applyNumberFormat="1" applyFill="1" applyBorder="1" applyAlignment="1" applyProtection="1">
      <alignment horizontal="center"/>
      <protection locked="0"/>
    </xf>
    <xf numFmtId="170" fontId="0" fillId="13" borderId="89" xfId="0" applyNumberFormat="1" applyFill="1" applyBorder="1" applyAlignment="1" applyProtection="1">
      <alignment horizontal="center"/>
      <protection locked="0"/>
    </xf>
    <xf numFmtId="171" fontId="0" fillId="11" borderId="98" xfId="0" applyNumberFormat="1" applyFill="1" applyBorder="1" applyAlignment="1" applyProtection="1">
      <alignment horizontal="center"/>
    </xf>
    <xf numFmtId="172" fontId="0" fillId="11" borderId="102" xfId="0" applyNumberFormat="1" applyFill="1" applyBorder="1" applyAlignment="1" applyProtection="1">
      <alignment horizontal="center"/>
    </xf>
    <xf numFmtId="170" fontId="0" fillId="11" borderId="89" xfId="0" applyNumberFormat="1" applyFill="1" applyBorder="1" applyProtection="1"/>
    <xf numFmtId="170" fontId="0" fillId="11" borderId="98" xfId="0" applyNumberFormat="1" applyFill="1" applyBorder="1" applyAlignment="1" applyProtection="1">
      <alignment horizontal="right"/>
    </xf>
    <xf numFmtId="173" fontId="0" fillId="11" borderId="120" xfId="0" applyNumberFormat="1" applyFill="1" applyBorder="1"/>
    <xf numFmtId="173" fontId="0" fillId="11" borderId="113" xfId="0" applyNumberFormat="1" applyFill="1" applyBorder="1" applyProtection="1">
      <protection locked="0"/>
    </xf>
    <xf numFmtId="0" fontId="0" fillId="15" borderId="91" xfId="0" applyFill="1" applyBorder="1" applyProtection="1">
      <protection locked="0"/>
    </xf>
    <xf numFmtId="0" fontId="0" fillId="16" borderId="117" xfId="0" applyFill="1" applyBorder="1" applyProtection="1">
      <protection locked="0"/>
    </xf>
    <xf numFmtId="0" fontId="0" fillId="11" borderId="89" xfId="0" applyFill="1" applyBorder="1" applyProtection="1"/>
    <xf numFmtId="0" fontId="0" fillId="12" borderId="93" xfId="0" applyFill="1" applyBorder="1" applyProtection="1"/>
    <xf numFmtId="0" fontId="0" fillId="15" borderId="0" xfId="0" applyFill="1" applyProtection="1">
      <protection locked="0"/>
    </xf>
    <xf numFmtId="0" fontId="0" fillId="15" borderId="0" xfId="0" applyFill="1"/>
    <xf numFmtId="0" fontId="0" fillId="16" borderId="91" xfId="0" applyFill="1" applyBorder="1" applyProtection="1">
      <protection locked="0"/>
    </xf>
    <xf numFmtId="0" fontId="0" fillId="16" borderId="92" xfId="0" applyFill="1" applyBorder="1" applyProtection="1">
      <protection locked="0"/>
    </xf>
    <xf numFmtId="0" fontId="0" fillId="16" borderId="0" xfId="0" applyFill="1" applyBorder="1" applyProtection="1">
      <protection locked="0"/>
    </xf>
    <xf numFmtId="0" fontId="0" fillId="16" borderId="85" xfId="0" applyFill="1" applyBorder="1" applyProtection="1">
      <protection locked="0"/>
    </xf>
    <xf numFmtId="0" fontId="0" fillId="16" borderId="84" xfId="0" applyFill="1" applyBorder="1" applyProtection="1">
      <protection locked="0"/>
    </xf>
    <xf numFmtId="0" fontId="0" fillId="16" borderId="95" xfId="0" applyFill="1" applyBorder="1" applyProtection="1">
      <protection locked="0"/>
    </xf>
    <xf numFmtId="0" fontId="0" fillId="16" borderId="97" xfId="0" applyFill="1" applyBorder="1" applyProtection="1">
      <protection locked="0"/>
    </xf>
    <xf numFmtId="0" fontId="0" fillId="16" borderId="89" xfId="0" applyFill="1" applyBorder="1" applyProtection="1">
      <protection locked="0"/>
    </xf>
    <xf numFmtId="0" fontId="0" fillId="16" borderId="93" xfId="0" applyFill="1" applyBorder="1" applyProtection="1">
      <protection locked="0"/>
    </xf>
    <xf numFmtId="0" fontId="0" fillId="16" borderId="0" xfId="0" applyFill="1" applyBorder="1" applyAlignment="1" applyProtection="1">
      <protection locked="0"/>
    </xf>
    <xf numFmtId="0" fontId="0" fillId="16" borderId="85" xfId="0" applyFill="1" applyBorder="1"/>
    <xf numFmtId="0" fontId="0" fillId="16" borderId="84" xfId="0" applyFill="1" applyBorder="1"/>
    <xf numFmtId="0" fontId="0" fillId="16" borderId="0" xfId="0" applyFill="1" applyBorder="1"/>
    <xf numFmtId="0" fontId="0" fillId="16" borderId="94" xfId="0" applyFill="1" applyBorder="1"/>
    <xf numFmtId="0" fontId="0" fillId="16" borderId="99" xfId="0" applyFill="1" applyBorder="1"/>
    <xf numFmtId="0" fontId="0" fillId="16" borderId="96" xfId="0" applyFill="1" applyBorder="1"/>
    <xf numFmtId="0" fontId="0" fillId="16" borderId="89" xfId="0" applyFill="1" applyBorder="1"/>
    <xf numFmtId="0" fontId="0" fillId="16" borderId="98" xfId="0" applyFill="1" applyBorder="1" applyAlignment="1" applyProtection="1">
      <alignment horizontal="right"/>
    </xf>
    <xf numFmtId="0" fontId="0" fillId="16" borderId="98" xfId="0" applyFill="1" applyBorder="1" applyProtection="1">
      <protection locked="0"/>
    </xf>
    <xf numFmtId="0" fontId="0" fillId="16" borderId="95" xfId="0" applyFill="1" applyBorder="1"/>
    <xf numFmtId="0" fontId="0" fillId="16" borderId="94" xfId="0" applyFill="1" applyBorder="1" applyProtection="1">
      <protection locked="0"/>
    </xf>
    <xf numFmtId="0" fontId="0" fillId="16" borderId="101" xfId="0" applyFill="1" applyBorder="1" applyProtection="1">
      <protection locked="0"/>
    </xf>
    <xf numFmtId="0" fontId="0" fillId="16" borderId="92" xfId="0" applyFill="1" applyBorder="1"/>
    <xf numFmtId="0" fontId="0" fillId="16" borderId="121" xfId="0" applyFill="1" applyBorder="1"/>
    <xf numFmtId="0" fontId="0" fillId="16" borderId="122" xfId="0" applyFill="1" applyBorder="1"/>
    <xf numFmtId="0" fontId="0" fillId="16" borderId="97" xfId="0" applyFill="1" applyBorder="1"/>
    <xf numFmtId="0" fontId="0" fillId="16" borderId="97" xfId="0" applyFill="1" applyBorder="1" applyAlignment="1"/>
    <xf numFmtId="0" fontId="0" fillId="16" borderId="123" xfId="0" applyFill="1" applyBorder="1"/>
    <xf numFmtId="0" fontId="0" fillId="13" borderId="98" xfId="0" applyFill="1" applyBorder="1"/>
    <xf numFmtId="0" fontId="0" fillId="16" borderId="86" xfId="0" applyFill="1" applyBorder="1"/>
    <xf numFmtId="0" fontId="0" fillId="16" borderId="87" xfId="0" applyFill="1" applyBorder="1"/>
    <xf numFmtId="0" fontId="0" fillId="16" borderId="124" xfId="0" applyFill="1" applyBorder="1"/>
    <xf numFmtId="0" fontId="0" fillId="16" borderId="88" xfId="0" applyFill="1" applyBorder="1"/>
    <xf numFmtId="0" fontId="0" fillId="11" borderId="125" xfId="0" applyFill="1" applyBorder="1" applyProtection="1"/>
    <xf numFmtId="0" fontId="0" fillId="13" borderId="89" xfId="0" applyFill="1" applyBorder="1" applyProtection="1">
      <protection locked="0"/>
    </xf>
    <xf numFmtId="0" fontId="0" fillId="16" borderId="84" xfId="0" applyFill="1" applyBorder="1" applyProtection="1"/>
    <xf numFmtId="0" fontId="0" fillId="16" borderId="0" xfId="0" applyFill="1" applyBorder="1" applyProtection="1"/>
    <xf numFmtId="0" fontId="0" fillId="16" borderId="85" xfId="0" applyFill="1" applyBorder="1" applyProtection="1"/>
    <xf numFmtId="0" fontId="0" fillId="16" borderId="86" xfId="0" applyFill="1" applyBorder="1" applyProtection="1"/>
    <xf numFmtId="0" fontId="0" fillId="16" borderId="87" xfId="0" applyFill="1" applyBorder="1" applyProtection="1"/>
    <xf numFmtId="0" fontId="0" fillId="16" borderId="88" xfId="0" applyFill="1" applyBorder="1" applyProtection="1"/>
    <xf numFmtId="0" fontId="0" fillId="16" borderId="94" xfId="0" applyFill="1" applyBorder="1" applyProtection="1"/>
    <xf numFmtId="0" fontId="0" fillId="16" borderId="99" xfId="0" applyFill="1" applyBorder="1" applyProtection="1"/>
    <xf numFmtId="0" fontId="0" fillId="11" borderId="126" xfId="0" applyFill="1" applyBorder="1" applyProtection="1"/>
    <xf numFmtId="0" fontId="0" fillId="16" borderId="101" xfId="0" applyFill="1" applyBorder="1" applyProtection="1"/>
    <xf numFmtId="0" fontId="0" fillId="13" borderId="98" xfId="0" applyFill="1" applyBorder="1" applyProtection="1">
      <protection locked="0"/>
    </xf>
    <xf numFmtId="0" fontId="0" fillId="7" borderId="28" xfId="0" applyFill="1" applyBorder="1" applyAlignment="1">
      <alignment horizontal="center"/>
    </xf>
    <xf numFmtId="0" fontId="0" fillId="10" borderId="3" xfId="0" applyFont="1" applyFill="1" applyBorder="1" applyAlignment="1">
      <alignment horizontal="center" vertical="center" wrapText="1"/>
    </xf>
    <xf numFmtId="0" fontId="17" fillId="0" borderId="107" xfId="0" applyFont="1" applyFill="1" applyBorder="1" applyAlignment="1" applyProtection="1">
      <alignment horizontal="center"/>
      <protection locked="0"/>
    </xf>
    <xf numFmtId="0" fontId="17" fillId="0" borderId="72" xfId="0" applyFont="1" applyFill="1" applyBorder="1" applyAlignment="1" applyProtection="1">
      <alignment horizontal="center"/>
      <protection locked="0"/>
    </xf>
    <xf numFmtId="0" fontId="17" fillId="0" borderId="3" xfId="0" applyFont="1" applyFill="1" applyBorder="1" applyAlignment="1" applyProtection="1">
      <alignment horizontal="center"/>
      <protection locked="0"/>
    </xf>
    <xf numFmtId="0" fontId="33" fillId="0" borderId="72" xfId="0" applyFont="1" applyFill="1" applyBorder="1" applyAlignment="1" applyProtection="1">
      <alignment horizontal="left"/>
      <protection locked="0"/>
    </xf>
    <xf numFmtId="0" fontId="17" fillId="0" borderId="110" xfId="0" applyFont="1" applyFill="1" applyBorder="1" applyAlignment="1" applyProtection="1">
      <alignment horizontal="center"/>
      <protection locked="0"/>
    </xf>
    <xf numFmtId="0" fontId="20" fillId="0" borderId="107" xfId="0" applyFont="1" applyFill="1" applyBorder="1" applyAlignment="1" applyProtection="1">
      <alignment horizontal="left"/>
      <protection locked="0"/>
    </xf>
    <xf numFmtId="0" fontId="17" fillId="0" borderId="72" xfId="0" applyFont="1" applyFill="1" applyBorder="1" applyAlignment="1" applyProtection="1">
      <alignment horizontal="center" vertical="center"/>
      <protection locked="0"/>
    </xf>
    <xf numFmtId="14" fontId="17" fillId="0" borderId="3" xfId="0" applyNumberFormat="1" applyFont="1" applyFill="1" applyBorder="1" applyAlignment="1" applyProtection="1">
      <alignment horizontal="center" vertical="center"/>
      <protection locked="0"/>
    </xf>
    <xf numFmtId="14" fontId="17" fillId="0" borderId="3" xfId="0" applyNumberFormat="1" applyFont="1" applyFill="1" applyBorder="1" applyAlignment="1" applyProtection="1">
      <alignment horizontal="center"/>
      <protection locked="0"/>
    </xf>
    <xf numFmtId="0" fontId="17" fillId="0" borderId="72" xfId="0" applyFont="1" applyFill="1" applyBorder="1" applyAlignment="1" applyProtection="1">
      <protection locked="0"/>
    </xf>
    <xf numFmtId="0" fontId="17" fillId="0" borderId="3" xfId="0" applyNumberFormat="1" applyFont="1" applyFill="1" applyBorder="1" applyAlignment="1" applyProtection="1">
      <alignment horizontal="center"/>
    </xf>
    <xf numFmtId="0" fontId="26" fillId="0" borderId="72" xfId="0" applyFont="1" applyFill="1" applyBorder="1" applyAlignment="1" applyProtection="1">
      <alignment horizontal="center" vertical="center"/>
      <protection locked="0"/>
    </xf>
    <xf numFmtId="0" fontId="17" fillId="0" borderId="3" xfId="0" applyFont="1" applyFill="1" applyBorder="1" applyAlignment="1">
      <alignment horizontal="center" vertical="center"/>
    </xf>
    <xf numFmtId="0" fontId="17" fillId="0" borderId="72" xfId="0" applyFont="1" applyFill="1" applyBorder="1" applyAlignment="1" applyProtection="1">
      <alignment horizontal="left"/>
      <protection locked="0"/>
    </xf>
    <xf numFmtId="0" fontId="20" fillId="0" borderId="109" xfId="0" applyFont="1" applyFill="1" applyBorder="1" applyAlignment="1" applyProtection="1">
      <alignment horizontal="left"/>
      <protection locked="0"/>
    </xf>
    <xf numFmtId="0" fontId="17" fillId="0" borderId="72" xfId="0" applyFont="1" applyFill="1" applyBorder="1" applyAlignment="1" applyProtection="1">
      <alignment horizontal="center" vertical="center" wrapText="1"/>
      <protection locked="0"/>
    </xf>
    <xf numFmtId="0" fontId="17" fillId="0" borderId="3" xfId="0" applyFont="1" applyFill="1" applyBorder="1" applyAlignment="1" applyProtection="1">
      <protection locked="0"/>
    </xf>
    <xf numFmtId="0" fontId="21" fillId="0" borderId="72" xfId="0" applyFont="1" applyFill="1" applyBorder="1" applyAlignment="1" applyProtection="1">
      <alignment horizontal="center" vertical="center"/>
      <protection locked="0"/>
    </xf>
    <xf numFmtId="0" fontId="17" fillId="0" borderId="3" xfId="0" applyFont="1" applyFill="1" applyBorder="1" applyAlignment="1">
      <alignment horizontal="center" vertical="center" wrapText="1"/>
    </xf>
    <xf numFmtId="0" fontId="20" fillId="0" borderId="108" xfId="0" applyFont="1" applyFill="1" applyBorder="1" applyAlignment="1" applyProtection="1">
      <alignment horizontal="left"/>
      <protection locked="0"/>
    </xf>
    <xf numFmtId="0" fontId="18" fillId="0" borderId="104" xfId="0" applyFont="1" applyBorder="1" applyAlignment="1" applyProtection="1">
      <alignment horizontal="left"/>
      <protection locked="0"/>
    </xf>
    <xf numFmtId="0" fontId="18" fillId="0" borderId="29" xfId="0" applyFont="1" applyFill="1" applyBorder="1" applyAlignment="1" applyProtection="1">
      <alignment horizontal="left"/>
      <protection locked="0"/>
    </xf>
    <xf numFmtId="0" fontId="18" fillId="0" borderId="105" xfId="0" applyFont="1" applyFill="1" applyBorder="1" applyAlignment="1" applyProtection="1">
      <alignment horizontal="left"/>
      <protection locked="0"/>
    </xf>
    <xf numFmtId="0" fontId="20" fillId="0" borderId="106" xfId="0" applyFont="1" applyFill="1" applyBorder="1" applyAlignment="1" applyProtection="1">
      <alignment horizontal="left"/>
      <protection locked="0"/>
    </xf>
    <xf numFmtId="0" fontId="18" fillId="0" borderId="103" xfId="0" applyFont="1" applyBorder="1" applyAlignment="1" applyProtection="1">
      <alignment horizontal="left"/>
      <protection locked="0"/>
    </xf>
    <xf numFmtId="164" fontId="17" fillId="0" borderId="3" xfId="0" applyNumberFormat="1" applyFont="1" applyFill="1" applyBorder="1" applyAlignment="1" applyProtection="1">
      <alignment horizontal="center"/>
    </xf>
    <xf numFmtId="0" fontId="23" fillId="0" borderId="72" xfId="0" applyFont="1" applyFill="1" applyBorder="1" applyAlignment="1" applyProtection="1">
      <alignment horizontal="center"/>
      <protection locked="0"/>
    </xf>
    <xf numFmtId="0" fontId="17" fillId="0" borderId="3" xfId="0" applyFont="1" applyFill="1" applyBorder="1" applyAlignment="1">
      <alignment horizontal="center"/>
    </xf>
    <xf numFmtId="0" fontId="17" fillId="0" borderId="3" xfId="0" applyFont="1" applyFill="1" applyBorder="1" applyAlignment="1" applyProtection="1">
      <alignment horizontal="center" vertical="center"/>
      <protection locked="0"/>
    </xf>
    <xf numFmtId="0" fontId="25" fillId="0" borderId="72" xfId="0" applyFont="1" applyFill="1" applyBorder="1" applyAlignment="1" applyProtection="1"/>
    <xf numFmtId="1" fontId="24" fillId="0" borderId="3" xfId="0" applyNumberFormat="1" applyFont="1" applyBorder="1" applyAlignment="1" applyProtection="1">
      <alignment horizontal="center" vertical="center"/>
    </xf>
    <xf numFmtId="1" fontId="25" fillId="0" borderId="3" xfId="0" applyNumberFormat="1" applyFont="1" applyFill="1" applyBorder="1" applyAlignment="1" applyProtection="1">
      <alignment horizontal="center" vertical="center"/>
    </xf>
    <xf numFmtId="0" fontId="29" fillId="0" borderId="72" xfId="0" applyFont="1" applyFill="1" applyBorder="1" applyAlignment="1" applyProtection="1">
      <protection locked="0"/>
    </xf>
    <xf numFmtId="0" fontId="0" fillId="0" borderId="3" xfId="0" applyBorder="1" applyAlignment="1" applyProtection="1">
      <protection locked="0"/>
    </xf>
    <xf numFmtId="0" fontId="21" fillId="0" borderId="72" xfId="0" applyFont="1" applyFill="1" applyBorder="1" applyAlignment="1" applyProtection="1">
      <protection locked="0"/>
    </xf>
    <xf numFmtId="1" fontId="28" fillId="0" borderId="3" xfId="0" applyNumberFormat="1" applyFont="1" applyFill="1" applyBorder="1" applyAlignment="1" applyProtection="1">
      <alignment horizontal="center" vertical="center"/>
    </xf>
    <xf numFmtId="0" fontId="19" fillId="0" borderId="7" xfId="0" applyFont="1" applyFill="1" applyBorder="1" applyAlignment="1" applyProtection="1">
      <alignment horizontal="center"/>
    </xf>
    <xf numFmtId="0" fontId="23" fillId="0" borderId="72" xfId="0" applyFont="1" applyFill="1" applyBorder="1" applyAlignment="1" applyProtection="1">
      <protection locked="0"/>
    </xf>
    <xf numFmtId="0" fontId="25" fillId="0" borderId="3" xfId="0" applyFont="1" applyFill="1" applyBorder="1" applyAlignment="1"/>
    <xf numFmtId="0" fontId="22" fillId="0" borderId="8" xfId="0" applyFont="1" applyFill="1" applyBorder="1" applyAlignment="1" applyProtection="1">
      <protection locked="0"/>
    </xf>
    <xf numFmtId="0" fontId="18" fillId="0" borderId="3" xfId="0" applyFont="1" applyFill="1" applyBorder="1" applyAlignment="1" applyProtection="1">
      <alignment horizontal="center"/>
    </xf>
    <xf numFmtId="165" fontId="17" fillId="0" borderId="71" xfId="0" applyNumberFormat="1" applyFont="1" applyBorder="1" applyAlignment="1" applyProtection="1">
      <alignment horizontal="center"/>
    </xf>
    <xf numFmtId="164" fontId="0" fillId="0" borderId="72" xfId="0" applyNumberFormat="1" applyBorder="1" applyAlignment="1" applyProtection="1">
      <alignment horizontal="center"/>
    </xf>
    <xf numFmtId="0" fontId="18" fillId="0" borderId="3" xfId="0" applyFont="1" applyFill="1" applyBorder="1" applyAlignment="1" applyProtection="1"/>
    <xf numFmtId="0" fontId="19" fillId="0" borderId="3" xfId="0" applyFont="1" applyBorder="1" applyAlignment="1" applyProtection="1">
      <protection locked="0"/>
    </xf>
    <xf numFmtId="0" fontId="20" fillId="0" borderId="3" xfId="0" applyFont="1" applyFill="1" applyBorder="1" applyAlignment="1" applyProtection="1">
      <alignment horizontal="center"/>
    </xf>
    <xf numFmtId="0" fontId="19" fillId="0" borderId="8" xfId="0" applyNumberFormat="1" applyFont="1" applyBorder="1" applyAlignment="1" applyProtection="1">
      <alignment horizontal="center"/>
    </xf>
    <xf numFmtId="0" fontId="18" fillId="0" borderId="8" xfId="0" applyFont="1" applyFill="1" applyBorder="1" applyAlignment="1" applyProtection="1"/>
    <xf numFmtId="1" fontId="18" fillId="0" borderId="3" xfId="0" applyNumberFormat="1" applyFont="1" applyBorder="1" applyAlignment="1" applyProtection="1">
      <alignment horizontal="center"/>
      <protection locked="0"/>
    </xf>
    <xf numFmtId="0" fontId="20" fillId="0" borderId="8" xfId="0" applyFont="1" applyFill="1" applyBorder="1" applyAlignment="1" applyProtection="1">
      <alignment horizontal="center"/>
    </xf>
    <xf numFmtId="0" fontId="22" fillId="0" borderId="8" xfId="0" applyFont="1" applyBorder="1" applyAlignment="1" applyProtection="1">
      <alignment horizontal="center"/>
      <protection locked="0"/>
    </xf>
    <xf numFmtId="0" fontId="18" fillId="0" borderId="8" xfId="0" applyFont="1" applyFill="1" applyBorder="1" applyAlignment="1" applyProtection="1">
      <alignment horizontal="center"/>
    </xf>
    <xf numFmtId="0" fontId="19" fillId="0" borderId="3" xfId="0" applyFont="1" applyBorder="1" applyAlignment="1" applyProtection="1">
      <alignment horizontal="center"/>
      <protection locked="0"/>
    </xf>
    <xf numFmtId="166" fontId="20" fillId="0" borderId="3" xfId="0" applyNumberFormat="1" applyFont="1" applyBorder="1" applyAlignment="1" applyProtection="1">
      <alignment horizontal="center"/>
    </xf>
    <xf numFmtId="0" fontId="22" fillId="0" borderId="3" xfId="0" applyFont="1" applyFill="1" applyBorder="1" applyAlignment="1" applyProtection="1">
      <protection locked="0"/>
    </xf>
    <xf numFmtId="0" fontId="22" fillId="0" borderId="3" xfId="0" applyFont="1" applyBorder="1" applyAlignment="1" applyProtection="1">
      <alignment horizontal="center"/>
      <protection locked="0"/>
    </xf>
    <xf numFmtId="0" fontId="19" fillId="0" borderId="0" xfId="0" applyFont="1" applyFill="1" applyBorder="1" applyAlignment="1">
      <alignment horizontal="center" vertical="center"/>
    </xf>
    <xf numFmtId="0" fontId="19" fillId="0" borderId="0" xfId="0" applyFont="1" applyFill="1" applyBorder="1" applyAlignment="1" applyProtection="1">
      <alignment horizontal="center" vertical="center"/>
      <protection locked="0"/>
    </xf>
    <xf numFmtId="49" fontId="19" fillId="0" borderId="3" xfId="0" applyNumberFormat="1" applyFont="1" applyBorder="1" applyAlignment="1" applyProtection="1">
      <alignment horizontal="center"/>
      <protection locked="0"/>
    </xf>
    <xf numFmtId="49" fontId="19" fillId="0" borderId="3" xfId="0" applyNumberFormat="1" applyFont="1" applyBorder="1" applyAlignment="1" applyProtection="1">
      <protection locked="0"/>
    </xf>
    <xf numFmtId="166" fontId="20" fillId="0" borderId="3" xfId="0" applyNumberFormat="1" applyFont="1" applyBorder="1" applyAlignment="1" applyProtection="1">
      <alignment horizontal="center"/>
      <protection locked="0"/>
    </xf>
    <xf numFmtId="0" fontId="21" fillId="0" borderId="3" xfId="0" applyFont="1" applyFill="1" applyBorder="1" applyAlignment="1" applyProtection="1">
      <protection locked="0"/>
    </xf>
    <xf numFmtId="0" fontId="19" fillId="0" borderId="111" xfId="0" applyFont="1" applyBorder="1" applyAlignment="1">
      <alignment horizontal="center" vertical="center"/>
    </xf>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20" fillId="0" borderId="3" xfId="0" applyFont="1" applyBorder="1" applyAlignment="1">
      <alignment horizontal="center" vertical="center" wrapText="1"/>
    </xf>
    <xf numFmtId="0" fontId="0" fillId="7" borderId="29" xfId="0" applyFill="1" applyBorder="1" applyAlignment="1">
      <alignment horizontal="center"/>
    </xf>
    <xf numFmtId="0" fontId="0" fillId="7" borderId="27" xfId="0" applyFill="1" applyBorder="1" applyAlignment="1">
      <alignment horizontal="center"/>
    </xf>
    <xf numFmtId="0" fontId="0" fillId="0" borderId="3" xfId="0" applyBorder="1" applyAlignment="1">
      <alignment horizontal="center" vertical="center"/>
    </xf>
    <xf numFmtId="167" fontId="0" fillId="0" borderId="49" xfId="0" applyNumberFormat="1" applyBorder="1" applyAlignment="1">
      <alignment horizontal="center" vertical="top" wrapText="1"/>
    </xf>
    <xf numFmtId="167" fontId="0" fillId="0" borderId="0" xfId="0" applyNumberFormat="1" applyBorder="1" applyAlignment="1">
      <alignment horizontal="center" vertical="top" wrapText="1"/>
    </xf>
    <xf numFmtId="0" fontId="35" fillId="0" borderId="3" xfId="0" applyFont="1" applyBorder="1"/>
    <xf numFmtId="0" fontId="35" fillId="0" borderId="3" xfId="0" applyFont="1" applyBorder="1" applyAlignment="1">
      <alignment wrapText="1"/>
    </xf>
    <xf numFmtId="0" fontId="35" fillId="0" borderId="3" xfId="0" applyFont="1" applyBorder="1" applyAlignment="1">
      <alignment horizontal="left" vertical="center" wrapText="1"/>
    </xf>
    <xf numFmtId="0" fontId="0" fillId="0" borderId="3" xfId="0" applyFont="1" applyBorder="1" applyAlignment="1">
      <alignment horizontal="left" vertical="center"/>
    </xf>
    <xf numFmtId="0" fontId="0" fillId="0" borderId="3" xfId="0" applyFont="1" applyBorder="1"/>
    <xf numFmtId="0" fontId="34" fillId="0" borderId="0" xfId="0" applyFont="1" applyBorder="1" applyAlignment="1">
      <alignment horizontal="center"/>
    </xf>
    <xf numFmtId="167" fontId="0" fillId="0" borderId="40" xfId="0" applyNumberFormat="1" applyBorder="1" applyAlignment="1">
      <alignment horizontal="left" vertical="top"/>
    </xf>
    <xf numFmtId="167" fontId="0" fillId="0" borderId="27" xfId="0" applyNumberFormat="1" applyBorder="1" applyAlignment="1">
      <alignment horizontal="left" vertical="top"/>
    </xf>
    <xf numFmtId="0" fontId="0" fillId="0" borderId="112" xfId="0" applyFont="1" applyBorder="1" applyAlignment="1">
      <alignment horizontal="center"/>
    </xf>
    <xf numFmtId="164" fontId="0" fillId="0" borderId="112" xfId="0" applyNumberFormat="1" applyBorder="1" applyAlignment="1">
      <alignment horizontal="left"/>
    </xf>
    <xf numFmtId="167" fontId="0" fillId="0" borderId="49" xfId="0" applyNumberFormat="1" applyBorder="1" applyAlignment="1">
      <alignment horizontal="center" vertical="top"/>
    </xf>
    <xf numFmtId="167" fontId="0" fillId="0" borderId="0" xfId="0" applyNumberFormat="1" applyBorder="1" applyAlignment="1">
      <alignment horizontal="center" vertical="top"/>
    </xf>
    <xf numFmtId="167" fontId="51" fillId="0" borderId="0" xfId="0" applyNumberFormat="1" applyFont="1" applyBorder="1" applyAlignment="1">
      <alignment horizontal="left"/>
    </xf>
    <xf numFmtId="0" fontId="39" fillId="0" borderId="0" xfId="0" applyFont="1" applyBorder="1" applyAlignment="1">
      <alignment horizontal="right"/>
    </xf>
    <xf numFmtId="0" fontId="0" fillId="0" borderId="0" xfId="0"/>
    <xf numFmtId="167" fontId="44" fillId="0" borderId="0" xfId="0" applyNumberFormat="1" applyFont="1" applyBorder="1" applyAlignment="1">
      <alignment horizontal="center" vertical="center"/>
    </xf>
    <xf numFmtId="167" fontId="44" fillId="0" borderId="0" xfId="0" applyNumberFormat="1" applyFont="1" applyBorder="1" applyAlignment="1">
      <alignment horizontal="center" wrapText="1"/>
    </xf>
    <xf numFmtId="167" fontId="0" fillId="0" borderId="0" xfId="0" applyNumberFormat="1" applyAlignment="1"/>
    <xf numFmtId="14" fontId="39" fillId="0" borderId="0" xfId="0" applyNumberFormat="1" applyFont="1" applyBorder="1" applyAlignment="1">
      <alignment horizontal="left"/>
    </xf>
    <xf numFmtId="0" fontId="36" fillId="0" borderId="0" xfId="0" applyFont="1" applyBorder="1" applyAlignment="1">
      <alignment horizontal="right"/>
    </xf>
    <xf numFmtId="14" fontId="36" fillId="0" borderId="0" xfId="0" applyNumberFormat="1" applyFont="1" applyBorder="1" applyAlignment="1">
      <alignment horizontal="left"/>
    </xf>
    <xf numFmtId="0" fontId="37" fillId="0" borderId="0" xfId="0" applyFont="1" applyBorder="1" applyAlignment="1" applyProtection="1">
      <alignment horizontal="right"/>
      <protection locked="0"/>
    </xf>
    <xf numFmtId="0" fontId="51" fillId="0" borderId="0" xfId="0" applyFont="1" applyBorder="1" applyAlignment="1">
      <alignment horizontal="center"/>
    </xf>
    <xf numFmtId="0" fontId="26" fillId="0" borderId="84" xfId="0" applyFont="1" applyBorder="1" applyAlignment="1">
      <alignment horizontal="center"/>
    </xf>
    <xf numFmtId="0" fontId="17" fillId="0" borderId="0" xfId="0" applyFont="1" applyBorder="1" applyAlignment="1">
      <alignment horizontal="center"/>
    </xf>
    <xf numFmtId="0" fontId="17" fillId="0" borderId="85" xfId="0" applyFont="1" applyBorder="1" applyAlignment="1">
      <alignment horizontal="center"/>
    </xf>
    <xf numFmtId="0" fontId="40" fillId="0" borderId="0" xfId="0" applyFont="1" applyBorder="1" applyAlignment="1">
      <alignment horizontal="center"/>
    </xf>
    <xf numFmtId="0" fontId="40" fillId="0" borderId="85" xfId="0" applyFont="1" applyBorder="1" applyAlignment="1">
      <alignment horizontal="center"/>
    </xf>
    <xf numFmtId="0" fontId="26" fillId="0" borderId="84" xfId="0" applyFont="1" applyBorder="1" applyAlignment="1">
      <alignment horizontal="left" vertical="top"/>
    </xf>
    <xf numFmtId="0" fontId="40" fillId="0" borderId="0" xfId="0" applyFont="1" applyBorder="1" applyAlignment="1">
      <alignment horizontal="left" vertical="top"/>
    </xf>
    <xf numFmtId="0" fontId="40" fillId="0" borderId="85" xfId="0" applyFont="1" applyBorder="1" applyAlignment="1">
      <alignment horizontal="left" vertical="top"/>
    </xf>
    <xf numFmtId="14" fontId="40" fillId="0" borderId="0" xfId="0" applyNumberFormat="1" applyFont="1" applyBorder="1" applyAlignment="1">
      <alignment horizontal="left"/>
    </xf>
    <xf numFmtId="0" fontId="40" fillId="0" borderId="84" xfId="0" applyFont="1" applyBorder="1" applyAlignment="1">
      <alignment horizontal="left" vertical="top"/>
    </xf>
    <xf numFmtId="0" fontId="40" fillId="0" borderId="84" xfId="0" applyFont="1" applyBorder="1" applyAlignment="1">
      <alignment horizontal="left"/>
    </xf>
    <xf numFmtId="0" fontId="40" fillId="0" borderId="0" xfId="0" applyFont="1" applyBorder="1" applyAlignment="1">
      <alignment horizontal="left"/>
    </xf>
    <xf numFmtId="0" fontId="40" fillId="0" borderId="85" xfId="0" applyFont="1" applyBorder="1" applyAlignment="1">
      <alignment horizontal="left"/>
    </xf>
    <xf numFmtId="167" fontId="41" fillId="0" borderId="0" xfId="0" applyNumberFormat="1" applyFont="1" applyBorder="1" applyAlignment="1">
      <alignment horizontal="right" vertical="top"/>
    </xf>
    <xf numFmtId="167" fontId="41" fillId="0" borderId="0" xfId="0" applyNumberFormat="1" applyFont="1" applyBorder="1" applyAlignment="1">
      <alignment horizontal="left" vertical="top"/>
    </xf>
    <xf numFmtId="0" fontId="17" fillId="0" borderId="0" xfId="0" applyFont="1" applyBorder="1" applyAlignment="1">
      <alignment horizontal="left" vertical="top" wrapText="1"/>
    </xf>
    <xf numFmtId="0" fontId="22" fillId="0" borderId="0" xfId="0" applyFont="1" applyBorder="1" applyAlignment="1">
      <alignment horizontal="left" vertical="top" wrapText="1"/>
    </xf>
    <xf numFmtId="0" fontId="49" fillId="0" borderId="90" xfId="0" applyFont="1" applyBorder="1" applyAlignment="1">
      <alignment wrapText="1"/>
    </xf>
    <xf numFmtId="0" fontId="49" fillId="0" borderId="91" xfId="0" applyFont="1" applyBorder="1" applyAlignment="1">
      <alignment wrapText="1"/>
    </xf>
    <xf numFmtId="0" fontId="49" fillId="0" borderId="92" xfId="0" applyFont="1" applyBorder="1" applyAlignment="1">
      <alignment wrapText="1"/>
    </xf>
    <xf numFmtId="0" fontId="49" fillId="0" borderId="84" xfId="0" applyFont="1" applyBorder="1" applyAlignment="1">
      <alignment wrapText="1"/>
    </xf>
    <xf numFmtId="0" fontId="49" fillId="0" borderId="0" xfId="0" applyFont="1" applyBorder="1" applyAlignment="1">
      <alignment wrapText="1"/>
    </xf>
    <xf numFmtId="0" fontId="49" fillId="0" borderId="85" xfId="0" applyFont="1" applyBorder="1" applyAlignment="1">
      <alignment wrapText="1"/>
    </xf>
    <xf numFmtId="0" fontId="17" fillId="0" borderId="84" xfId="0" applyFont="1" applyBorder="1" applyAlignment="1">
      <alignment horizontal="center"/>
    </xf>
    <xf numFmtId="0" fontId="41" fillId="0" borderId="84" xfId="0" applyFont="1" applyBorder="1" applyAlignment="1">
      <alignment horizontal="left" vertical="top"/>
    </xf>
    <xf numFmtId="0" fontId="40" fillId="0" borderId="0" xfId="0" applyFont="1" applyAlignment="1">
      <alignment horizontal="left" vertical="top" wrapText="1"/>
    </xf>
    <xf numFmtId="0" fontId="40" fillId="0" borderId="91" xfId="0" applyFont="1" applyBorder="1" applyAlignment="1">
      <alignment horizontal="left" vertical="top" wrapText="1"/>
    </xf>
    <xf numFmtId="0" fontId="40" fillId="0" borderId="0" xfId="0" applyFont="1" applyBorder="1" applyAlignment="1">
      <alignment horizontal="left" vertical="top" wrapText="1"/>
    </xf>
    <xf numFmtId="14" fontId="40" fillId="0" borderId="95" xfId="0" applyNumberFormat="1" applyFont="1" applyBorder="1" applyAlignment="1">
      <alignment horizontal="left"/>
    </xf>
    <xf numFmtId="0" fontId="49" fillId="0" borderId="90" xfId="0" applyFont="1" applyBorder="1" applyAlignment="1">
      <alignment horizontal="left"/>
    </xf>
    <xf numFmtId="0" fontId="40" fillId="0" borderId="91" xfId="0" applyFont="1" applyBorder="1" applyAlignment="1">
      <alignment horizontal="left"/>
    </xf>
    <xf numFmtId="0" fontId="40" fillId="0" borderId="92" xfId="0" applyFont="1" applyBorder="1" applyAlignment="1">
      <alignment horizontal="left"/>
    </xf>
    <xf numFmtId="0" fontId="40" fillId="0" borderId="84" xfId="0" applyFont="1" applyBorder="1" applyAlignment="1">
      <alignment horizontal="left" vertical="center"/>
    </xf>
    <xf numFmtId="0" fontId="40" fillId="0" borderId="0" xfId="0" applyFont="1" applyBorder="1" applyAlignment="1">
      <alignment horizontal="left" vertical="center"/>
    </xf>
    <xf numFmtId="0" fontId="40" fillId="0" borderId="85" xfId="0" applyFont="1" applyBorder="1" applyAlignment="1">
      <alignment horizontal="left" vertical="center"/>
    </xf>
    <xf numFmtId="0" fontId="40" fillId="0" borderId="86" xfId="0" applyFont="1" applyBorder="1" applyAlignment="1">
      <alignment horizontal="left" vertical="center"/>
    </xf>
    <xf numFmtId="0" fontId="40" fillId="0" borderId="87" xfId="0" applyFont="1" applyBorder="1" applyAlignment="1">
      <alignment horizontal="left" vertical="center"/>
    </xf>
    <xf numFmtId="0" fontId="40" fillId="0" borderId="88" xfId="0" applyFont="1" applyBorder="1" applyAlignment="1">
      <alignment horizontal="left" vertical="center"/>
    </xf>
    <xf numFmtId="49" fontId="20" fillId="0" borderId="0" xfId="0" applyNumberFormat="1" applyFont="1" applyBorder="1" applyAlignment="1">
      <alignment horizontal="right" vertical="top" wrapText="1"/>
    </xf>
    <xf numFmtId="0" fontId="50" fillId="0" borderId="0" xfId="0" applyFont="1" applyAlignment="1">
      <alignment horizontal="center" vertical="center" wrapText="1"/>
    </xf>
    <xf numFmtId="0" fontId="50" fillId="0" borderId="0" xfId="0" applyFont="1" applyAlignment="1">
      <alignment horizontal="center" vertical="center"/>
    </xf>
    <xf numFmtId="0" fontId="40" fillId="0" borderId="0" xfId="0" applyFont="1" applyBorder="1" applyAlignment="1">
      <alignment horizontal="left" vertical="center" wrapText="1"/>
    </xf>
    <xf numFmtId="14" fontId="40" fillId="0" borderId="95" xfId="0" applyNumberFormat="1" applyFont="1" applyBorder="1" applyAlignment="1">
      <alignment horizontal="center" vertical="top" wrapText="1"/>
    </xf>
    <xf numFmtId="0" fontId="20" fillId="0" borderId="0" xfId="0" applyFont="1" applyBorder="1" applyAlignment="1">
      <alignment vertical="center" wrapText="1"/>
    </xf>
    <xf numFmtId="0" fontId="0" fillId="0" borderId="0" xfId="0" applyBorder="1" applyAlignment="1">
      <alignment wrapText="1"/>
    </xf>
    <xf numFmtId="0" fontId="0" fillId="0" borderId="0" xfId="0" applyFont="1" applyBorder="1" applyAlignment="1">
      <alignment wrapText="1"/>
    </xf>
    <xf numFmtId="0" fontId="40" fillId="0" borderId="90" xfId="0" applyFont="1" applyBorder="1" applyAlignment="1">
      <alignment horizontal="left" vertical="top" wrapText="1"/>
    </xf>
    <xf numFmtId="0" fontId="40" fillId="0" borderId="92" xfId="0" applyFont="1" applyBorder="1" applyAlignment="1">
      <alignment horizontal="left" vertical="top" wrapText="1"/>
    </xf>
    <xf numFmtId="0" fontId="40" fillId="0" borderId="84" xfId="0" applyFont="1" applyBorder="1" applyAlignment="1">
      <alignment horizontal="left" vertical="top" wrapText="1"/>
    </xf>
    <xf numFmtId="0" fontId="40" fillId="0" borderId="85" xfId="0" applyFont="1" applyBorder="1" applyAlignment="1">
      <alignment horizontal="left" vertical="top" wrapText="1"/>
    </xf>
    <xf numFmtId="0" fontId="40" fillId="0" borderId="86" xfId="0" applyFont="1" applyBorder="1" applyAlignment="1">
      <alignment horizontal="left" vertical="top" wrapText="1"/>
    </xf>
    <xf numFmtId="0" fontId="40" fillId="0" borderId="87" xfId="0" applyFont="1" applyBorder="1" applyAlignment="1">
      <alignment horizontal="left" vertical="top" wrapText="1"/>
    </xf>
    <xf numFmtId="0" fontId="40" fillId="0" borderId="88" xfId="0" applyFont="1" applyBorder="1" applyAlignment="1">
      <alignment horizontal="left" vertical="top" wrapText="1"/>
    </xf>
    <xf numFmtId="0" fontId="40" fillId="0" borderId="0" xfId="0" applyFont="1" applyBorder="1" applyAlignment="1">
      <alignment vertical="top" wrapText="1"/>
    </xf>
    <xf numFmtId="0" fontId="26" fillId="0" borderId="84" xfId="0" applyFont="1" applyBorder="1" applyAlignment="1">
      <alignment horizontal="left" vertical="center"/>
    </xf>
    <xf numFmtId="0" fontId="26" fillId="0" borderId="0" xfId="0" applyFont="1" applyBorder="1" applyAlignment="1">
      <alignment horizontal="left" vertical="center"/>
    </xf>
    <xf numFmtId="0" fontId="26" fillId="0" borderId="85" xfId="0" applyFont="1" applyBorder="1" applyAlignment="1">
      <alignment horizontal="left" vertical="center"/>
    </xf>
    <xf numFmtId="0" fontId="21" fillId="0" borderId="0" xfId="0" applyFont="1" applyBorder="1" applyAlignment="1">
      <alignment horizontal="center" vertical="center" wrapText="1"/>
    </xf>
    <xf numFmtId="0" fontId="17" fillId="0" borderId="0" xfId="0" applyFont="1" applyBorder="1" applyAlignment="1">
      <alignment wrapText="1"/>
    </xf>
    <xf numFmtId="0" fontId="46" fillId="0" borderId="90" xfId="0" applyFont="1" applyBorder="1" applyAlignment="1">
      <alignment horizontal="left" vertical="center"/>
    </xf>
    <xf numFmtId="0" fontId="40" fillId="0" borderId="91" xfId="0" applyFont="1" applyBorder="1" applyAlignment="1">
      <alignment horizontal="left" vertical="center"/>
    </xf>
    <xf numFmtId="0" fontId="40" fillId="0" borderId="92" xfId="0" applyFont="1" applyBorder="1" applyAlignment="1">
      <alignment horizontal="left" vertical="center"/>
    </xf>
    <xf numFmtId="14" fontId="40" fillId="0" borderId="0" xfId="0" applyNumberFormat="1" applyFont="1" applyBorder="1" applyAlignment="1">
      <alignment horizontal="left" vertical="top" wrapText="1"/>
    </xf>
    <xf numFmtId="168" fontId="41" fillId="0" borderId="0" xfId="0" applyNumberFormat="1" applyFont="1" applyBorder="1" applyAlignment="1">
      <alignment horizontal="right" vertical="top" wrapText="1"/>
    </xf>
    <xf numFmtId="167" fontId="41" fillId="0" borderId="0" xfId="0" applyNumberFormat="1" applyFont="1" applyBorder="1" applyAlignment="1">
      <alignment horizontal="left" vertical="top" wrapText="1"/>
    </xf>
    <xf numFmtId="0" fontId="17" fillId="0" borderId="84" xfId="0" applyFont="1" applyBorder="1" applyAlignment="1">
      <alignment horizontal="left" vertical="top" wrapText="1"/>
    </xf>
    <xf numFmtId="0" fontId="17" fillId="0" borderId="85" xfId="0" applyFont="1" applyBorder="1" applyAlignment="1">
      <alignment horizontal="left" vertical="top" wrapText="1"/>
    </xf>
    <xf numFmtId="168" fontId="42" fillId="0" borderId="0" xfId="0" applyNumberFormat="1" applyFont="1" applyBorder="1" applyAlignment="1">
      <alignment horizontal="right"/>
    </xf>
    <xf numFmtId="167" fontId="42" fillId="0" borderId="0" xfId="0" applyNumberFormat="1" applyFont="1" applyBorder="1" applyAlignment="1">
      <alignment horizontal="left"/>
    </xf>
    <xf numFmtId="0" fontId="26" fillId="0" borderId="84" xfId="0" applyFont="1" applyBorder="1" applyAlignment="1">
      <alignment horizontal="left"/>
    </xf>
    <xf numFmtId="0" fontId="45" fillId="0" borderId="0" xfId="0" applyFont="1" applyAlignment="1">
      <alignment horizontal="center" vertical="top" wrapText="1"/>
    </xf>
    <xf numFmtId="0" fontId="45" fillId="0" borderId="0" xfId="0" applyFont="1" applyAlignment="1">
      <alignment horizontal="center" vertical="top"/>
    </xf>
    <xf numFmtId="0" fontId="40" fillId="0" borderId="0" xfId="0" applyFont="1" applyAlignment="1">
      <alignment horizontal="center" vertical="top" wrapText="1"/>
    </xf>
    <xf numFmtId="0" fontId="40" fillId="0" borderId="87" xfId="0" applyFont="1" applyBorder="1" applyAlignment="1">
      <alignment horizontal="center" vertical="top" wrapText="1"/>
    </xf>
    <xf numFmtId="14" fontId="40" fillId="0" borderId="95" xfId="0" applyNumberFormat="1" applyFont="1" applyBorder="1" applyAlignment="1">
      <alignment horizontal="left" vertical="top" wrapText="1"/>
    </xf>
    <xf numFmtId="0" fontId="0" fillId="12" borderId="115" xfId="0" applyFill="1" applyBorder="1" applyAlignment="1" applyProtection="1">
      <alignment horizontal="center"/>
    </xf>
    <xf numFmtId="0" fontId="0" fillId="12" borderId="102" xfId="0" applyFill="1" applyBorder="1" applyAlignment="1" applyProtection="1">
      <alignment horizontal="center"/>
    </xf>
    <xf numFmtId="0" fontId="0" fillId="14" borderId="115" xfId="0" applyFill="1" applyBorder="1" applyAlignment="1">
      <alignment horizontal="center"/>
    </xf>
    <xf numFmtId="0" fontId="0" fillId="14" borderId="102" xfId="0" applyFill="1" applyBorder="1" applyAlignment="1">
      <alignment horizontal="center"/>
    </xf>
    <xf numFmtId="0" fontId="0" fillId="14" borderId="118" xfId="0" applyFill="1" applyBorder="1" applyAlignment="1">
      <alignment horizontal="center"/>
    </xf>
    <xf numFmtId="0" fontId="0" fillId="12" borderId="100" xfId="0" applyFill="1" applyBorder="1" applyAlignment="1" applyProtection="1">
      <alignment horizontal="center"/>
    </xf>
    <xf numFmtId="0" fontId="0" fillId="12" borderId="89" xfId="0" applyFill="1" applyBorder="1" applyAlignment="1" applyProtection="1">
      <alignment horizontal="center"/>
    </xf>
    <xf numFmtId="0" fontId="0" fillId="12" borderId="100" xfId="0" applyFill="1" applyBorder="1" applyAlignment="1" applyProtection="1">
      <alignment horizontal="left"/>
    </xf>
    <xf numFmtId="0" fontId="0" fillId="12" borderId="89" xfId="0" applyFill="1" applyBorder="1" applyAlignment="1" applyProtection="1">
      <alignment horizontal="left"/>
    </xf>
    <xf numFmtId="0" fontId="0" fillId="15" borderId="0" xfId="0" applyFill="1" applyAlignment="1">
      <alignment horizontal="center"/>
    </xf>
    <xf numFmtId="0" fontId="0" fillId="12" borderId="100" xfId="0" applyFill="1" applyBorder="1" applyAlignment="1" applyProtection="1">
      <alignment horizontal="right"/>
    </xf>
    <xf numFmtId="0" fontId="0" fillId="12" borderId="89" xfId="0" applyFill="1" applyBorder="1" applyAlignment="1" applyProtection="1">
      <alignment horizontal="right"/>
    </xf>
    <xf numFmtId="0" fontId="0" fillId="12" borderId="113" xfId="0" applyFill="1" applyBorder="1" applyAlignment="1" applyProtection="1">
      <alignment horizontal="right"/>
    </xf>
    <xf numFmtId="0" fontId="0" fillId="12" borderId="119" xfId="0" applyFill="1" applyBorder="1" applyAlignment="1" applyProtection="1">
      <alignment horizontal="right"/>
    </xf>
    <xf numFmtId="0" fontId="0" fillId="14" borderId="90" xfId="0" applyFill="1" applyBorder="1" applyAlignment="1">
      <alignment horizontal="center"/>
    </xf>
    <xf numFmtId="0" fontId="0" fillId="14" borderId="91" xfId="0" applyFill="1" applyBorder="1" applyAlignment="1">
      <alignment horizontal="center"/>
    </xf>
    <xf numFmtId="0" fontId="0" fillId="14" borderId="84" xfId="0" applyFill="1" applyBorder="1" applyAlignment="1" applyProtection="1">
      <alignment horizontal="left" vertical="top" wrapText="1"/>
    </xf>
    <xf numFmtId="0" fontId="0" fillId="14" borderId="0" xfId="0" applyFill="1" applyBorder="1" applyAlignment="1" applyProtection="1">
      <alignment horizontal="left" vertical="top" wrapText="1"/>
    </xf>
    <xf numFmtId="0" fontId="0" fillId="14" borderId="85" xfId="0" applyFill="1" applyBorder="1" applyAlignment="1" applyProtection="1">
      <alignment horizontal="left" vertical="top" wrapText="1"/>
    </xf>
    <xf numFmtId="0" fontId="0" fillId="14" borderId="86" xfId="0" applyFill="1" applyBorder="1" applyAlignment="1" applyProtection="1">
      <alignment horizontal="left" vertical="top" wrapText="1"/>
    </xf>
    <xf numFmtId="0" fontId="0" fillId="14" borderId="87" xfId="0" applyFill="1" applyBorder="1" applyAlignment="1" applyProtection="1">
      <alignment horizontal="left" vertical="top" wrapText="1"/>
    </xf>
    <xf numFmtId="0" fontId="0" fillId="14" borderId="88" xfId="0" applyFill="1" applyBorder="1" applyAlignment="1" applyProtection="1">
      <alignment horizontal="left" vertical="top" wrapText="1"/>
    </xf>
    <xf numFmtId="0" fontId="0" fillId="12" borderId="116" xfId="0" applyFill="1" applyBorder="1" applyAlignment="1" applyProtection="1">
      <alignment horizontal="left"/>
    </xf>
    <xf numFmtId="0" fontId="0" fillId="12" borderId="117" xfId="0" applyFill="1" applyBorder="1" applyAlignment="1" applyProtection="1">
      <alignment horizontal="left"/>
    </xf>
    <xf numFmtId="173" fontId="0" fillId="11" borderId="94" xfId="0" applyNumberFormat="1" applyFill="1" applyBorder="1" applyAlignment="1" applyProtection="1">
      <alignment horizontal="center"/>
      <protection locked="0"/>
    </xf>
    <xf numFmtId="173" fontId="0" fillId="11" borderId="93" xfId="0" applyNumberFormat="1" applyFill="1" applyBorder="1" applyAlignment="1" applyProtection="1">
      <alignment horizontal="center"/>
      <protection locked="0"/>
    </xf>
    <xf numFmtId="0" fontId="0" fillId="12" borderId="113" xfId="0" applyFill="1" applyBorder="1" applyAlignment="1" applyProtection="1">
      <alignment horizontal="center"/>
      <protection locked="0"/>
    </xf>
    <xf numFmtId="0" fontId="0" fillId="12" borderId="114" xfId="0" applyFill="1" applyBorder="1" applyAlignment="1" applyProtection="1">
      <alignment horizontal="center"/>
      <protection locked="0"/>
    </xf>
    <xf numFmtId="0" fontId="0" fillId="12" borderId="94" xfId="0" applyFill="1" applyBorder="1" applyAlignment="1" applyProtection="1">
      <alignment horizontal="center"/>
    </xf>
    <xf numFmtId="0" fontId="0" fillId="12" borderId="93" xfId="0" applyFill="1" applyBorder="1" applyAlignment="1" applyProtection="1">
      <alignment horizontal="center"/>
    </xf>
    <xf numFmtId="0" fontId="0" fillId="14" borderId="90" xfId="0" applyFill="1" applyBorder="1" applyAlignment="1" applyProtection="1">
      <alignment horizontal="center"/>
    </xf>
    <xf numFmtId="0" fontId="0" fillId="14" borderId="91" xfId="0" applyFill="1" applyBorder="1" applyAlignment="1" applyProtection="1">
      <alignment horizontal="center"/>
    </xf>
    <xf numFmtId="0" fontId="0" fillId="14" borderId="92" xfId="0" applyFill="1" applyBorder="1" applyAlignment="1" applyProtection="1">
      <alignment horizontal="center"/>
    </xf>
    <xf numFmtId="0" fontId="0" fillId="12" borderId="101" xfId="0" applyFill="1" applyBorder="1" applyAlignment="1" applyProtection="1">
      <alignment horizontal="center"/>
    </xf>
    <xf numFmtId="0" fontId="0" fillId="14" borderId="115" xfId="0" applyFill="1" applyBorder="1" applyAlignment="1" applyProtection="1">
      <alignment horizontal="center"/>
    </xf>
    <xf numFmtId="0" fontId="0" fillId="14" borderId="102" xfId="0" applyFill="1" applyBorder="1" applyAlignment="1" applyProtection="1">
      <alignment horizontal="center"/>
    </xf>
    <xf numFmtId="0" fontId="0" fillId="14" borderId="118" xfId="0" applyFill="1" applyBorder="1" applyAlignment="1" applyProtection="1">
      <alignment horizontal="center"/>
    </xf>
    <xf numFmtId="0" fontId="0" fillId="12" borderId="127" xfId="0" applyFill="1" applyBorder="1" applyAlignment="1" applyProtection="1">
      <alignment horizontal="center"/>
    </xf>
    <xf numFmtId="0" fontId="0" fillId="12" borderId="99" xfId="0" applyFill="1" applyBorder="1" applyAlignment="1" applyProtection="1">
      <alignment horizontal="center"/>
    </xf>
    <xf numFmtId="0" fontId="0" fillId="12" borderId="95" xfId="0" applyFill="1" applyBorder="1" applyAlignment="1" applyProtection="1">
      <alignment horizontal="center"/>
    </xf>
    <xf numFmtId="0" fontId="0" fillId="12" borderId="96" xfId="0" applyFill="1" applyBorder="1" applyAlignment="1" applyProtection="1">
      <alignment horizontal="center"/>
    </xf>
  </cellXfs>
  <cellStyles count="18">
    <cellStyle name="Accent" xfId="1"/>
    <cellStyle name="Accent 1" xfId="2"/>
    <cellStyle name="Accent 2" xfId="3"/>
    <cellStyle name="Accent 3" xfId="4"/>
    <cellStyle name="Bad" xfId="5"/>
    <cellStyle name="Error" xfId="6"/>
    <cellStyle name="Footnote" xfId="7"/>
    <cellStyle name="Good" xfId="8"/>
    <cellStyle name="Heading" xfId="9"/>
    <cellStyle name="Heading 1" xfId="10"/>
    <cellStyle name="Heading 2" xfId="11"/>
    <cellStyle name="Neutral" xfId="12"/>
    <cellStyle name="Note" xfId="13"/>
    <cellStyle name="Status" xfId="14"/>
    <cellStyle name="Text" xfId="15"/>
    <cellStyle name="Warning" xfId="16"/>
    <cellStyle name="Обычный" xfId="0" builtinId="0"/>
    <cellStyle name="Обычный 2" xfId="17"/>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C0C0C0"/>
      <rgbColor rgb="00808080"/>
      <rgbColor rgb="009999FF"/>
      <rgbColor rgb="00993366"/>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CC"/>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10.xml><?xml version="1.0" encoding="utf-8"?>
<ax:ocx xmlns:ax="http://schemas.microsoft.com/office/2006/activeX" xmlns:r="http://schemas.openxmlformats.org/officeDocument/2006/relationships" ax:classid="{8BD21D40-EC42-11CE-9E0D-00AA006002F3}" ax:persistence="persistStreamInit" r:id="rId1"/>
</file>

<file path=xl/activeX/activeX11.xml><?xml version="1.0" encoding="utf-8"?>
<ax:ocx xmlns:ax="http://schemas.microsoft.com/office/2006/activeX" xmlns:r="http://schemas.openxmlformats.org/officeDocument/2006/relationships" ax:classid="{8BD21D40-EC42-11CE-9E0D-00AA006002F3}" ax:persistence="persistStreamInit" r:id="rId1"/>
</file>

<file path=xl/activeX/activeX12.xml><?xml version="1.0" encoding="utf-8"?>
<ax:ocx xmlns:ax="http://schemas.microsoft.com/office/2006/activeX" xmlns:r="http://schemas.openxmlformats.org/officeDocument/2006/relationships" ax:classid="{8BD21D40-EC42-11CE-9E0D-00AA006002F3}" ax:persistence="persistStreamInit" r:id="rId1"/>
</file>

<file path=xl/activeX/activeX13.xml><?xml version="1.0" encoding="utf-8"?>
<ax:ocx xmlns:ax="http://schemas.microsoft.com/office/2006/activeX" xmlns:r="http://schemas.openxmlformats.org/officeDocument/2006/relationships" ax:classid="{8BD21D40-EC42-11CE-9E0D-00AA006002F3}" ax:persistence="persistStreamInit" r:id="rId1"/>
</file>

<file path=xl/activeX/activeX14.xml><?xml version="1.0" encoding="utf-8"?>
<ax:ocx xmlns:ax="http://schemas.microsoft.com/office/2006/activeX" xmlns:r="http://schemas.openxmlformats.org/officeDocument/2006/relationships" ax:classid="{8BD21D40-EC42-11CE-9E0D-00AA006002F3}" ax:persistence="persistStreamInit" r:id="rId1"/>
</file>

<file path=xl/activeX/activeX15.xml><?xml version="1.0" encoding="utf-8"?>
<ax:ocx xmlns:ax="http://schemas.microsoft.com/office/2006/activeX" xmlns:r="http://schemas.openxmlformats.org/officeDocument/2006/relationships" ax:classid="{8BD21D40-EC42-11CE-9E0D-00AA006002F3}" ax:persistence="persistStreamInit" r:id="rId1"/>
</file>

<file path=xl/activeX/activeX16.xml><?xml version="1.0" encoding="utf-8"?>
<ax:ocx xmlns:ax="http://schemas.microsoft.com/office/2006/activeX" xmlns:r="http://schemas.openxmlformats.org/officeDocument/2006/relationships" ax:classid="{8BD21D40-EC42-11CE-9E0D-00AA006002F3}" ax:persistence="persistStreamInit" r:id="rId1"/>
</file>

<file path=xl/activeX/activeX17.xml><?xml version="1.0" encoding="utf-8"?>
<ax:ocx xmlns:ax="http://schemas.microsoft.com/office/2006/activeX" xmlns:r="http://schemas.openxmlformats.org/officeDocument/2006/relationships" ax:classid="{8BD21D40-EC42-11CE-9E0D-00AA006002F3}" ax:persistence="persistStreamInit" r:id="rId1"/>
</file>

<file path=xl/activeX/activeX18.xml><?xml version="1.0" encoding="utf-8"?>
<ax:ocx xmlns:ax="http://schemas.microsoft.com/office/2006/activeX" xmlns:r="http://schemas.openxmlformats.org/officeDocument/2006/relationships" ax:classid="{8BD21D40-EC42-11CE-9E0D-00AA006002F3}" ax:persistence="persistStreamInit" r:id="rId1"/>
</file>

<file path=xl/activeX/activeX19.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20.xml><?xml version="1.0" encoding="utf-8"?>
<ax:ocx xmlns:ax="http://schemas.microsoft.com/office/2006/activeX" xmlns:r="http://schemas.openxmlformats.org/officeDocument/2006/relationships" ax:classid="{8BD21D40-EC42-11CE-9E0D-00AA006002F3}" ax:persistence="persistStreamInit" r:id="rId1"/>
</file>

<file path=xl/activeX/activeX21.xml><?xml version="1.0" encoding="utf-8"?>
<ax:ocx xmlns:ax="http://schemas.microsoft.com/office/2006/activeX" xmlns:r="http://schemas.openxmlformats.org/officeDocument/2006/relationships" ax:classid="{8BD21D40-EC42-11CE-9E0D-00AA006002F3}" ax:persistence="persistStreamInit" r:id="rId1"/>
</file>

<file path=xl/activeX/activeX22.xml><?xml version="1.0" encoding="utf-8"?>
<ax:ocx xmlns:ax="http://schemas.microsoft.com/office/2006/activeX" xmlns:r="http://schemas.openxmlformats.org/officeDocument/2006/relationships" ax:classid="{8BD21D40-EC42-11CE-9E0D-00AA006002F3}" ax:persistence="persistStreamInit" r:id="rId1"/>
</file>

<file path=xl/activeX/activeX23.xml><?xml version="1.0" encoding="utf-8"?>
<ax:ocx xmlns:ax="http://schemas.microsoft.com/office/2006/activeX" xmlns:r="http://schemas.openxmlformats.org/officeDocument/2006/relationships" ax:classid="{8BD21D40-EC42-11CE-9E0D-00AA006002F3}" ax:persistence="persistStreamInit" r:id="rId1"/>
</file>

<file path=xl/activeX/activeX24.xml><?xml version="1.0" encoding="utf-8"?>
<ax:ocx xmlns:ax="http://schemas.microsoft.com/office/2006/activeX" xmlns:r="http://schemas.openxmlformats.org/officeDocument/2006/relationships" ax:classid="{8BD21D40-EC42-11CE-9E0D-00AA006002F3}" ax:persistence="persistStreamInit" r:id="rId1"/>
</file>

<file path=xl/activeX/activeX25.xml><?xml version="1.0" encoding="utf-8"?>
<ax:ocx xmlns:ax="http://schemas.microsoft.com/office/2006/activeX" xmlns:r="http://schemas.openxmlformats.org/officeDocument/2006/relationships" ax:classid="{8BD21D40-EC42-11CE-9E0D-00AA006002F3}" ax:persistence="persistStreamInit" r:id="rId1"/>
</file>

<file path=xl/activeX/activeX26.xml><?xml version="1.0" encoding="utf-8"?>
<ax:ocx xmlns:ax="http://schemas.microsoft.com/office/2006/activeX" xmlns:r="http://schemas.openxmlformats.org/officeDocument/2006/relationships" ax:classid="{8BD21D40-EC42-11CE-9E0D-00AA006002F3}" ax:persistence="persistStreamInit" r:id="rId1"/>
</file>

<file path=xl/activeX/activeX27.xml><?xml version="1.0" encoding="utf-8"?>
<ax:ocx xmlns:ax="http://schemas.microsoft.com/office/2006/activeX" xmlns:r="http://schemas.openxmlformats.org/officeDocument/2006/relationships" ax:classid="{8BD21D40-EC42-11CE-9E0D-00AA006002F3}" ax:persistence="persistStreamInit" r:id="rId1"/>
</file>

<file path=xl/activeX/activeX28.xml><?xml version="1.0" encoding="utf-8"?>
<ax:ocx xmlns:ax="http://schemas.microsoft.com/office/2006/activeX" xmlns:r="http://schemas.openxmlformats.org/officeDocument/2006/relationships" ax:classid="{8BD21D40-EC42-11CE-9E0D-00AA006002F3}" ax:persistence="persistStreamInit" r:id="rId1"/>
</file>

<file path=xl/activeX/activeX29.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30.xml><?xml version="1.0" encoding="utf-8"?>
<ax:ocx xmlns:ax="http://schemas.microsoft.com/office/2006/activeX" xmlns:r="http://schemas.openxmlformats.org/officeDocument/2006/relationships" ax:classid="{8BD21D40-EC42-11CE-9E0D-00AA006002F3}" ax:persistence="persistStreamInit" r:id="rId1"/>
</file>

<file path=xl/activeX/activeX31.xml><?xml version="1.0" encoding="utf-8"?>
<ax:ocx xmlns:ax="http://schemas.microsoft.com/office/2006/activeX" xmlns:r="http://schemas.openxmlformats.org/officeDocument/2006/relationships" ax:classid="{8BD21D40-EC42-11CE-9E0D-00AA006002F3}" ax:persistence="persistStreamInit" r:id="rId1"/>
</file>

<file path=xl/activeX/activeX32.xml><?xml version="1.0" encoding="utf-8"?>
<ax:ocx xmlns:ax="http://schemas.microsoft.com/office/2006/activeX" xmlns:r="http://schemas.openxmlformats.org/officeDocument/2006/relationships" ax:classid="{8BD21D40-EC42-11CE-9E0D-00AA006002F3}" ax:persistence="persistStreamInit" r:id="rId1"/>
</file>

<file path=xl/activeX/activeX33.xml><?xml version="1.0" encoding="utf-8"?>
<ax:ocx xmlns:ax="http://schemas.microsoft.com/office/2006/activeX" xmlns:r="http://schemas.openxmlformats.org/officeDocument/2006/relationships" ax:classid="{8BD21D40-EC42-11CE-9E0D-00AA006002F3}" ax:persistence="persistStreamInit" r:id="rId1"/>
</file>

<file path=xl/activeX/activeX34.xml><?xml version="1.0" encoding="utf-8"?>
<ax:ocx xmlns:ax="http://schemas.microsoft.com/office/2006/activeX" xmlns:r="http://schemas.openxmlformats.org/officeDocument/2006/relationships" ax:classid="{D7053240-CE69-11CD-A777-00DD01143C57}" ax:persistence="persistStreamInit" r:id="rId1"/>
</file>

<file path=xl/activeX/activeX35.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40-EC42-11CE-9E0D-00AA006002F3}" ax:persistence="persistStreamInit" r:id="rId1"/>
</file>

<file path=xl/activeX/activeX7.xml><?xml version="1.0" encoding="utf-8"?>
<ax:ocx xmlns:ax="http://schemas.microsoft.com/office/2006/activeX" xmlns:r="http://schemas.openxmlformats.org/officeDocument/2006/relationships" ax:classid="{8BD21D40-EC42-11CE-9E0D-00AA006002F3}" ax:persistence="persistStreamInit" r:id="rId1"/>
</file>

<file path=xl/activeX/activeX8.xml><?xml version="1.0" encoding="utf-8"?>
<ax:ocx xmlns:ax="http://schemas.microsoft.com/office/2006/activeX" xmlns:r="http://schemas.openxmlformats.org/officeDocument/2006/relationships" ax:classid="{8BD21D40-EC42-11CE-9E0D-00AA006002F3}" ax:persistence="persistStreamInit" r:id="rId1"/>
</file>

<file path=xl/activeX/activeX9.xml><?xml version="1.0" encoding="utf-8"?>
<ax:ocx xmlns:ax="http://schemas.microsoft.com/office/2006/activeX" xmlns:r="http://schemas.openxmlformats.org/officeDocument/2006/relationships" ax:classid="{8BD21D40-EC42-11CE-9E0D-00AA006002F3}"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28.emf"/><Relationship Id="rId13" Type="http://schemas.openxmlformats.org/officeDocument/2006/relationships/image" Target="../media/image23.emf"/><Relationship Id="rId18" Type="http://schemas.openxmlformats.org/officeDocument/2006/relationships/image" Target="../media/image18.emf"/><Relationship Id="rId26" Type="http://schemas.openxmlformats.org/officeDocument/2006/relationships/image" Target="../media/image10.emf"/><Relationship Id="rId3" Type="http://schemas.openxmlformats.org/officeDocument/2006/relationships/image" Target="../media/image33.emf"/><Relationship Id="rId21" Type="http://schemas.openxmlformats.org/officeDocument/2006/relationships/image" Target="../media/image15.emf"/><Relationship Id="rId34" Type="http://schemas.openxmlformats.org/officeDocument/2006/relationships/image" Target="../media/image2.emf"/><Relationship Id="rId7" Type="http://schemas.openxmlformats.org/officeDocument/2006/relationships/image" Target="../media/image29.emf"/><Relationship Id="rId12" Type="http://schemas.openxmlformats.org/officeDocument/2006/relationships/image" Target="../media/image24.emf"/><Relationship Id="rId17" Type="http://schemas.openxmlformats.org/officeDocument/2006/relationships/image" Target="../media/image19.emf"/><Relationship Id="rId25" Type="http://schemas.openxmlformats.org/officeDocument/2006/relationships/image" Target="../media/image11.emf"/><Relationship Id="rId33" Type="http://schemas.openxmlformats.org/officeDocument/2006/relationships/image" Target="../media/image3.emf"/><Relationship Id="rId2" Type="http://schemas.openxmlformats.org/officeDocument/2006/relationships/image" Target="../media/image34.emf"/><Relationship Id="rId16" Type="http://schemas.openxmlformats.org/officeDocument/2006/relationships/image" Target="../media/image20.emf"/><Relationship Id="rId20" Type="http://schemas.openxmlformats.org/officeDocument/2006/relationships/image" Target="../media/image16.emf"/><Relationship Id="rId29" Type="http://schemas.openxmlformats.org/officeDocument/2006/relationships/image" Target="../media/image7.emf"/><Relationship Id="rId1" Type="http://schemas.openxmlformats.org/officeDocument/2006/relationships/image" Target="../media/image35.emf"/><Relationship Id="rId6" Type="http://schemas.openxmlformats.org/officeDocument/2006/relationships/image" Target="../media/image30.emf"/><Relationship Id="rId11" Type="http://schemas.openxmlformats.org/officeDocument/2006/relationships/image" Target="../media/image25.emf"/><Relationship Id="rId24" Type="http://schemas.openxmlformats.org/officeDocument/2006/relationships/image" Target="../media/image12.emf"/><Relationship Id="rId32" Type="http://schemas.openxmlformats.org/officeDocument/2006/relationships/image" Target="../media/image4.emf"/><Relationship Id="rId5" Type="http://schemas.openxmlformats.org/officeDocument/2006/relationships/image" Target="../media/image31.emf"/><Relationship Id="rId15" Type="http://schemas.openxmlformats.org/officeDocument/2006/relationships/image" Target="../media/image21.emf"/><Relationship Id="rId23" Type="http://schemas.openxmlformats.org/officeDocument/2006/relationships/image" Target="../media/image13.emf"/><Relationship Id="rId28" Type="http://schemas.openxmlformats.org/officeDocument/2006/relationships/image" Target="../media/image8.emf"/><Relationship Id="rId10" Type="http://schemas.openxmlformats.org/officeDocument/2006/relationships/image" Target="../media/image26.emf"/><Relationship Id="rId19" Type="http://schemas.openxmlformats.org/officeDocument/2006/relationships/image" Target="../media/image17.emf"/><Relationship Id="rId31" Type="http://schemas.openxmlformats.org/officeDocument/2006/relationships/image" Target="../media/image5.emf"/><Relationship Id="rId4" Type="http://schemas.openxmlformats.org/officeDocument/2006/relationships/image" Target="../media/image32.emf"/><Relationship Id="rId9" Type="http://schemas.openxmlformats.org/officeDocument/2006/relationships/image" Target="../media/image27.emf"/><Relationship Id="rId14" Type="http://schemas.openxmlformats.org/officeDocument/2006/relationships/image" Target="../media/image22.emf"/><Relationship Id="rId22" Type="http://schemas.openxmlformats.org/officeDocument/2006/relationships/image" Target="../media/image14.emf"/><Relationship Id="rId27" Type="http://schemas.openxmlformats.org/officeDocument/2006/relationships/image" Target="../media/image9.emf"/><Relationship Id="rId30"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1</xdr:col>
      <xdr:colOff>400050</xdr:colOff>
      <xdr:row>8</xdr:row>
      <xdr:rowOff>142875</xdr:rowOff>
    </xdr:from>
    <xdr:to>
      <xdr:col>1</xdr:col>
      <xdr:colOff>3257550</xdr:colOff>
      <xdr:row>10</xdr:row>
      <xdr:rowOff>76200</xdr:rowOff>
    </xdr:to>
    <xdr:sp macro="" textlink="">
      <xdr:nvSpPr>
        <xdr:cNvPr id="1033" name="CommandButton1" hidden="1">
          <a:extLst>
            <a:ext uri="{63B3BB69-23CF-44E3-9099-C40C66FF867C}">
              <a14:compatExt xmlns:a14="http://schemas.microsoft.com/office/drawing/2010/main" spid="_x0000_s1033"/>
            </a:ext>
          </a:extLst>
        </xdr:cNvPr>
        <xdr:cNvSpPr/>
      </xdr:nvSpPr>
      <xdr:spPr>
        <a:xfrm>
          <a:off x="0" y="0"/>
          <a:ext cx="0" cy="0"/>
        </a:xfrm>
        <a:prstGeom prst="rect">
          <a:avLst/>
        </a:prstGeom>
      </xdr:spPr>
    </xdr:sp>
    <xdr:clientData/>
  </xdr:twoCellAnchor>
  <xdr:twoCellAnchor editAs="oneCell">
    <xdr:from>
      <xdr:col>3</xdr:col>
      <xdr:colOff>76200</xdr:colOff>
      <xdr:row>15</xdr:row>
      <xdr:rowOff>66675</xdr:rowOff>
    </xdr:from>
    <xdr:to>
      <xdr:col>3</xdr:col>
      <xdr:colOff>1295400</xdr:colOff>
      <xdr:row>19</xdr:row>
      <xdr:rowOff>123825</xdr:rowOff>
    </xdr:to>
    <xdr:sp macro="" textlink="" fLocksText="0">
      <xdr:nvSpPr>
        <xdr:cNvPr id="1025" name="Text Box 1" hidden="1"/>
        <xdr:cNvSpPr txBox="1">
          <a:spLocks/>
        </xdr:cNvSpPr>
      </xdr:nvSpPr>
      <xdr:spPr bwMode="auto">
        <a:xfrm>
          <a:off x="5276850" y="3143250"/>
          <a:ext cx="1219200" cy="704850"/>
        </a:xfrm>
        <a:prstGeom prst="rect">
          <a:avLst/>
        </a:prstGeom>
        <a:solidFill>
          <a:srgbClr val="FFFFC0"/>
        </a:solidFill>
        <a:ln w="9360" cap="sq">
          <a:solidFill>
            <a:srgbClr val="000000"/>
          </a:solidFill>
          <a:miter lim="800000"/>
          <a:headEnd type="triangle" w="med" len="me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fLocksWithSheet="0" fPrintsWithSheet="0"/>
  </xdr:twoCellAnchor>
  <mc:AlternateContent xmlns:mc="http://schemas.openxmlformats.org/markup-compatibility/2006">
    <mc:Choice xmlns:a14="http://schemas.microsoft.com/office/drawing/2010/main" Requires="a14">
      <xdr:twoCellAnchor>
        <xdr:from>
          <xdr:col>1</xdr:col>
          <xdr:colOff>400050</xdr:colOff>
          <xdr:row>8</xdr:row>
          <xdr:rowOff>142875</xdr:rowOff>
        </xdr:from>
        <xdr:to>
          <xdr:col>1</xdr:col>
          <xdr:colOff>3257550</xdr:colOff>
          <xdr:row>10</xdr:row>
          <xdr:rowOff>76200</xdr:rowOff>
        </xdr:to>
        <xdr:sp macro="" textlink="">
          <xdr:nvSpPr>
            <xdr:cNvPr id="2" name="CommandButton1" hidden="1">
              <a:extLst>
                <a:ext uri="{63B3BB69-23CF-44E3-9099-C40C66FF867C}">
                  <a14:compatExt spid="_x0000_s1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xdr:col>
      <xdr:colOff>219075</xdr:colOff>
      <xdr:row>56</xdr:row>
      <xdr:rowOff>0</xdr:rowOff>
    </xdr:from>
    <xdr:to>
      <xdr:col>25</xdr:col>
      <xdr:colOff>152400</xdr:colOff>
      <xdr:row>57</xdr:row>
      <xdr:rowOff>142875</xdr:rowOff>
    </xdr:to>
    <xdr:sp macro="" textlink="">
      <xdr:nvSpPr>
        <xdr:cNvPr id="2055" name="CommandButton1" hidden="1">
          <a:extLst>
            <a:ext uri="{63B3BB69-23CF-44E3-9099-C40C66FF867C}">
              <a14:compatExt xmlns:a14="http://schemas.microsoft.com/office/drawing/2010/main" spid="_x0000_s2055"/>
            </a:ext>
          </a:extLst>
        </xdr:cNvPr>
        <xdr:cNvSpPr/>
      </xdr:nvSpPr>
      <xdr:spPr>
        <a:xfrm>
          <a:off x="0" y="0"/>
          <a:ext cx="0" cy="0"/>
        </a:xfrm>
        <a:prstGeom prst="rect">
          <a:avLst/>
        </a:prstGeom>
      </xdr:spPr>
    </xdr:sp>
    <xdr:clientData/>
  </xdr:twoCellAnchor>
  <xdr:twoCellAnchor>
    <xdr:from>
      <xdr:col>11</xdr:col>
      <xdr:colOff>114300</xdr:colOff>
      <xdr:row>59</xdr:row>
      <xdr:rowOff>19050</xdr:rowOff>
    </xdr:from>
    <xdr:to>
      <xdr:col>25</xdr:col>
      <xdr:colOff>142875</xdr:colOff>
      <xdr:row>60</xdr:row>
      <xdr:rowOff>180975</xdr:rowOff>
    </xdr:to>
    <xdr:sp macro="" textlink="">
      <xdr:nvSpPr>
        <xdr:cNvPr id="2056" name="CommandButton2" hidden="1">
          <a:extLst>
            <a:ext uri="{63B3BB69-23CF-44E3-9099-C40C66FF867C}">
              <a14:compatExt xmlns:a14="http://schemas.microsoft.com/office/drawing/2010/main" spid="_x0000_s2056"/>
            </a:ext>
          </a:extLst>
        </xdr:cNvPr>
        <xdr:cNvSpPr/>
      </xdr:nvSpPr>
      <xdr:spPr>
        <a:xfrm>
          <a:off x="0" y="0"/>
          <a:ext cx="0" cy="0"/>
        </a:xfrm>
        <a:prstGeom prst="rect">
          <a:avLst/>
        </a:prstGeom>
      </xdr:spPr>
    </xdr:sp>
    <xdr:clientData/>
  </xdr:twoCellAnchor>
  <xdr:twoCellAnchor>
    <xdr:from>
      <xdr:col>38</xdr:col>
      <xdr:colOff>47625</xdr:colOff>
      <xdr:row>55</xdr:row>
      <xdr:rowOff>66675</xdr:rowOff>
    </xdr:from>
    <xdr:to>
      <xdr:col>38</xdr:col>
      <xdr:colOff>161925</xdr:colOff>
      <xdr:row>55</xdr:row>
      <xdr:rowOff>171450</xdr:rowOff>
    </xdr:to>
    <xdr:sp macro="" textlink="">
      <xdr:nvSpPr>
        <xdr:cNvPr id="2057" name="CheckBox1" hidden="1">
          <a:extLst>
            <a:ext uri="{63B3BB69-23CF-44E3-9099-C40C66FF867C}">
              <a14:compatExt xmlns:a14="http://schemas.microsoft.com/office/drawing/2010/main" spid="_x0000_s2057"/>
            </a:ext>
          </a:extLst>
        </xdr:cNvPr>
        <xdr:cNvSpPr/>
      </xdr:nvSpPr>
      <xdr:spPr>
        <a:xfrm>
          <a:off x="0" y="0"/>
          <a:ext cx="0" cy="0"/>
        </a:xfrm>
        <a:prstGeom prst="rect">
          <a:avLst/>
        </a:prstGeom>
      </xdr:spPr>
    </xdr:sp>
    <xdr:clientData/>
  </xdr:twoCellAnchor>
  <xdr:twoCellAnchor>
    <xdr:from>
      <xdr:col>39</xdr:col>
      <xdr:colOff>47625</xdr:colOff>
      <xdr:row>55</xdr:row>
      <xdr:rowOff>66675</xdr:rowOff>
    </xdr:from>
    <xdr:to>
      <xdr:col>39</xdr:col>
      <xdr:colOff>161925</xdr:colOff>
      <xdr:row>55</xdr:row>
      <xdr:rowOff>171450</xdr:rowOff>
    </xdr:to>
    <xdr:sp macro="" textlink="">
      <xdr:nvSpPr>
        <xdr:cNvPr id="2058" name="CheckBox2" hidden="1">
          <a:extLst>
            <a:ext uri="{63B3BB69-23CF-44E3-9099-C40C66FF867C}">
              <a14:compatExt xmlns:a14="http://schemas.microsoft.com/office/drawing/2010/main" spid="_x0000_s2058"/>
            </a:ext>
          </a:extLst>
        </xdr:cNvPr>
        <xdr:cNvSpPr/>
      </xdr:nvSpPr>
      <xdr:spPr>
        <a:xfrm>
          <a:off x="0" y="0"/>
          <a:ext cx="0" cy="0"/>
        </a:xfrm>
        <a:prstGeom prst="rect">
          <a:avLst/>
        </a:prstGeom>
      </xdr:spPr>
    </xdr:sp>
    <xdr:clientData/>
  </xdr:twoCellAnchor>
  <xdr:twoCellAnchor>
    <xdr:from>
      <xdr:col>40</xdr:col>
      <xdr:colOff>47625</xdr:colOff>
      <xdr:row>55</xdr:row>
      <xdr:rowOff>66675</xdr:rowOff>
    </xdr:from>
    <xdr:to>
      <xdr:col>40</xdr:col>
      <xdr:colOff>161925</xdr:colOff>
      <xdr:row>55</xdr:row>
      <xdr:rowOff>171450</xdr:rowOff>
    </xdr:to>
    <xdr:sp macro="" textlink="">
      <xdr:nvSpPr>
        <xdr:cNvPr id="2059" name="CheckBox3" hidden="1">
          <a:extLst>
            <a:ext uri="{63B3BB69-23CF-44E3-9099-C40C66FF867C}">
              <a14:compatExt xmlns:a14="http://schemas.microsoft.com/office/drawing/2010/main" spid="_x0000_s2059"/>
            </a:ext>
          </a:extLst>
        </xdr:cNvPr>
        <xdr:cNvSpPr/>
      </xdr:nvSpPr>
      <xdr:spPr>
        <a:xfrm>
          <a:off x="0" y="0"/>
          <a:ext cx="0" cy="0"/>
        </a:xfrm>
        <a:prstGeom prst="rect">
          <a:avLst/>
        </a:prstGeom>
      </xdr:spPr>
    </xdr:sp>
    <xdr:clientData/>
  </xdr:twoCellAnchor>
  <xdr:twoCellAnchor>
    <xdr:from>
      <xdr:col>41</xdr:col>
      <xdr:colOff>66675</xdr:colOff>
      <xdr:row>55</xdr:row>
      <xdr:rowOff>66675</xdr:rowOff>
    </xdr:from>
    <xdr:to>
      <xdr:col>41</xdr:col>
      <xdr:colOff>180975</xdr:colOff>
      <xdr:row>55</xdr:row>
      <xdr:rowOff>171450</xdr:rowOff>
    </xdr:to>
    <xdr:sp macro="" textlink="">
      <xdr:nvSpPr>
        <xdr:cNvPr id="2060" name="CheckBox4" hidden="1">
          <a:extLst>
            <a:ext uri="{63B3BB69-23CF-44E3-9099-C40C66FF867C}">
              <a14:compatExt xmlns:a14="http://schemas.microsoft.com/office/drawing/2010/main" spid="_x0000_s2060"/>
            </a:ext>
          </a:extLst>
        </xdr:cNvPr>
        <xdr:cNvSpPr/>
      </xdr:nvSpPr>
      <xdr:spPr>
        <a:xfrm>
          <a:off x="0" y="0"/>
          <a:ext cx="0" cy="0"/>
        </a:xfrm>
        <a:prstGeom prst="rect">
          <a:avLst/>
        </a:prstGeom>
      </xdr:spPr>
    </xdr:sp>
    <xdr:clientData/>
  </xdr:twoCellAnchor>
  <xdr:twoCellAnchor>
    <xdr:from>
      <xdr:col>42</xdr:col>
      <xdr:colOff>47625</xdr:colOff>
      <xdr:row>55</xdr:row>
      <xdr:rowOff>66675</xdr:rowOff>
    </xdr:from>
    <xdr:to>
      <xdr:col>42</xdr:col>
      <xdr:colOff>161925</xdr:colOff>
      <xdr:row>55</xdr:row>
      <xdr:rowOff>171450</xdr:rowOff>
    </xdr:to>
    <xdr:sp macro="" textlink="">
      <xdr:nvSpPr>
        <xdr:cNvPr id="2061" name="CheckBox5" hidden="1">
          <a:extLst>
            <a:ext uri="{63B3BB69-23CF-44E3-9099-C40C66FF867C}">
              <a14:compatExt xmlns:a14="http://schemas.microsoft.com/office/drawing/2010/main" spid="_x0000_s2061"/>
            </a:ext>
          </a:extLst>
        </xdr:cNvPr>
        <xdr:cNvSpPr/>
      </xdr:nvSpPr>
      <xdr:spPr>
        <a:xfrm>
          <a:off x="0" y="0"/>
          <a:ext cx="0" cy="0"/>
        </a:xfrm>
        <a:prstGeom prst="rect">
          <a:avLst/>
        </a:prstGeom>
      </xdr:spPr>
    </xdr:sp>
    <xdr:clientData/>
  </xdr:twoCellAnchor>
  <xdr:twoCellAnchor>
    <xdr:from>
      <xdr:col>43</xdr:col>
      <xdr:colOff>47625</xdr:colOff>
      <xdr:row>55</xdr:row>
      <xdr:rowOff>66675</xdr:rowOff>
    </xdr:from>
    <xdr:to>
      <xdr:col>43</xdr:col>
      <xdr:colOff>161925</xdr:colOff>
      <xdr:row>55</xdr:row>
      <xdr:rowOff>171450</xdr:rowOff>
    </xdr:to>
    <xdr:sp macro="" textlink="">
      <xdr:nvSpPr>
        <xdr:cNvPr id="2062" name="CheckBox6" hidden="1">
          <a:extLst>
            <a:ext uri="{63B3BB69-23CF-44E3-9099-C40C66FF867C}">
              <a14:compatExt xmlns:a14="http://schemas.microsoft.com/office/drawing/2010/main" spid="_x0000_s2062"/>
            </a:ext>
          </a:extLst>
        </xdr:cNvPr>
        <xdr:cNvSpPr/>
      </xdr:nvSpPr>
      <xdr:spPr>
        <a:xfrm>
          <a:off x="0" y="0"/>
          <a:ext cx="0" cy="0"/>
        </a:xfrm>
        <a:prstGeom prst="rect">
          <a:avLst/>
        </a:prstGeom>
      </xdr:spPr>
    </xdr:sp>
    <xdr:clientData/>
  </xdr:twoCellAnchor>
  <xdr:twoCellAnchor>
    <xdr:from>
      <xdr:col>44</xdr:col>
      <xdr:colOff>47625</xdr:colOff>
      <xdr:row>55</xdr:row>
      <xdr:rowOff>66675</xdr:rowOff>
    </xdr:from>
    <xdr:to>
      <xdr:col>44</xdr:col>
      <xdr:colOff>161925</xdr:colOff>
      <xdr:row>55</xdr:row>
      <xdr:rowOff>171450</xdr:rowOff>
    </xdr:to>
    <xdr:sp macro="" textlink="">
      <xdr:nvSpPr>
        <xdr:cNvPr id="2063" name="CheckBox7" hidden="1">
          <a:extLst>
            <a:ext uri="{63B3BB69-23CF-44E3-9099-C40C66FF867C}">
              <a14:compatExt xmlns:a14="http://schemas.microsoft.com/office/drawing/2010/main" spid="_x0000_s2063"/>
            </a:ext>
          </a:extLst>
        </xdr:cNvPr>
        <xdr:cNvSpPr/>
      </xdr:nvSpPr>
      <xdr:spPr>
        <a:xfrm>
          <a:off x="0" y="0"/>
          <a:ext cx="0" cy="0"/>
        </a:xfrm>
        <a:prstGeom prst="rect">
          <a:avLst/>
        </a:prstGeom>
      </xdr:spPr>
    </xdr:sp>
    <xdr:clientData/>
  </xdr:twoCellAnchor>
  <xdr:twoCellAnchor>
    <xdr:from>
      <xdr:col>45</xdr:col>
      <xdr:colOff>47625</xdr:colOff>
      <xdr:row>55</xdr:row>
      <xdr:rowOff>66675</xdr:rowOff>
    </xdr:from>
    <xdr:to>
      <xdr:col>45</xdr:col>
      <xdr:colOff>161925</xdr:colOff>
      <xdr:row>55</xdr:row>
      <xdr:rowOff>171450</xdr:rowOff>
    </xdr:to>
    <xdr:sp macro="" textlink="">
      <xdr:nvSpPr>
        <xdr:cNvPr id="2064" name="CheckBox8" hidden="1">
          <a:extLst>
            <a:ext uri="{63B3BB69-23CF-44E3-9099-C40C66FF867C}">
              <a14:compatExt xmlns:a14="http://schemas.microsoft.com/office/drawing/2010/main" spid="_x0000_s2064"/>
            </a:ext>
          </a:extLst>
        </xdr:cNvPr>
        <xdr:cNvSpPr/>
      </xdr:nvSpPr>
      <xdr:spPr>
        <a:xfrm>
          <a:off x="0" y="0"/>
          <a:ext cx="0" cy="0"/>
        </a:xfrm>
        <a:prstGeom prst="rect">
          <a:avLst/>
        </a:prstGeom>
      </xdr:spPr>
    </xdr:sp>
    <xdr:clientData/>
  </xdr:twoCellAnchor>
  <xdr:twoCellAnchor>
    <xdr:from>
      <xdr:col>46</xdr:col>
      <xdr:colOff>47625</xdr:colOff>
      <xdr:row>55</xdr:row>
      <xdr:rowOff>66675</xdr:rowOff>
    </xdr:from>
    <xdr:to>
      <xdr:col>46</xdr:col>
      <xdr:colOff>161925</xdr:colOff>
      <xdr:row>55</xdr:row>
      <xdr:rowOff>171450</xdr:rowOff>
    </xdr:to>
    <xdr:sp macro="" textlink="">
      <xdr:nvSpPr>
        <xdr:cNvPr id="2065" name="CheckBox9" hidden="1">
          <a:extLst>
            <a:ext uri="{63B3BB69-23CF-44E3-9099-C40C66FF867C}">
              <a14:compatExt xmlns:a14="http://schemas.microsoft.com/office/drawing/2010/main" spid="_x0000_s2065"/>
            </a:ext>
          </a:extLst>
        </xdr:cNvPr>
        <xdr:cNvSpPr/>
      </xdr:nvSpPr>
      <xdr:spPr>
        <a:xfrm>
          <a:off x="0" y="0"/>
          <a:ext cx="0" cy="0"/>
        </a:xfrm>
        <a:prstGeom prst="rect">
          <a:avLst/>
        </a:prstGeom>
      </xdr:spPr>
    </xdr:sp>
    <xdr:clientData/>
  </xdr:twoCellAnchor>
  <xdr:twoCellAnchor>
    <xdr:from>
      <xdr:col>47</xdr:col>
      <xdr:colOff>47625</xdr:colOff>
      <xdr:row>55</xdr:row>
      <xdr:rowOff>66675</xdr:rowOff>
    </xdr:from>
    <xdr:to>
      <xdr:col>47</xdr:col>
      <xdr:colOff>161925</xdr:colOff>
      <xdr:row>55</xdr:row>
      <xdr:rowOff>171450</xdr:rowOff>
    </xdr:to>
    <xdr:sp macro="" textlink="">
      <xdr:nvSpPr>
        <xdr:cNvPr id="2066" name="CheckBox10" hidden="1">
          <a:extLst>
            <a:ext uri="{63B3BB69-23CF-44E3-9099-C40C66FF867C}">
              <a14:compatExt xmlns:a14="http://schemas.microsoft.com/office/drawing/2010/main" spid="_x0000_s2066"/>
            </a:ext>
          </a:extLst>
        </xdr:cNvPr>
        <xdr:cNvSpPr/>
      </xdr:nvSpPr>
      <xdr:spPr>
        <a:xfrm>
          <a:off x="0" y="0"/>
          <a:ext cx="0" cy="0"/>
        </a:xfrm>
        <a:prstGeom prst="rect">
          <a:avLst/>
        </a:prstGeom>
      </xdr:spPr>
    </xdr:sp>
    <xdr:clientData/>
  </xdr:twoCellAnchor>
  <xdr:twoCellAnchor>
    <xdr:from>
      <xdr:col>48</xdr:col>
      <xdr:colOff>47625</xdr:colOff>
      <xdr:row>55</xdr:row>
      <xdr:rowOff>66675</xdr:rowOff>
    </xdr:from>
    <xdr:to>
      <xdr:col>48</xdr:col>
      <xdr:colOff>161925</xdr:colOff>
      <xdr:row>55</xdr:row>
      <xdr:rowOff>171450</xdr:rowOff>
    </xdr:to>
    <xdr:sp macro="" textlink="">
      <xdr:nvSpPr>
        <xdr:cNvPr id="2067" name="CheckBox11" hidden="1">
          <a:extLst>
            <a:ext uri="{63B3BB69-23CF-44E3-9099-C40C66FF867C}">
              <a14:compatExt xmlns:a14="http://schemas.microsoft.com/office/drawing/2010/main" spid="_x0000_s2067"/>
            </a:ext>
          </a:extLst>
        </xdr:cNvPr>
        <xdr:cNvSpPr/>
      </xdr:nvSpPr>
      <xdr:spPr>
        <a:xfrm>
          <a:off x="0" y="0"/>
          <a:ext cx="0" cy="0"/>
        </a:xfrm>
        <a:prstGeom prst="rect">
          <a:avLst/>
        </a:prstGeom>
      </xdr:spPr>
    </xdr:sp>
    <xdr:clientData/>
  </xdr:twoCellAnchor>
  <xdr:twoCellAnchor>
    <xdr:from>
      <xdr:col>49</xdr:col>
      <xdr:colOff>47625</xdr:colOff>
      <xdr:row>55</xdr:row>
      <xdr:rowOff>66675</xdr:rowOff>
    </xdr:from>
    <xdr:to>
      <xdr:col>49</xdr:col>
      <xdr:colOff>161925</xdr:colOff>
      <xdr:row>55</xdr:row>
      <xdr:rowOff>171450</xdr:rowOff>
    </xdr:to>
    <xdr:sp macro="" textlink="">
      <xdr:nvSpPr>
        <xdr:cNvPr id="2068" name="CheckBox12" hidden="1">
          <a:extLst>
            <a:ext uri="{63B3BB69-23CF-44E3-9099-C40C66FF867C}">
              <a14:compatExt xmlns:a14="http://schemas.microsoft.com/office/drawing/2010/main" spid="_x0000_s2068"/>
            </a:ext>
          </a:extLst>
        </xdr:cNvPr>
        <xdr:cNvSpPr/>
      </xdr:nvSpPr>
      <xdr:spPr>
        <a:xfrm>
          <a:off x="0" y="0"/>
          <a:ext cx="0" cy="0"/>
        </a:xfrm>
        <a:prstGeom prst="rect">
          <a:avLst/>
        </a:prstGeom>
      </xdr:spPr>
    </xdr:sp>
    <xdr:clientData/>
  </xdr:twoCellAnchor>
  <xdr:twoCellAnchor>
    <xdr:from>
      <xdr:col>50</xdr:col>
      <xdr:colOff>47625</xdr:colOff>
      <xdr:row>55</xdr:row>
      <xdr:rowOff>66675</xdr:rowOff>
    </xdr:from>
    <xdr:to>
      <xdr:col>50</xdr:col>
      <xdr:colOff>161925</xdr:colOff>
      <xdr:row>55</xdr:row>
      <xdr:rowOff>171450</xdr:rowOff>
    </xdr:to>
    <xdr:sp macro="" textlink="">
      <xdr:nvSpPr>
        <xdr:cNvPr id="2069" name="CheckBox13" hidden="1">
          <a:extLst>
            <a:ext uri="{63B3BB69-23CF-44E3-9099-C40C66FF867C}">
              <a14:compatExt xmlns:a14="http://schemas.microsoft.com/office/drawing/2010/main" spid="_x0000_s2069"/>
            </a:ext>
          </a:extLst>
        </xdr:cNvPr>
        <xdr:cNvSpPr/>
      </xdr:nvSpPr>
      <xdr:spPr>
        <a:xfrm>
          <a:off x="0" y="0"/>
          <a:ext cx="0" cy="0"/>
        </a:xfrm>
        <a:prstGeom prst="rect">
          <a:avLst/>
        </a:prstGeom>
      </xdr:spPr>
    </xdr:sp>
    <xdr:clientData/>
  </xdr:twoCellAnchor>
  <xdr:twoCellAnchor>
    <xdr:from>
      <xdr:col>51</xdr:col>
      <xdr:colOff>47625</xdr:colOff>
      <xdr:row>55</xdr:row>
      <xdr:rowOff>66675</xdr:rowOff>
    </xdr:from>
    <xdr:to>
      <xdr:col>51</xdr:col>
      <xdr:colOff>161925</xdr:colOff>
      <xdr:row>55</xdr:row>
      <xdr:rowOff>171450</xdr:rowOff>
    </xdr:to>
    <xdr:sp macro="" textlink="">
      <xdr:nvSpPr>
        <xdr:cNvPr id="2070" name="CheckBox14" hidden="1">
          <a:extLst>
            <a:ext uri="{63B3BB69-23CF-44E3-9099-C40C66FF867C}">
              <a14:compatExt xmlns:a14="http://schemas.microsoft.com/office/drawing/2010/main" spid="_x0000_s2070"/>
            </a:ext>
          </a:extLst>
        </xdr:cNvPr>
        <xdr:cNvSpPr/>
      </xdr:nvSpPr>
      <xdr:spPr>
        <a:xfrm>
          <a:off x="0" y="0"/>
          <a:ext cx="0" cy="0"/>
        </a:xfrm>
        <a:prstGeom prst="rect">
          <a:avLst/>
        </a:prstGeom>
      </xdr:spPr>
    </xdr:sp>
    <xdr:clientData/>
  </xdr:twoCellAnchor>
  <xdr:twoCellAnchor>
    <xdr:from>
      <xdr:col>52</xdr:col>
      <xdr:colOff>47625</xdr:colOff>
      <xdr:row>55</xdr:row>
      <xdr:rowOff>66675</xdr:rowOff>
    </xdr:from>
    <xdr:to>
      <xdr:col>52</xdr:col>
      <xdr:colOff>161925</xdr:colOff>
      <xdr:row>55</xdr:row>
      <xdr:rowOff>171450</xdr:rowOff>
    </xdr:to>
    <xdr:sp macro="" textlink="">
      <xdr:nvSpPr>
        <xdr:cNvPr id="2071" name="CheckBox15" hidden="1">
          <a:extLst>
            <a:ext uri="{63B3BB69-23CF-44E3-9099-C40C66FF867C}">
              <a14:compatExt xmlns:a14="http://schemas.microsoft.com/office/drawing/2010/main" spid="_x0000_s2071"/>
            </a:ext>
          </a:extLst>
        </xdr:cNvPr>
        <xdr:cNvSpPr/>
      </xdr:nvSpPr>
      <xdr:spPr>
        <a:xfrm>
          <a:off x="0" y="0"/>
          <a:ext cx="0" cy="0"/>
        </a:xfrm>
        <a:prstGeom prst="rect">
          <a:avLst/>
        </a:prstGeom>
      </xdr:spPr>
    </xdr:sp>
    <xdr:clientData/>
  </xdr:twoCellAnchor>
  <xdr:twoCellAnchor>
    <xdr:from>
      <xdr:col>53</xdr:col>
      <xdr:colOff>47625</xdr:colOff>
      <xdr:row>55</xdr:row>
      <xdr:rowOff>66675</xdr:rowOff>
    </xdr:from>
    <xdr:to>
      <xdr:col>53</xdr:col>
      <xdr:colOff>161925</xdr:colOff>
      <xdr:row>55</xdr:row>
      <xdr:rowOff>171450</xdr:rowOff>
    </xdr:to>
    <xdr:sp macro="" textlink="">
      <xdr:nvSpPr>
        <xdr:cNvPr id="2072" name="CheckBox16" hidden="1">
          <a:extLst>
            <a:ext uri="{63B3BB69-23CF-44E3-9099-C40C66FF867C}">
              <a14:compatExt xmlns:a14="http://schemas.microsoft.com/office/drawing/2010/main" spid="_x0000_s2072"/>
            </a:ext>
          </a:extLst>
        </xdr:cNvPr>
        <xdr:cNvSpPr/>
      </xdr:nvSpPr>
      <xdr:spPr>
        <a:xfrm>
          <a:off x="0" y="0"/>
          <a:ext cx="0" cy="0"/>
        </a:xfrm>
        <a:prstGeom prst="rect">
          <a:avLst/>
        </a:prstGeom>
      </xdr:spPr>
    </xdr:sp>
    <xdr:clientData/>
  </xdr:twoCellAnchor>
  <xdr:twoCellAnchor>
    <xdr:from>
      <xdr:col>54</xdr:col>
      <xdr:colOff>47625</xdr:colOff>
      <xdr:row>55</xdr:row>
      <xdr:rowOff>66675</xdr:rowOff>
    </xdr:from>
    <xdr:to>
      <xdr:col>54</xdr:col>
      <xdr:colOff>161925</xdr:colOff>
      <xdr:row>55</xdr:row>
      <xdr:rowOff>171450</xdr:rowOff>
    </xdr:to>
    <xdr:sp macro="" textlink="">
      <xdr:nvSpPr>
        <xdr:cNvPr id="2073" name="CheckBox17" hidden="1">
          <a:extLst>
            <a:ext uri="{63B3BB69-23CF-44E3-9099-C40C66FF867C}">
              <a14:compatExt xmlns:a14="http://schemas.microsoft.com/office/drawing/2010/main" spid="_x0000_s2073"/>
            </a:ext>
          </a:extLst>
        </xdr:cNvPr>
        <xdr:cNvSpPr/>
      </xdr:nvSpPr>
      <xdr:spPr>
        <a:xfrm>
          <a:off x="0" y="0"/>
          <a:ext cx="0" cy="0"/>
        </a:xfrm>
        <a:prstGeom prst="rect">
          <a:avLst/>
        </a:prstGeom>
      </xdr:spPr>
    </xdr:sp>
    <xdr:clientData/>
  </xdr:twoCellAnchor>
  <xdr:twoCellAnchor>
    <xdr:from>
      <xdr:col>55</xdr:col>
      <xdr:colOff>47625</xdr:colOff>
      <xdr:row>55</xdr:row>
      <xdr:rowOff>66675</xdr:rowOff>
    </xdr:from>
    <xdr:to>
      <xdr:col>55</xdr:col>
      <xdr:colOff>161925</xdr:colOff>
      <xdr:row>55</xdr:row>
      <xdr:rowOff>171450</xdr:rowOff>
    </xdr:to>
    <xdr:sp macro="" textlink="">
      <xdr:nvSpPr>
        <xdr:cNvPr id="2074" name="CheckBox18" hidden="1">
          <a:extLst>
            <a:ext uri="{63B3BB69-23CF-44E3-9099-C40C66FF867C}">
              <a14:compatExt xmlns:a14="http://schemas.microsoft.com/office/drawing/2010/main" spid="_x0000_s2074"/>
            </a:ext>
          </a:extLst>
        </xdr:cNvPr>
        <xdr:cNvSpPr/>
      </xdr:nvSpPr>
      <xdr:spPr>
        <a:xfrm>
          <a:off x="0" y="0"/>
          <a:ext cx="0" cy="0"/>
        </a:xfrm>
        <a:prstGeom prst="rect">
          <a:avLst/>
        </a:prstGeom>
      </xdr:spPr>
    </xdr:sp>
    <xdr:clientData/>
  </xdr:twoCellAnchor>
  <xdr:twoCellAnchor>
    <xdr:from>
      <xdr:col>56</xdr:col>
      <xdr:colOff>47625</xdr:colOff>
      <xdr:row>55</xdr:row>
      <xdr:rowOff>66675</xdr:rowOff>
    </xdr:from>
    <xdr:to>
      <xdr:col>56</xdr:col>
      <xdr:colOff>161925</xdr:colOff>
      <xdr:row>55</xdr:row>
      <xdr:rowOff>171450</xdr:rowOff>
    </xdr:to>
    <xdr:sp macro="" textlink="">
      <xdr:nvSpPr>
        <xdr:cNvPr id="2075" name="CheckBox19" hidden="1">
          <a:extLst>
            <a:ext uri="{63B3BB69-23CF-44E3-9099-C40C66FF867C}">
              <a14:compatExt xmlns:a14="http://schemas.microsoft.com/office/drawing/2010/main" spid="_x0000_s2075"/>
            </a:ext>
          </a:extLst>
        </xdr:cNvPr>
        <xdr:cNvSpPr/>
      </xdr:nvSpPr>
      <xdr:spPr>
        <a:xfrm>
          <a:off x="0" y="0"/>
          <a:ext cx="0" cy="0"/>
        </a:xfrm>
        <a:prstGeom prst="rect">
          <a:avLst/>
        </a:prstGeom>
      </xdr:spPr>
    </xdr:sp>
    <xdr:clientData/>
  </xdr:twoCellAnchor>
  <xdr:twoCellAnchor>
    <xdr:from>
      <xdr:col>57</xdr:col>
      <xdr:colOff>47625</xdr:colOff>
      <xdr:row>55</xdr:row>
      <xdr:rowOff>66675</xdr:rowOff>
    </xdr:from>
    <xdr:to>
      <xdr:col>57</xdr:col>
      <xdr:colOff>161925</xdr:colOff>
      <xdr:row>55</xdr:row>
      <xdr:rowOff>171450</xdr:rowOff>
    </xdr:to>
    <xdr:sp macro="" textlink="">
      <xdr:nvSpPr>
        <xdr:cNvPr id="2076" name="CheckBox20" hidden="1">
          <a:extLst>
            <a:ext uri="{63B3BB69-23CF-44E3-9099-C40C66FF867C}">
              <a14:compatExt xmlns:a14="http://schemas.microsoft.com/office/drawing/2010/main" spid="_x0000_s2076"/>
            </a:ext>
          </a:extLst>
        </xdr:cNvPr>
        <xdr:cNvSpPr/>
      </xdr:nvSpPr>
      <xdr:spPr>
        <a:xfrm>
          <a:off x="0" y="0"/>
          <a:ext cx="0" cy="0"/>
        </a:xfrm>
        <a:prstGeom prst="rect">
          <a:avLst/>
        </a:prstGeom>
      </xdr:spPr>
    </xdr:sp>
    <xdr:clientData/>
  </xdr:twoCellAnchor>
  <xdr:twoCellAnchor>
    <xdr:from>
      <xdr:col>58</xdr:col>
      <xdr:colOff>47625</xdr:colOff>
      <xdr:row>55</xdr:row>
      <xdr:rowOff>66675</xdr:rowOff>
    </xdr:from>
    <xdr:to>
      <xdr:col>58</xdr:col>
      <xdr:colOff>161925</xdr:colOff>
      <xdr:row>55</xdr:row>
      <xdr:rowOff>171450</xdr:rowOff>
    </xdr:to>
    <xdr:sp macro="" textlink="">
      <xdr:nvSpPr>
        <xdr:cNvPr id="2077" name="CheckBox21" hidden="1">
          <a:extLst>
            <a:ext uri="{63B3BB69-23CF-44E3-9099-C40C66FF867C}">
              <a14:compatExt xmlns:a14="http://schemas.microsoft.com/office/drawing/2010/main" spid="_x0000_s2077"/>
            </a:ext>
          </a:extLst>
        </xdr:cNvPr>
        <xdr:cNvSpPr/>
      </xdr:nvSpPr>
      <xdr:spPr>
        <a:xfrm>
          <a:off x="0" y="0"/>
          <a:ext cx="0" cy="0"/>
        </a:xfrm>
        <a:prstGeom prst="rect">
          <a:avLst/>
        </a:prstGeom>
      </xdr:spPr>
    </xdr:sp>
    <xdr:clientData/>
  </xdr:twoCellAnchor>
  <xdr:twoCellAnchor>
    <xdr:from>
      <xdr:col>59</xdr:col>
      <xdr:colOff>47625</xdr:colOff>
      <xdr:row>55</xdr:row>
      <xdr:rowOff>66675</xdr:rowOff>
    </xdr:from>
    <xdr:to>
      <xdr:col>59</xdr:col>
      <xdr:colOff>161925</xdr:colOff>
      <xdr:row>55</xdr:row>
      <xdr:rowOff>171450</xdr:rowOff>
    </xdr:to>
    <xdr:sp macro="" textlink="">
      <xdr:nvSpPr>
        <xdr:cNvPr id="2078" name="CheckBox22" hidden="1">
          <a:extLst>
            <a:ext uri="{63B3BB69-23CF-44E3-9099-C40C66FF867C}">
              <a14:compatExt xmlns:a14="http://schemas.microsoft.com/office/drawing/2010/main" spid="_x0000_s2078"/>
            </a:ext>
          </a:extLst>
        </xdr:cNvPr>
        <xdr:cNvSpPr/>
      </xdr:nvSpPr>
      <xdr:spPr>
        <a:xfrm>
          <a:off x="0" y="0"/>
          <a:ext cx="0" cy="0"/>
        </a:xfrm>
        <a:prstGeom prst="rect">
          <a:avLst/>
        </a:prstGeom>
      </xdr:spPr>
    </xdr:sp>
    <xdr:clientData/>
  </xdr:twoCellAnchor>
  <xdr:twoCellAnchor>
    <xdr:from>
      <xdr:col>60</xdr:col>
      <xdr:colOff>47625</xdr:colOff>
      <xdr:row>55</xdr:row>
      <xdr:rowOff>66675</xdr:rowOff>
    </xdr:from>
    <xdr:to>
      <xdr:col>60</xdr:col>
      <xdr:colOff>161925</xdr:colOff>
      <xdr:row>55</xdr:row>
      <xdr:rowOff>171450</xdr:rowOff>
    </xdr:to>
    <xdr:sp macro="" textlink="">
      <xdr:nvSpPr>
        <xdr:cNvPr id="2079" name="CheckBox23" hidden="1">
          <a:extLst>
            <a:ext uri="{63B3BB69-23CF-44E3-9099-C40C66FF867C}">
              <a14:compatExt xmlns:a14="http://schemas.microsoft.com/office/drawing/2010/main" spid="_x0000_s2079"/>
            </a:ext>
          </a:extLst>
        </xdr:cNvPr>
        <xdr:cNvSpPr/>
      </xdr:nvSpPr>
      <xdr:spPr>
        <a:xfrm>
          <a:off x="0" y="0"/>
          <a:ext cx="0" cy="0"/>
        </a:xfrm>
        <a:prstGeom prst="rect">
          <a:avLst/>
        </a:prstGeom>
      </xdr:spPr>
    </xdr:sp>
    <xdr:clientData/>
  </xdr:twoCellAnchor>
  <xdr:twoCellAnchor>
    <xdr:from>
      <xdr:col>61</xdr:col>
      <xdr:colOff>47625</xdr:colOff>
      <xdr:row>55</xdr:row>
      <xdr:rowOff>66675</xdr:rowOff>
    </xdr:from>
    <xdr:to>
      <xdr:col>61</xdr:col>
      <xdr:colOff>161925</xdr:colOff>
      <xdr:row>55</xdr:row>
      <xdr:rowOff>171450</xdr:rowOff>
    </xdr:to>
    <xdr:sp macro="" textlink="">
      <xdr:nvSpPr>
        <xdr:cNvPr id="2080" name="CheckBox24" hidden="1">
          <a:extLst>
            <a:ext uri="{63B3BB69-23CF-44E3-9099-C40C66FF867C}">
              <a14:compatExt xmlns:a14="http://schemas.microsoft.com/office/drawing/2010/main" spid="_x0000_s2080"/>
            </a:ext>
          </a:extLst>
        </xdr:cNvPr>
        <xdr:cNvSpPr/>
      </xdr:nvSpPr>
      <xdr:spPr>
        <a:xfrm>
          <a:off x="0" y="0"/>
          <a:ext cx="0" cy="0"/>
        </a:xfrm>
        <a:prstGeom prst="rect">
          <a:avLst/>
        </a:prstGeom>
      </xdr:spPr>
    </xdr:sp>
    <xdr:clientData/>
  </xdr:twoCellAnchor>
  <xdr:twoCellAnchor>
    <xdr:from>
      <xdr:col>62</xdr:col>
      <xdr:colOff>47625</xdr:colOff>
      <xdr:row>55</xdr:row>
      <xdr:rowOff>66675</xdr:rowOff>
    </xdr:from>
    <xdr:to>
      <xdr:col>62</xdr:col>
      <xdr:colOff>161925</xdr:colOff>
      <xdr:row>55</xdr:row>
      <xdr:rowOff>171450</xdr:rowOff>
    </xdr:to>
    <xdr:sp macro="" textlink="">
      <xdr:nvSpPr>
        <xdr:cNvPr id="2081" name="CheckBox25" hidden="1">
          <a:extLst>
            <a:ext uri="{63B3BB69-23CF-44E3-9099-C40C66FF867C}">
              <a14:compatExt xmlns:a14="http://schemas.microsoft.com/office/drawing/2010/main" spid="_x0000_s2081"/>
            </a:ext>
          </a:extLst>
        </xdr:cNvPr>
        <xdr:cNvSpPr/>
      </xdr:nvSpPr>
      <xdr:spPr>
        <a:xfrm>
          <a:off x="0" y="0"/>
          <a:ext cx="0" cy="0"/>
        </a:xfrm>
        <a:prstGeom prst="rect">
          <a:avLst/>
        </a:prstGeom>
      </xdr:spPr>
    </xdr:sp>
    <xdr:clientData/>
  </xdr:twoCellAnchor>
  <xdr:twoCellAnchor>
    <xdr:from>
      <xdr:col>63</xdr:col>
      <xdr:colOff>47625</xdr:colOff>
      <xdr:row>55</xdr:row>
      <xdr:rowOff>66675</xdr:rowOff>
    </xdr:from>
    <xdr:to>
      <xdr:col>63</xdr:col>
      <xdr:colOff>161925</xdr:colOff>
      <xdr:row>55</xdr:row>
      <xdr:rowOff>171450</xdr:rowOff>
    </xdr:to>
    <xdr:sp macro="" textlink="">
      <xdr:nvSpPr>
        <xdr:cNvPr id="2082" name="CheckBox26" hidden="1">
          <a:extLst>
            <a:ext uri="{63B3BB69-23CF-44E3-9099-C40C66FF867C}">
              <a14:compatExt xmlns:a14="http://schemas.microsoft.com/office/drawing/2010/main" spid="_x0000_s2082"/>
            </a:ext>
          </a:extLst>
        </xdr:cNvPr>
        <xdr:cNvSpPr/>
      </xdr:nvSpPr>
      <xdr:spPr>
        <a:xfrm>
          <a:off x="0" y="0"/>
          <a:ext cx="0" cy="0"/>
        </a:xfrm>
        <a:prstGeom prst="rect">
          <a:avLst/>
        </a:prstGeom>
      </xdr:spPr>
    </xdr:sp>
    <xdr:clientData/>
  </xdr:twoCellAnchor>
  <xdr:twoCellAnchor>
    <xdr:from>
      <xdr:col>64</xdr:col>
      <xdr:colOff>47625</xdr:colOff>
      <xdr:row>55</xdr:row>
      <xdr:rowOff>66675</xdr:rowOff>
    </xdr:from>
    <xdr:to>
      <xdr:col>64</xdr:col>
      <xdr:colOff>161925</xdr:colOff>
      <xdr:row>55</xdr:row>
      <xdr:rowOff>171450</xdr:rowOff>
    </xdr:to>
    <xdr:sp macro="" textlink="">
      <xdr:nvSpPr>
        <xdr:cNvPr id="2083" name="CheckBox27" hidden="1">
          <a:extLst>
            <a:ext uri="{63B3BB69-23CF-44E3-9099-C40C66FF867C}">
              <a14:compatExt xmlns:a14="http://schemas.microsoft.com/office/drawing/2010/main" spid="_x0000_s2083"/>
            </a:ext>
          </a:extLst>
        </xdr:cNvPr>
        <xdr:cNvSpPr/>
      </xdr:nvSpPr>
      <xdr:spPr>
        <a:xfrm>
          <a:off x="0" y="0"/>
          <a:ext cx="0" cy="0"/>
        </a:xfrm>
        <a:prstGeom prst="rect">
          <a:avLst/>
        </a:prstGeom>
      </xdr:spPr>
    </xdr:sp>
    <xdr:clientData/>
  </xdr:twoCellAnchor>
  <xdr:twoCellAnchor>
    <xdr:from>
      <xdr:col>65</xdr:col>
      <xdr:colOff>47625</xdr:colOff>
      <xdr:row>55</xdr:row>
      <xdr:rowOff>66675</xdr:rowOff>
    </xdr:from>
    <xdr:to>
      <xdr:col>65</xdr:col>
      <xdr:colOff>161925</xdr:colOff>
      <xdr:row>55</xdr:row>
      <xdr:rowOff>171450</xdr:rowOff>
    </xdr:to>
    <xdr:sp macro="" textlink="">
      <xdr:nvSpPr>
        <xdr:cNvPr id="2084" name="CheckBox28" hidden="1">
          <a:extLst>
            <a:ext uri="{63B3BB69-23CF-44E3-9099-C40C66FF867C}">
              <a14:compatExt xmlns:a14="http://schemas.microsoft.com/office/drawing/2010/main" spid="_x0000_s2084"/>
            </a:ext>
          </a:extLst>
        </xdr:cNvPr>
        <xdr:cNvSpPr/>
      </xdr:nvSpPr>
      <xdr:spPr>
        <a:xfrm>
          <a:off x="0" y="0"/>
          <a:ext cx="0" cy="0"/>
        </a:xfrm>
        <a:prstGeom prst="rect">
          <a:avLst/>
        </a:prstGeom>
      </xdr:spPr>
    </xdr:sp>
    <xdr:clientData/>
  </xdr:twoCellAnchor>
  <xdr:twoCellAnchor>
    <xdr:from>
      <xdr:col>66</xdr:col>
      <xdr:colOff>47625</xdr:colOff>
      <xdr:row>55</xdr:row>
      <xdr:rowOff>66675</xdr:rowOff>
    </xdr:from>
    <xdr:to>
      <xdr:col>66</xdr:col>
      <xdr:colOff>161925</xdr:colOff>
      <xdr:row>55</xdr:row>
      <xdr:rowOff>171450</xdr:rowOff>
    </xdr:to>
    <xdr:sp macro="" textlink="">
      <xdr:nvSpPr>
        <xdr:cNvPr id="2085" name="CheckBox29" hidden="1">
          <a:extLst>
            <a:ext uri="{63B3BB69-23CF-44E3-9099-C40C66FF867C}">
              <a14:compatExt xmlns:a14="http://schemas.microsoft.com/office/drawing/2010/main" spid="_x0000_s2085"/>
            </a:ext>
          </a:extLst>
        </xdr:cNvPr>
        <xdr:cNvSpPr/>
      </xdr:nvSpPr>
      <xdr:spPr>
        <a:xfrm>
          <a:off x="0" y="0"/>
          <a:ext cx="0" cy="0"/>
        </a:xfrm>
        <a:prstGeom prst="rect">
          <a:avLst/>
        </a:prstGeom>
      </xdr:spPr>
    </xdr:sp>
    <xdr:clientData/>
  </xdr:twoCellAnchor>
  <xdr:twoCellAnchor>
    <xdr:from>
      <xdr:col>67</xdr:col>
      <xdr:colOff>47625</xdr:colOff>
      <xdr:row>55</xdr:row>
      <xdr:rowOff>66675</xdr:rowOff>
    </xdr:from>
    <xdr:to>
      <xdr:col>67</xdr:col>
      <xdr:colOff>161925</xdr:colOff>
      <xdr:row>55</xdr:row>
      <xdr:rowOff>171450</xdr:rowOff>
    </xdr:to>
    <xdr:sp macro="" textlink="">
      <xdr:nvSpPr>
        <xdr:cNvPr id="2086" name="CheckBox30" hidden="1">
          <a:extLst>
            <a:ext uri="{63B3BB69-23CF-44E3-9099-C40C66FF867C}">
              <a14:compatExt xmlns:a14="http://schemas.microsoft.com/office/drawing/2010/main" spid="_x0000_s2086"/>
            </a:ext>
          </a:extLst>
        </xdr:cNvPr>
        <xdr:cNvSpPr/>
      </xdr:nvSpPr>
      <xdr:spPr>
        <a:xfrm>
          <a:off x="0" y="0"/>
          <a:ext cx="0" cy="0"/>
        </a:xfrm>
        <a:prstGeom prst="rect">
          <a:avLst/>
        </a:prstGeom>
      </xdr:spPr>
    </xdr:sp>
    <xdr:clientData/>
  </xdr:twoCellAnchor>
  <xdr:twoCellAnchor>
    <xdr:from>
      <xdr:col>68</xdr:col>
      <xdr:colOff>47625</xdr:colOff>
      <xdr:row>55</xdr:row>
      <xdr:rowOff>66675</xdr:rowOff>
    </xdr:from>
    <xdr:to>
      <xdr:col>68</xdr:col>
      <xdr:colOff>161925</xdr:colOff>
      <xdr:row>55</xdr:row>
      <xdr:rowOff>171450</xdr:rowOff>
    </xdr:to>
    <xdr:sp macro="" textlink="">
      <xdr:nvSpPr>
        <xdr:cNvPr id="2087" name="CheckBox31" hidden="1">
          <a:extLst>
            <a:ext uri="{63B3BB69-23CF-44E3-9099-C40C66FF867C}">
              <a14:compatExt xmlns:a14="http://schemas.microsoft.com/office/drawing/2010/main" spid="_x0000_s2087"/>
            </a:ext>
          </a:extLst>
        </xdr:cNvPr>
        <xdr:cNvSpPr/>
      </xdr:nvSpPr>
      <xdr:spPr>
        <a:xfrm>
          <a:off x="0" y="0"/>
          <a:ext cx="0" cy="0"/>
        </a:xfrm>
        <a:prstGeom prst="rect">
          <a:avLst/>
        </a:prstGeom>
      </xdr:spPr>
    </xdr:sp>
    <xdr:clientData/>
  </xdr:twoCellAnchor>
  <xdr:twoCellAnchor>
    <xdr:from>
      <xdr:col>69</xdr:col>
      <xdr:colOff>47625</xdr:colOff>
      <xdr:row>55</xdr:row>
      <xdr:rowOff>66675</xdr:rowOff>
    </xdr:from>
    <xdr:to>
      <xdr:col>69</xdr:col>
      <xdr:colOff>161925</xdr:colOff>
      <xdr:row>55</xdr:row>
      <xdr:rowOff>171450</xdr:rowOff>
    </xdr:to>
    <xdr:sp macro="" textlink="">
      <xdr:nvSpPr>
        <xdr:cNvPr id="2088" name="CheckBox32" hidden="1">
          <a:extLst>
            <a:ext uri="{63B3BB69-23CF-44E3-9099-C40C66FF867C}">
              <a14:compatExt xmlns:a14="http://schemas.microsoft.com/office/drawing/2010/main" spid="_x0000_s2088"/>
            </a:ext>
          </a:extLst>
        </xdr:cNvPr>
        <xdr:cNvSpPr/>
      </xdr:nvSpPr>
      <xdr:spPr>
        <a:xfrm>
          <a:off x="0" y="0"/>
          <a:ext cx="0" cy="0"/>
        </a:xfrm>
        <a:prstGeom prst="rect">
          <a:avLst/>
        </a:prstGeom>
      </xdr:spPr>
    </xdr:sp>
    <xdr:clientData/>
  </xdr:twoCellAnchor>
  <mc:AlternateContent xmlns:mc="http://schemas.openxmlformats.org/markup-compatibility/2006">
    <mc:Choice xmlns:a14="http://schemas.microsoft.com/office/drawing/2010/main" Requires="a14">
      <xdr:twoCellAnchor>
        <xdr:from>
          <xdr:col>11</xdr:col>
          <xdr:colOff>219075</xdr:colOff>
          <xdr:row>56</xdr:row>
          <xdr:rowOff>0</xdr:rowOff>
        </xdr:from>
        <xdr:to>
          <xdr:col>25</xdr:col>
          <xdr:colOff>152400</xdr:colOff>
          <xdr:row>57</xdr:row>
          <xdr:rowOff>142875</xdr:rowOff>
        </xdr:to>
        <xdr:sp macro="" textlink="">
          <xdr:nvSpPr>
            <xdr:cNvPr id="2" name="CommandButton1"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114300</xdr:colOff>
          <xdr:row>59</xdr:row>
          <xdr:rowOff>19050</xdr:rowOff>
        </xdr:from>
        <xdr:to>
          <xdr:col>25</xdr:col>
          <xdr:colOff>142875</xdr:colOff>
          <xdr:row>60</xdr:row>
          <xdr:rowOff>180975</xdr:rowOff>
        </xdr:to>
        <xdr:sp macro="" textlink="">
          <xdr:nvSpPr>
            <xdr:cNvPr id="3" name="CommandButton2" hidden="1">
              <a:extLst>
                <a:ext uri="{63B3BB69-23CF-44E3-9099-C40C66FF867C}">
                  <a14:compatExt spid="_x0000_s205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38</xdr:col>
          <xdr:colOff>47625</xdr:colOff>
          <xdr:row>55</xdr:row>
          <xdr:rowOff>66675</xdr:rowOff>
        </xdr:from>
        <xdr:to>
          <xdr:col>38</xdr:col>
          <xdr:colOff>161925</xdr:colOff>
          <xdr:row>55</xdr:row>
          <xdr:rowOff>171450</xdr:rowOff>
        </xdr:to>
        <xdr:sp macro="" textlink="">
          <xdr:nvSpPr>
            <xdr:cNvPr id="4" name="CheckBox1" hidden="1">
              <a:extLst>
                <a:ext uri="{63B3BB69-23CF-44E3-9099-C40C66FF867C}">
                  <a14:compatExt spid="_x0000_s205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39</xdr:col>
          <xdr:colOff>47625</xdr:colOff>
          <xdr:row>55</xdr:row>
          <xdr:rowOff>66675</xdr:rowOff>
        </xdr:from>
        <xdr:to>
          <xdr:col>39</xdr:col>
          <xdr:colOff>161925</xdr:colOff>
          <xdr:row>55</xdr:row>
          <xdr:rowOff>171450</xdr:rowOff>
        </xdr:to>
        <xdr:sp macro="" textlink="">
          <xdr:nvSpPr>
            <xdr:cNvPr id="5" name="CheckBox2" hidden="1">
              <a:extLst>
                <a:ext uri="{63B3BB69-23CF-44E3-9099-C40C66FF867C}">
                  <a14:compatExt spid="_x0000_s205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40</xdr:col>
          <xdr:colOff>47625</xdr:colOff>
          <xdr:row>55</xdr:row>
          <xdr:rowOff>66675</xdr:rowOff>
        </xdr:from>
        <xdr:to>
          <xdr:col>40</xdr:col>
          <xdr:colOff>161925</xdr:colOff>
          <xdr:row>55</xdr:row>
          <xdr:rowOff>171450</xdr:rowOff>
        </xdr:to>
        <xdr:sp macro="" textlink="">
          <xdr:nvSpPr>
            <xdr:cNvPr id="6" name="CheckBox3" hidden="1">
              <a:extLst>
                <a:ext uri="{63B3BB69-23CF-44E3-9099-C40C66FF867C}">
                  <a14:compatExt spid="_x0000_s205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41</xdr:col>
          <xdr:colOff>66675</xdr:colOff>
          <xdr:row>55</xdr:row>
          <xdr:rowOff>66675</xdr:rowOff>
        </xdr:from>
        <xdr:to>
          <xdr:col>41</xdr:col>
          <xdr:colOff>180975</xdr:colOff>
          <xdr:row>55</xdr:row>
          <xdr:rowOff>171450</xdr:rowOff>
        </xdr:to>
        <xdr:sp macro="" textlink="">
          <xdr:nvSpPr>
            <xdr:cNvPr id="7" name="CheckBox4" hidden="1">
              <a:extLst>
                <a:ext uri="{63B3BB69-23CF-44E3-9099-C40C66FF867C}">
                  <a14:compatExt spid="_x0000_s206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42</xdr:col>
          <xdr:colOff>47625</xdr:colOff>
          <xdr:row>55</xdr:row>
          <xdr:rowOff>66675</xdr:rowOff>
        </xdr:from>
        <xdr:to>
          <xdr:col>42</xdr:col>
          <xdr:colOff>161925</xdr:colOff>
          <xdr:row>55</xdr:row>
          <xdr:rowOff>171450</xdr:rowOff>
        </xdr:to>
        <xdr:sp macro="" textlink="">
          <xdr:nvSpPr>
            <xdr:cNvPr id="8" name="CheckBox5" hidden="1">
              <a:extLst>
                <a:ext uri="{63B3BB69-23CF-44E3-9099-C40C66FF867C}">
                  <a14:compatExt spid="_x0000_s20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43</xdr:col>
          <xdr:colOff>47625</xdr:colOff>
          <xdr:row>55</xdr:row>
          <xdr:rowOff>66675</xdr:rowOff>
        </xdr:from>
        <xdr:to>
          <xdr:col>43</xdr:col>
          <xdr:colOff>161925</xdr:colOff>
          <xdr:row>55</xdr:row>
          <xdr:rowOff>171450</xdr:rowOff>
        </xdr:to>
        <xdr:sp macro="" textlink="">
          <xdr:nvSpPr>
            <xdr:cNvPr id="9" name="CheckBox6" hidden="1">
              <a:extLst>
                <a:ext uri="{63B3BB69-23CF-44E3-9099-C40C66FF867C}">
                  <a14:compatExt spid="_x0000_s20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44</xdr:col>
          <xdr:colOff>47625</xdr:colOff>
          <xdr:row>55</xdr:row>
          <xdr:rowOff>66675</xdr:rowOff>
        </xdr:from>
        <xdr:to>
          <xdr:col>44</xdr:col>
          <xdr:colOff>161925</xdr:colOff>
          <xdr:row>55</xdr:row>
          <xdr:rowOff>171450</xdr:rowOff>
        </xdr:to>
        <xdr:sp macro="" textlink="">
          <xdr:nvSpPr>
            <xdr:cNvPr id="10" name="CheckBox7" hidden="1">
              <a:extLst>
                <a:ext uri="{63B3BB69-23CF-44E3-9099-C40C66FF867C}">
                  <a14:compatExt spid="_x0000_s206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45</xdr:col>
          <xdr:colOff>47625</xdr:colOff>
          <xdr:row>55</xdr:row>
          <xdr:rowOff>66675</xdr:rowOff>
        </xdr:from>
        <xdr:to>
          <xdr:col>45</xdr:col>
          <xdr:colOff>161925</xdr:colOff>
          <xdr:row>55</xdr:row>
          <xdr:rowOff>171450</xdr:rowOff>
        </xdr:to>
        <xdr:sp macro="" textlink="">
          <xdr:nvSpPr>
            <xdr:cNvPr id="11" name="CheckBox8" hidden="1">
              <a:extLst>
                <a:ext uri="{63B3BB69-23CF-44E3-9099-C40C66FF867C}">
                  <a14:compatExt spid="_x0000_s20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46</xdr:col>
          <xdr:colOff>47625</xdr:colOff>
          <xdr:row>55</xdr:row>
          <xdr:rowOff>66675</xdr:rowOff>
        </xdr:from>
        <xdr:to>
          <xdr:col>46</xdr:col>
          <xdr:colOff>161925</xdr:colOff>
          <xdr:row>55</xdr:row>
          <xdr:rowOff>171450</xdr:rowOff>
        </xdr:to>
        <xdr:sp macro="" textlink="">
          <xdr:nvSpPr>
            <xdr:cNvPr id="12" name="CheckBox9" hidden="1">
              <a:extLst>
                <a:ext uri="{63B3BB69-23CF-44E3-9099-C40C66FF867C}">
                  <a14:compatExt spid="_x0000_s20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47</xdr:col>
          <xdr:colOff>47625</xdr:colOff>
          <xdr:row>55</xdr:row>
          <xdr:rowOff>66675</xdr:rowOff>
        </xdr:from>
        <xdr:to>
          <xdr:col>47</xdr:col>
          <xdr:colOff>161925</xdr:colOff>
          <xdr:row>55</xdr:row>
          <xdr:rowOff>171450</xdr:rowOff>
        </xdr:to>
        <xdr:sp macro="" textlink="">
          <xdr:nvSpPr>
            <xdr:cNvPr id="13" name="CheckBox10" hidden="1">
              <a:extLst>
                <a:ext uri="{63B3BB69-23CF-44E3-9099-C40C66FF867C}">
                  <a14:compatExt spid="_x0000_s206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48</xdr:col>
          <xdr:colOff>47625</xdr:colOff>
          <xdr:row>55</xdr:row>
          <xdr:rowOff>66675</xdr:rowOff>
        </xdr:from>
        <xdr:to>
          <xdr:col>48</xdr:col>
          <xdr:colOff>161925</xdr:colOff>
          <xdr:row>55</xdr:row>
          <xdr:rowOff>171450</xdr:rowOff>
        </xdr:to>
        <xdr:sp macro="" textlink="">
          <xdr:nvSpPr>
            <xdr:cNvPr id="14" name="CheckBox11" hidden="1">
              <a:extLst>
                <a:ext uri="{63B3BB69-23CF-44E3-9099-C40C66FF867C}">
                  <a14:compatExt spid="_x0000_s206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49</xdr:col>
          <xdr:colOff>47625</xdr:colOff>
          <xdr:row>55</xdr:row>
          <xdr:rowOff>66675</xdr:rowOff>
        </xdr:from>
        <xdr:to>
          <xdr:col>49</xdr:col>
          <xdr:colOff>161925</xdr:colOff>
          <xdr:row>55</xdr:row>
          <xdr:rowOff>171450</xdr:rowOff>
        </xdr:to>
        <xdr:sp macro="" textlink="">
          <xdr:nvSpPr>
            <xdr:cNvPr id="15" name="CheckBox12" hidden="1">
              <a:extLst>
                <a:ext uri="{63B3BB69-23CF-44E3-9099-C40C66FF867C}">
                  <a14:compatExt spid="_x0000_s206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50</xdr:col>
          <xdr:colOff>47625</xdr:colOff>
          <xdr:row>55</xdr:row>
          <xdr:rowOff>66675</xdr:rowOff>
        </xdr:from>
        <xdr:to>
          <xdr:col>50</xdr:col>
          <xdr:colOff>161925</xdr:colOff>
          <xdr:row>55</xdr:row>
          <xdr:rowOff>171450</xdr:rowOff>
        </xdr:to>
        <xdr:sp macro="" textlink="">
          <xdr:nvSpPr>
            <xdr:cNvPr id="16" name="CheckBox13" hidden="1">
              <a:extLst>
                <a:ext uri="{63B3BB69-23CF-44E3-9099-C40C66FF867C}">
                  <a14:compatExt spid="_x0000_s206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47625</xdr:colOff>
          <xdr:row>55</xdr:row>
          <xdr:rowOff>66675</xdr:rowOff>
        </xdr:from>
        <xdr:to>
          <xdr:col>51</xdr:col>
          <xdr:colOff>161925</xdr:colOff>
          <xdr:row>55</xdr:row>
          <xdr:rowOff>171450</xdr:rowOff>
        </xdr:to>
        <xdr:sp macro="" textlink="">
          <xdr:nvSpPr>
            <xdr:cNvPr id="17" name="CheckBox14" hidden="1">
              <a:extLst>
                <a:ext uri="{63B3BB69-23CF-44E3-9099-C40C66FF867C}">
                  <a14:compatExt spid="_x0000_s207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52</xdr:col>
          <xdr:colOff>47625</xdr:colOff>
          <xdr:row>55</xdr:row>
          <xdr:rowOff>66675</xdr:rowOff>
        </xdr:from>
        <xdr:to>
          <xdr:col>52</xdr:col>
          <xdr:colOff>161925</xdr:colOff>
          <xdr:row>55</xdr:row>
          <xdr:rowOff>171450</xdr:rowOff>
        </xdr:to>
        <xdr:sp macro="" textlink="">
          <xdr:nvSpPr>
            <xdr:cNvPr id="18" name="CheckBox15" hidden="1">
              <a:extLst>
                <a:ext uri="{63B3BB69-23CF-44E3-9099-C40C66FF867C}">
                  <a14:compatExt spid="_x0000_s207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53</xdr:col>
          <xdr:colOff>47625</xdr:colOff>
          <xdr:row>55</xdr:row>
          <xdr:rowOff>66675</xdr:rowOff>
        </xdr:from>
        <xdr:to>
          <xdr:col>53</xdr:col>
          <xdr:colOff>161925</xdr:colOff>
          <xdr:row>55</xdr:row>
          <xdr:rowOff>171450</xdr:rowOff>
        </xdr:to>
        <xdr:sp macro="" textlink="">
          <xdr:nvSpPr>
            <xdr:cNvPr id="19" name="CheckBox16" hidden="1">
              <a:extLst>
                <a:ext uri="{63B3BB69-23CF-44E3-9099-C40C66FF867C}">
                  <a14:compatExt spid="_x0000_s207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54</xdr:col>
          <xdr:colOff>47625</xdr:colOff>
          <xdr:row>55</xdr:row>
          <xdr:rowOff>66675</xdr:rowOff>
        </xdr:from>
        <xdr:to>
          <xdr:col>54</xdr:col>
          <xdr:colOff>161925</xdr:colOff>
          <xdr:row>55</xdr:row>
          <xdr:rowOff>171450</xdr:rowOff>
        </xdr:to>
        <xdr:sp macro="" textlink="">
          <xdr:nvSpPr>
            <xdr:cNvPr id="20" name="CheckBox17" hidden="1">
              <a:extLst>
                <a:ext uri="{63B3BB69-23CF-44E3-9099-C40C66FF867C}">
                  <a14:compatExt spid="_x0000_s20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55</xdr:col>
          <xdr:colOff>47625</xdr:colOff>
          <xdr:row>55</xdr:row>
          <xdr:rowOff>66675</xdr:rowOff>
        </xdr:from>
        <xdr:to>
          <xdr:col>55</xdr:col>
          <xdr:colOff>161925</xdr:colOff>
          <xdr:row>55</xdr:row>
          <xdr:rowOff>171450</xdr:rowOff>
        </xdr:to>
        <xdr:sp macro="" textlink="">
          <xdr:nvSpPr>
            <xdr:cNvPr id="21" name="CheckBox18" hidden="1">
              <a:extLst>
                <a:ext uri="{63B3BB69-23CF-44E3-9099-C40C66FF867C}">
                  <a14:compatExt spid="_x0000_s207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56</xdr:col>
          <xdr:colOff>47625</xdr:colOff>
          <xdr:row>55</xdr:row>
          <xdr:rowOff>66675</xdr:rowOff>
        </xdr:from>
        <xdr:to>
          <xdr:col>56</xdr:col>
          <xdr:colOff>161925</xdr:colOff>
          <xdr:row>55</xdr:row>
          <xdr:rowOff>171450</xdr:rowOff>
        </xdr:to>
        <xdr:sp macro="" textlink="">
          <xdr:nvSpPr>
            <xdr:cNvPr id="22" name="CheckBox19" hidden="1">
              <a:extLst>
                <a:ext uri="{63B3BB69-23CF-44E3-9099-C40C66FF867C}">
                  <a14:compatExt spid="_x0000_s207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57</xdr:col>
          <xdr:colOff>47625</xdr:colOff>
          <xdr:row>55</xdr:row>
          <xdr:rowOff>66675</xdr:rowOff>
        </xdr:from>
        <xdr:to>
          <xdr:col>57</xdr:col>
          <xdr:colOff>161925</xdr:colOff>
          <xdr:row>55</xdr:row>
          <xdr:rowOff>171450</xdr:rowOff>
        </xdr:to>
        <xdr:sp macro="" textlink="">
          <xdr:nvSpPr>
            <xdr:cNvPr id="23" name="CheckBox20" hidden="1">
              <a:extLst>
                <a:ext uri="{63B3BB69-23CF-44E3-9099-C40C66FF867C}">
                  <a14:compatExt spid="_x0000_s207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58</xdr:col>
          <xdr:colOff>47625</xdr:colOff>
          <xdr:row>55</xdr:row>
          <xdr:rowOff>66675</xdr:rowOff>
        </xdr:from>
        <xdr:to>
          <xdr:col>58</xdr:col>
          <xdr:colOff>161925</xdr:colOff>
          <xdr:row>55</xdr:row>
          <xdr:rowOff>171450</xdr:rowOff>
        </xdr:to>
        <xdr:sp macro="" textlink="">
          <xdr:nvSpPr>
            <xdr:cNvPr id="24" name="CheckBox21" hidden="1">
              <a:extLst>
                <a:ext uri="{63B3BB69-23CF-44E3-9099-C40C66FF867C}">
                  <a14:compatExt spid="_x0000_s207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59</xdr:col>
          <xdr:colOff>47625</xdr:colOff>
          <xdr:row>55</xdr:row>
          <xdr:rowOff>66675</xdr:rowOff>
        </xdr:from>
        <xdr:to>
          <xdr:col>59</xdr:col>
          <xdr:colOff>161925</xdr:colOff>
          <xdr:row>55</xdr:row>
          <xdr:rowOff>171450</xdr:rowOff>
        </xdr:to>
        <xdr:sp macro="" textlink="">
          <xdr:nvSpPr>
            <xdr:cNvPr id="25" name="CheckBox22" hidden="1">
              <a:extLst>
                <a:ext uri="{63B3BB69-23CF-44E3-9099-C40C66FF867C}">
                  <a14:compatExt spid="_x0000_s207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60</xdr:col>
          <xdr:colOff>47625</xdr:colOff>
          <xdr:row>55</xdr:row>
          <xdr:rowOff>66675</xdr:rowOff>
        </xdr:from>
        <xdr:to>
          <xdr:col>60</xdr:col>
          <xdr:colOff>161925</xdr:colOff>
          <xdr:row>55</xdr:row>
          <xdr:rowOff>171450</xdr:rowOff>
        </xdr:to>
        <xdr:sp macro="" textlink="">
          <xdr:nvSpPr>
            <xdr:cNvPr id="26" name="CheckBox23" hidden="1">
              <a:extLst>
                <a:ext uri="{63B3BB69-23CF-44E3-9099-C40C66FF867C}">
                  <a14:compatExt spid="_x0000_s207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61</xdr:col>
          <xdr:colOff>47625</xdr:colOff>
          <xdr:row>55</xdr:row>
          <xdr:rowOff>66675</xdr:rowOff>
        </xdr:from>
        <xdr:to>
          <xdr:col>61</xdr:col>
          <xdr:colOff>161925</xdr:colOff>
          <xdr:row>55</xdr:row>
          <xdr:rowOff>171450</xdr:rowOff>
        </xdr:to>
        <xdr:sp macro="" textlink="">
          <xdr:nvSpPr>
            <xdr:cNvPr id="27" name="CheckBox24" hidden="1">
              <a:extLst>
                <a:ext uri="{63B3BB69-23CF-44E3-9099-C40C66FF867C}">
                  <a14:compatExt spid="_x0000_s208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62</xdr:col>
          <xdr:colOff>47625</xdr:colOff>
          <xdr:row>55</xdr:row>
          <xdr:rowOff>66675</xdr:rowOff>
        </xdr:from>
        <xdr:to>
          <xdr:col>62</xdr:col>
          <xdr:colOff>161925</xdr:colOff>
          <xdr:row>55</xdr:row>
          <xdr:rowOff>171450</xdr:rowOff>
        </xdr:to>
        <xdr:sp macro="" textlink="">
          <xdr:nvSpPr>
            <xdr:cNvPr id="28" name="CheckBox25" hidden="1">
              <a:extLst>
                <a:ext uri="{63B3BB69-23CF-44E3-9099-C40C66FF867C}">
                  <a14:compatExt spid="_x0000_s208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63</xdr:col>
          <xdr:colOff>47625</xdr:colOff>
          <xdr:row>55</xdr:row>
          <xdr:rowOff>66675</xdr:rowOff>
        </xdr:from>
        <xdr:to>
          <xdr:col>63</xdr:col>
          <xdr:colOff>161925</xdr:colOff>
          <xdr:row>55</xdr:row>
          <xdr:rowOff>171450</xdr:rowOff>
        </xdr:to>
        <xdr:sp macro="" textlink="">
          <xdr:nvSpPr>
            <xdr:cNvPr id="29" name="CheckBox26" hidden="1">
              <a:extLst>
                <a:ext uri="{63B3BB69-23CF-44E3-9099-C40C66FF867C}">
                  <a14:compatExt spid="_x0000_s208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64</xdr:col>
          <xdr:colOff>47625</xdr:colOff>
          <xdr:row>55</xdr:row>
          <xdr:rowOff>66675</xdr:rowOff>
        </xdr:from>
        <xdr:to>
          <xdr:col>64</xdr:col>
          <xdr:colOff>161925</xdr:colOff>
          <xdr:row>55</xdr:row>
          <xdr:rowOff>171450</xdr:rowOff>
        </xdr:to>
        <xdr:sp macro="" textlink="">
          <xdr:nvSpPr>
            <xdr:cNvPr id="30" name="CheckBox27" hidden="1">
              <a:extLst>
                <a:ext uri="{63B3BB69-23CF-44E3-9099-C40C66FF867C}">
                  <a14:compatExt spid="_x0000_s208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65</xdr:col>
          <xdr:colOff>47625</xdr:colOff>
          <xdr:row>55</xdr:row>
          <xdr:rowOff>66675</xdr:rowOff>
        </xdr:from>
        <xdr:to>
          <xdr:col>65</xdr:col>
          <xdr:colOff>161925</xdr:colOff>
          <xdr:row>55</xdr:row>
          <xdr:rowOff>171450</xdr:rowOff>
        </xdr:to>
        <xdr:sp macro="" textlink="">
          <xdr:nvSpPr>
            <xdr:cNvPr id="31" name="CheckBox28" hidden="1">
              <a:extLst>
                <a:ext uri="{63B3BB69-23CF-44E3-9099-C40C66FF867C}">
                  <a14:compatExt spid="_x0000_s208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66</xdr:col>
          <xdr:colOff>47625</xdr:colOff>
          <xdr:row>55</xdr:row>
          <xdr:rowOff>66675</xdr:rowOff>
        </xdr:from>
        <xdr:to>
          <xdr:col>66</xdr:col>
          <xdr:colOff>161925</xdr:colOff>
          <xdr:row>55</xdr:row>
          <xdr:rowOff>171450</xdr:rowOff>
        </xdr:to>
        <xdr:sp macro="" textlink="">
          <xdr:nvSpPr>
            <xdr:cNvPr id="2048" name="CheckBox29" hidden="1">
              <a:extLst>
                <a:ext uri="{63B3BB69-23CF-44E3-9099-C40C66FF867C}">
                  <a14:compatExt spid="_x0000_s208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67</xdr:col>
          <xdr:colOff>47625</xdr:colOff>
          <xdr:row>55</xdr:row>
          <xdr:rowOff>66675</xdr:rowOff>
        </xdr:from>
        <xdr:to>
          <xdr:col>67</xdr:col>
          <xdr:colOff>161925</xdr:colOff>
          <xdr:row>55</xdr:row>
          <xdr:rowOff>171450</xdr:rowOff>
        </xdr:to>
        <xdr:sp macro="" textlink="">
          <xdr:nvSpPr>
            <xdr:cNvPr id="2049" name="CheckBox30" hidden="1">
              <a:extLst>
                <a:ext uri="{63B3BB69-23CF-44E3-9099-C40C66FF867C}">
                  <a14:compatExt spid="_x0000_s208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68</xdr:col>
          <xdr:colOff>47625</xdr:colOff>
          <xdr:row>55</xdr:row>
          <xdr:rowOff>66675</xdr:rowOff>
        </xdr:from>
        <xdr:to>
          <xdr:col>68</xdr:col>
          <xdr:colOff>161925</xdr:colOff>
          <xdr:row>55</xdr:row>
          <xdr:rowOff>171450</xdr:rowOff>
        </xdr:to>
        <xdr:sp macro="" textlink="">
          <xdr:nvSpPr>
            <xdr:cNvPr id="2050" name="CheckBox31" hidden="1">
              <a:extLst>
                <a:ext uri="{63B3BB69-23CF-44E3-9099-C40C66FF867C}">
                  <a14:compatExt spid="_x0000_s208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69</xdr:col>
          <xdr:colOff>47625</xdr:colOff>
          <xdr:row>55</xdr:row>
          <xdr:rowOff>66675</xdr:rowOff>
        </xdr:from>
        <xdr:to>
          <xdr:col>69</xdr:col>
          <xdr:colOff>161925</xdr:colOff>
          <xdr:row>55</xdr:row>
          <xdr:rowOff>171450</xdr:rowOff>
        </xdr:to>
        <xdr:sp macro="" textlink="">
          <xdr:nvSpPr>
            <xdr:cNvPr id="2051" name="CheckBox32" hidden="1">
              <a:extLst>
                <a:ext uri="{63B3BB69-23CF-44E3-9099-C40C66FF867C}">
                  <a14:compatExt spid="_x0000_s208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control" Target="../activeX/activeX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3" Type="http://schemas.openxmlformats.org/officeDocument/2006/relationships/image" Target="../media/image6.emf"/><Relationship Id="rId18" Type="http://schemas.openxmlformats.org/officeDocument/2006/relationships/control" Target="../activeX/activeX9.xml"/><Relationship Id="rId26" Type="http://schemas.openxmlformats.org/officeDocument/2006/relationships/control" Target="../activeX/activeX13.xml"/><Relationship Id="rId39" Type="http://schemas.openxmlformats.org/officeDocument/2006/relationships/image" Target="../media/image19.emf"/><Relationship Id="rId21" Type="http://schemas.openxmlformats.org/officeDocument/2006/relationships/image" Target="../media/image10.emf"/><Relationship Id="rId34" Type="http://schemas.openxmlformats.org/officeDocument/2006/relationships/control" Target="../activeX/activeX17.xml"/><Relationship Id="rId42" Type="http://schemas.openxmlformats.org/officeDocument/2006/relationships/control" Target="../activeX/activeX21.xml"/><Relationship Id="rId47" Type="http://schemas.openxmlformats.org/officeDocument/2006/relationships/image" Target="../media/image23.emf"/><Relationship Id="rId50" Type="http://schemas.openxmlformats.org/officeDocument/2006/relationships/control" Target="../activeX/activeX25.xml"/><Relationship Id="rId55" Type="http://schemas.openxmlformats.org/officeDocument/2006/relationships/image" Target="../media/image27.emf"/><Relationship Id="rId63" Type="http://schemas.openxmlformats.org/officeDocument/2006/relationships/image" Target="../media/image31.emf"/><Relationship Id="rId68" Type="http://schemas.openxmlformats.org/officeDocument/2006/relationships/control" Target="../activeX/activeX34.xml"/><Relationship Id="rId7" Type="http://schemas.openxmlformats.org/officeDocument/2006/relationships/image" Target="../media/image3.emf"/><Relationship Id="rId71" Type="http://schemas.openxmlformats.org/officeDocument/2006/relationships/image" Target="../media/image35.emf"/><Relationship Id="rId2" Type="http://schemas.openxmlformats.org/officeDocument/2006/relationships/drawing" Target="../drawings/drawing2.xml"/><Relationship Id="rId16" Type="http://schemas.openxmlformats.org/officeDocument/2006/relationships/control" Target="../activeX/activeX8.xml"/><Relationship Id="rId29" Type="http://schemas.openxmlformats.org/officeDocument/2006/relationships/image" Target="../media/image14.emf"/><Relationship Id="rId1" Type="http://schemas.openxmlformats.org/officeDocument/2006/relationships/printerSettings" Target="../printerSettings/printerSettings2.bin"/><Relationship Id="rId6" Type="http://schemas.openxmlformats.org/officeDocument/2006/relationships/control" Target="../activeX/activeX3.xml"/><Relationship Id="rId11" Type="http://schemas.openxmlformats.org/officeDocument/2006/relationships/image" Target="../media/image5.emf"/><Relationship Id="rId24" Type="http://schemas.openxmlformats.org/officeDocument/2006/relationships/control" Target="../activeX/activeX12.xml"/><Relationship Id="rId32" Type="http://schemas.openxmlformats.org/officeDocument/2006/relationships/control" Target="../activeX/activeX16.xml"/><Relationship Id="rId37" Type="http://schemas.openxmlformats.org/officeDocument/2006/relationships/image" Target="../media/image18.emf"/><Relationship Id="rId40" Type="http://schemas.openxmlformats.org/officeDocument/2006/relationships/control" Target="../activeX/activeX20.xml"/><Relationship Id="rId45" Type="http://schemas.openxmlformats.org/officeDocument/2006/relationships/image" Target="../media/image22.emf"/><Relationship Id="rId53" Type="http://schemas.openxmlformats.org/officeDocument/2006/relationships/image" Target="../media/image26.emf"/><Relationship Id="rId58" Type="http://schemas.openxmlformats.org/officeDocument/2006/relationships/control" Target="../activeX/activeX29.xml"/><Relationship Id="rId66" Type="http://schemas.openxmlformats.org/officeDocument/2006/relationships/control" Target="../activeX/activeX33.xml"/><Relationship Id="rId5" Type="http://schemas.openxmlformats.org/officeDocument/2006/relationships/image" Target="../media/image2.emf"/><Relationship Id="rId15" Type="http://schemas.openxmlformats.org/officeDocument/2006/relationships/image" Target="../media/image7.emf"/><Relationship Id="rId23" Type="http://schemas.openxmlformats.org/officeDocument/2006/relationships/image" Target="../media/image11.emf"/><Relationship Id="rId28" Type="http://schemas.openxmlformats.org/officeDocument/2006/relationships/control" Target="../activeX/activeX14.xml"/><Relationship Id="rId36" Type="http://schemas.openxmlformats.org/officeDocument/2006/relationships/control" Target="../activeX/activeX18.xml"/><Relationship Id="rId49" Type="http://schemas.openxmlformats.org/officeDocument/2006/relationships/image" Target="../media/image24.emf"/><Relationship Id="rId57" Type="http://schemas.openxmlformats.org/officeDocument/2006/relationships/image" Target="../media/image28.emf"/><Relationship Id="rId61" Type="http://schemas.openxmlformats.org/officeDocument/2006/relationships/image" Target="../media/image30.emf"/><Relationship Id="rId10" Type="http://schemas.openxmlformats.org/officeDocument/2006/relationships/control" Target="../activeX/activeX5.xml"/><Relationship Id="rId19" Type="http://schemas.openxmlformats.org/officeDocument/2006/relationships/image" Target="../media/image9.emf"/><Relationship Id="rId31" Type="http://schemas.openxmlformats.org/officeDocument/2006/relationships/image" Target="../media/image15.emf"/><Relationship Id="rId44" Type="http://schemas.openxmlformats.org/officeDocument/2006/relationships/control" Target="../activeX/activeX22.xml"/><Relationship Id="rId52" Type="http://schemas.openxmlformats.org/officeDocument/2006/relationships/control" Target="../activeX/activeX26.xml"/><Relationship Id="rId60" Type="http://schemas.openxmlformats.org/officeDocument/2006/relationships/control" Target="../activeX/activeX30.xml"/><Relationship Id="rId65" Type="http://schemas.openxmlformats.org/officeDocument/2006/relationships/image" Target="../media/image32.emf"/><Relationship Id="rId4" Type="http://schemas.openxmlformats.org/officeDocument/2006/relationships/control" Target="../activeX/activeX2.xml"/><Relationship Id="rId9" Type="http://schemas.openxmlformats.org/officeDocument/2006/relationships/image" Target="../media/image4.emf"/><Relationship Id="rId14" Type="http://schemas.openxmlformats.org/officeDocument/2006/relationships/control" Target="../activeX/activeX7.xml"/><Relationship Id="rId22" Type="http://schemas.openxmlformats.org/officeDocument/2006/relationships/control" Target="../activeX/activeX11.xml"/><Relationship Id="rId27" Type="http://schemas.openxmlformats.org/officeDocument/2006/relationships/image" Target="../media/image13.emf"/><Relationship Id="rId30" Type="http://schemas.openxmlformats.org/officeDocument/2006/relationships/control" Target="../activeX/activeX15.xml"/><Relationship Id="rId35" Type="http://schemas.openxmlformats.org/officeDocument/2006/relationships/image" Target="../media/image17.emf"/><Relationship Id="rId43" Type="http://schemas.openxmlformats.org/officeDocument/2006/relationships/image" Target="../media/image21.emf"/><Relationship Id="rId48" Type="http://schemas.openxmlformats.org/officeDocument/2006/relationships/control" Target="../activeX/activeX24.xml"/><Relationship Id="rId56" Type="http://schemas.openxmlformats.org/officeDocument/2006/relationships/control" Target="../activeX/activeX28.xml"/><Relationship Id="rId64" Type="http://schemas.openxmlformats.org/officeDocument/2006/relationships/control" Target="../activeX/activeX32.xml"/><Relationship Id="rId69" Type="http://schemas.openxmlformats.org/officeDocument/2006/relationships/image" Target="../media/image34.emf"/><Relationship Id="rId8" Type="http://schemas.openxmlformats.org/officeDocument/2006/relationships/control" Target="../activeX/activeX4.xml"/><Relationship Id="rId51" Type="http://schemas.openxmlformats.org/officeDocument/2006/relationships/image" Target="../media/image25.emf"/><Relationship Id="rId72" Type="http://schemas.openxmlformats.org/officeDocument/2006/relationships/comments" Target="../comments2.xml"/><Relationship Id="rId3" Type="http://schemas.openxmlformats.org/officeDocument/2006/relationships/vmlDrawing" Target="../drawings/vmlDrawing2.vml"/><Relationship Id="rId12" Type="http://schemas.openxmlformats.org/officeDocument/2006/relationships/control" Target="../activeX/activeX6.xml"/><Relationship Id="rId17" Type="http://schemas.openxmlformats.org/officeDocument/2006/relationships/image" Target="../media/image8.emf"/><Relationship Id="rId25" Type="http://schemas.openxmlformats.org/officeDocument/2006/relationships/image" Target="../media/image12.emf"/><Relationship Id="rId33" Type="http://schemas.openxmlformats.org/officeDocument/2006/relationships/image" Target="../media/image16.emf"/><Relationship Id="rId38" Type="http://schemas.openxmlformats.org/officeDocument/2006/relationships/control" Target="../activeX/activeX19.xml"/><Relationship Id="rId46" Type="http://schemas.openxmlformats.org/officeDocument/2006/relationships/control" Target="../activeX/activeX23.xml"/><Relationship Id="rId59" Type="http://schemas.openxmlformats.org/officeDocument/2006/relationships/image" Target="../media/image29.emf"/><Relationship Id="rId67" Type="http://schemas.openxmlformats.org/officeDocument/2006/relationships/image" Target="../media/image33.emf"/><Relationship Id="rId20" Type="http://schemas.openxmlformats.org/officeDocument/2006/relationships/control" Target="../activeX/activeX10.xml"/><Relationship Id="rId41" Type="http://schemas.openxmlformats.org/officeDocument/2006/relationships/image" Target="../media/image20.emf"/><Relationship Id="rId54" Type="http://schemas.openxmlformats.org/officeDocument/2006/relationships/control" Target="../activeX/activeX27.xml"/><Relationship Id="rId62" Type="http://schemas.openxmlformats.org/officeDocument/2006/relationships/control" Target="../activeX/activeX31.xml"/><Relationship Id="rId70" Type="http://schemas.openxmlformats.org/officeDocument/2006/relationships/control" Target="../activeX/activeX35.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4">
    <tabColor indexed="10"/>
  </sheetPr>
  <dimension ref="A1:L25"/>
  <sheetViews>
    <sheetView workbookViewId="0">
      <selection activeCell="A4" sqref="A4"/>
    </sheetView>
  </sheetViews>
  <sheetFormatPr defaultRowHeight="12.75" x14ac:dyDescent="0.2"/>
  <cols>
    <col min="1" max="1" width="10.140625" style="1" customWidth="1"/>
    <col min="2" max="2" width="54.85546875" style="1" customWidth="1"/>
    <col min="3" max="3" width="13" style="1" customWidth="1"/>
    <col min="4" max="4" width="25.85546875" style="1" customWidth="1"/>
    <col min="5" max="5" width="17.140625" style="1" customWidth="1"/>
    <col min="6" max="6" width="11.28515625" style="1" customWidth="1"/>
    <col min="7" max="11" width="9.140625" style="1" customWidth="1"/>
    <col min="12" max="12" width="18.85546875" style="1" customWidth="1"/>
    <col min="13" max="16384" width="9.140625" style="1"/>
  </cols>
  <sheetData>
    <row r="1" spans="1:12" x14ac:dyDescent="0.2">
      <c r="A1" s="1" t="s">
        <v>405</v>
      </c>
    </row>
    <row r="2" spans="1:12" x14ac:dyDescent="0.2">
      <c r="A2" s="2">
        <v>44313</v>
      </c>
      <c r="B2" s="3" t="s">
        <v>0</v>
      </c>
      <c r="D2" s="4" t="s">
        <v>1</v>
      </c>
      <c r="E2" s="5"/>
    </row>
    <row r="3" spans="1:12" x14ac:dyDescent="0.2">
      <c r="B3" s="6"/>
      <c r="D3" s="4" t="s">
        <v>2</v>
      </c>
      <c r="E3" s="5"/>
      <c r="I3" s="7" t="s">
        <v>3</v>
      </c>
      <c r="J3" s="7"/>
      <c r="K3" s="7" t="s">
        <v>4</v>
      </c>
    </row>
    <row r="4" spans="1:12" x14ac:dyDescent="0.2">
      <c r="B4" s="8" t="s">
        <v>5</v>
      </c>
      <c r="D4" s="4" t="s">
        <v>6</v>
      </c>
      <c r="E4" s="5"/>
      <c r="I4" s="7" t="str">
        <f>IF(E4="","",C16-E4+1)</f>
        <v/>
      </c>
      <c r="J4" s="7"/>
      <c r="K4" s="7" t="str">
        <f>IF(E4="","",C17-E4+1)</f>
        <v/>
      </c>
      <c r="L4" s="7" t="str">
        <f t="shared" ref="L4:L12" si="0">I4&amp;"-"&amp;K4</f>
        <v>-</v>
      </c>
    </row>
    <row r="5" spans="1:12" ht="12.75" customHeight="1" x14ac:dyDescent="0.2">
      <c r="B5" s="8" t="s">
        <v>7</v>
      </c>
      <c r="D5" s="4" t="s">
        <v>8</v>
      </c>
      <c r="E5" s="9"/>
      <c r="F5" s="285" t="s">
        <v>9</v>
      </c>
      <c r="I5" s="7" t="str">
        <f>IF(E5="","",C16-E5+1)</f>
        <v/>
      </c>
      <c r="J5" s="7"/>
      <c r="K5" s="7" t="str">
        <f>IF(E5="","",C17-E5+1)</f>
        <v/>
      </c>
      <c r="L5" s="7" t="str">
        <f t="shared" si="0"/>
        <v>-</v>
      </c>
    </row>
    <row r="6" spans="1:12" ht="25.5" x14ac:dyDescent="0.2">
      <c r="B6" s="8" t="s">
        <v>10</v>
      </c>
      <c r="D6" s="4" t="s">
        <v>11</v>
      </c>
      <c r="E6" s="9"/>
      <c r="F6" s="285"/>
      <c r="I6" s="7" t="str">
        <f>IF(E6="","",C16-E6+1)</f>
        <v/>
      </c>
      <c r="J6" s="7"/>
      <c r="K6" s="7" t="str">
        <f>IF(E6="","",C17-E6+1)</f>
        <v/>
      </c>
      <c r="L6" s="7" t="str">
        <f t="shared" si="0"/>
        <v>-</v>
      </c>
    </row>
    <row r="7" spans="1:12" ht="25.5" x14ac:dyDescent="0.2">
      <c r="B7" s="8" t="s">
        <v>12</v>
      </c>
      <c r="D7" s="4" t="s">
        <v>13</v>
      </c>
      <c r="E7" s="9"/>
      <c r="F7" s="285"/>
      <c r="I7" s="7" t="str">
        <f>IF(E7="","",C16-E7+1)</f>
        <v/>
      </c>
      <c r="J7" s="7"/>
      <c r="K7" s="7" t="str">
        <f>IF(E7="","",C17-E7+1)</f>
        <v/>
      </c>
      <c r="L7" s="7" t="str">
        <f t="shared" si="0"/>
        <v>-</v>
      </c>
    </row>
    <row r="8" spans="1:12" ht="38.25" x14ac:dyDescent="0.2">
      <c r="B8" s="10" t="s">
        <v>14</v>
      </c>
      <c r="D8" s="4" t="s">
        <v>15</v>
      </c>
      <c r="E8" s="9"/>
      <c r="F8" s="285"/>
      <c r="I8" s="7" t="str">
        <f>IF(E8="","",C16-E8+1)</f>
        <v/>
      </c>
      <c r="J8" s="7"/>
      <c r="K8" s="7" t="str">
        <f>IF(E8="","",C17-E8+1)</f>
        <v/>
      </c>
      <c r="L8" s="7" t="str">
        <f t="shared" si="0"/>
        <v>-</v>
      </c>
    </row>
    <row r="9" spans="1:12" x14ac:dyDescent="0.2">
      <c r="D9" s="4" t="s">
        <v>16</v>
      </c>
      <c r="E9" s="9"/>
      <c r="F9" s="285"/>
      <c r="I9" s="7" t="str">
        <f>IF(E9="","",C16-E9+1)</f>
        <v/>
      </c>
      <c r="J9" s="7"/>
      <c r="K9" s="7" t="str">
        <f>IF(E9="","",C17-E9+1)</f>
        <v/>
      </c>
      <c r="L9" s="7" t="str">
        <f t="shared" si="0"/>
        <v>-</v>
      </c>
    </row>
    <row r="10" spans="1:12" x14ac:dyDescent="0.2">
      <c r="D10" s="4" t="s">
        <v>17</v>
      </c>
      <c r="E10" s="9"/>
      <c r="F10" s="285"/>
      <c r="I10" s="7" t="str">
        <f>IF(E10="","",C16-E10+1)</f>
        <v/>
      </c>
      <c r="J10" s="7"/>
      <c r="K10" s="7" t="str">
        <f>IF(E10="","",C17-E10+1)</f>
        <v/>
      </c>
      <c r="L10" s="7" t="str">
        <f t="shared" si="0"/>
        <v>-</v>
      </c>
    </row>
    <row r="11" spans="1:12" x14ac:dyDescent="0.2">
      <c r="D11" s="11" t="s">
        <v>18</v>
      </c>
      <c r="E11" s="9"/>
      <c r="I11" s="7" t="str">
        <f>IF(E11="","",C16-E11+1)</f>
        <v/>
      </c>
      <c r="K11" s="7" t="str">
        <f>IF(E11="","",C17-E11+1)</f>
        <v/>
      </c>
      <c r="L11" s="7" t="str">
        <f t="shared" si="0"/>
        <v>-</v>
      </c>
    </row>
    <row r="12" spans="1:12" x14ac:dyDescent="0.2">
      <c r="D12" s="4" t="s">
        <v>19</v>
      </c>
      <c r="E12" s="9"/>
      <c r="I12" s="7" t="str">
        <f>IF(E12="","",C16-E12+1)</f>
        <v/>
      </c>
      <c r="K12" s="7" t="str">
        <f>IF(E12="","",C17-E12+1)</f>
        <v/>
      </c>
      <c r="L12" s="7" t="str">
        <f t="shared" si="0"/>
        <v>-</v>
      </c>
    </row>
    <row r="16" spans="1:12" x14ac:dyDescent="0.2">
      <c r="B16" s="4" t="s">
        <v>20</v>
      </c>
      <c r="C16" s="5"/>
      <c r="I16" s="12">
        <f>C16</f>
        <v>0</v>
      </c>
      <c r="J16" s="13"/>
    </row>
    <row r="17" spans="2:9" x14ac:dyDescent="0.2">
      <c r="B17" s="4" t="s">
        <v>21</v>
      </c>
      <c r="C17" s="5"/>
      <c r="I17" s="14">
        <f>C17</f>
        <v>0</v>
      </c>
    </row>
    <row r="20" spans="2:9" ht="23.25" x14ac:dyDescent="0.35">
      <c r="B20" s="15" t="s">
        <v>22</v>
      </c>
      <c r="E20" s="16"/>
    </row>
    <row r="22" spans="2:9" ht="23.25" x14ac:dyDescent="0.35">
      <c r="B22" s="15" t="s">
        <v>23</v>
      </c>
    </row>
    <row r="23" spans="2:9" x14ac:dyDescent="0.2">
      <c r="B23" s="1" t="s">
        <v>24</v>
      </c>
    </row>
    <row r="24" spans="2:9" x14ac:dyDescent="0.2">
      <c r="B24" s="17"/>
      <c r="G24" s="18" t="s">
        <v>25</v>
      </c>
    </row>
    <row r="25" spans="2:9" x14ac:dyDescent="0.2">
      <c r="B25" s="1" t="s">
        <v>26</v>
      </c>
      <c r="C25" s="19" t="s">
        <v>27</v>
      </c>
      <c r="G25" s="18" t="s">
        <v>27</v>
      </c>
    </row>
  </sheetData>
  <mergeCells count="1">
    <mergeCell ref="F5:F10"/>
  </mergeCells>
  <dataValidations count="1">
    <dataValidation type="list" allowBlank="1" showErrorMessage="1" sqref="C25">
      <formula1>$G$24:$G$25</formula1>
      <formula2>0</formula2>
    </dataValidation>
  </dataValidations>
  <pageMargins left="0.75" right="0.75" top="1" bottom="1" header="0.51180555555555551" footer="0.51180555555555551"/>
  <pageSetup paperSize="9" firstPageNumber="0" orientation="portrait" horizontalDpi="300" verticalDpi="300" r:id="rId1"/>
  <headerFooter alignWithMargins="0"/>
  <drawing r:id="rId2"/>
  <legacyDrawing r:id="rId3"/>
  <controls>
    <mc:AlternateContent xmlns:mc="http://schemas.openxmlformats.org/markup-compatibility/2006">
      <mc:Choice Requires="x14">
        <control shapeId="2" r:id="rId4" name="CommandButton1">
          <controlPr defaultSize="0" autoFill="0" autoLine="0" autoPict="0" r:id="rId5">
            <anchor moveWithCells="1" sizeWithCells="1">
              <from>
                <xdr:col>1</xdr:col>
                <xdr:colOff>400050</xdr:colOff>
                <xdr:row>8</xdr:row>
                <xdr:rowOff>142875</xdr:rowOff>
              </from>
              <to>
                <xdr:col>1</xdr:col>
                <xdr:colOff>3257550</xdr:colOff>
                <xdr:row>10</xdr:row>
                <xdr:rowOff>76200</xdr:rowOff>
              </to>
            </anchor>
          </controlPr>
        </control>
      </mc:Choice>
      <mc:Fallback>
        <control shapeId="1033" r:id="rId4" name="CommandButton1"/>
      </mc:Fallback>
    </mc:AlternateContent>
  </control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60"/>
  <sheetViews>
    <sheetView workbookViewId="0">
      <selection activeCell="D6" sqref="D6"/>
    </sheetView>
  </sheetViews>
  <sheetFormatPr defaultRowHeight="12.75" x14ac:dyDescent="0.2"/>
  <cols>
    <col min="12" max="13" width="9.42578125" bestFit="1" customWidth="1"/>
  </cols>
  <sheetData>
    <row r="1" spans="1:30" x14ac:dyDescent="0.2">
      <c r="A1" s="455" t="s">
        <v>366</v>
      </c>
      <c r="B1" s="456"/>
      <c r="C1" s="227"/>
      <c r="D1" s="238"/>
      <c r="E1" s="238"/>
      <c r="F1" s="238"/>
      <c r="G1" s="239"/>
      <c r="H1" s="236"/>
      <c r="I1" s="237"/>
      <c r="J1" s="457" t="s">
        <v>377</v>
      </c>
      <c r="K1" s="458"/>
      <c r="L1" s="458"/>
      <c r="M1" s="459"/>
      <c r="N1" s="237"/>
      <c r="O1" s="237"/>
      <c r="P1" s="237"/>
      <c r="Q1" s="237"/>
      <c r="R1" s="237"/>
      <c r="S1" s="237"/>
      <c r="T1" s="237"/>
      <c r="U1" s="237"/>
      <c r="V1" s="237"/>
      <c r="W1" s="237"/>
      <c r="X1" s="237"/>
      <c r="Y1" s="237"/>
      <c r="Z1" s="237"/>
      <c r="AA1" s="237"/>
      <c r="AB1" s="237"/>
      <c r="AC1" s="237"/>
      <c r="AD1" s="237"/>
    </row>
    <row r="2" spans="1:30" x14ac:dyDescent="0.2">
      <c r="A2" s="242"/>
      <c r="B2" s="240"/>
      <c r="C2" s="240"/>
      <c r="D2" s="240"/>
      <c r="E2" s="240"/>
      <c r="F2" s="240"/>
      <c r="G2" s="241"/>
      <c r="H2" s="236"/>
      <c r="I2" s="236"/>
      <c r="J2" s="242"/>
      <c r="K2" s="240"/>
      <c r="L2" s="240"/>
      <c r="M2" s="248"/>
      <c r="N2" s="237"/>
      <c r="O2" s="237"/>
      <c r="P2" s="237"/>
      <c r="Q2" s="237"/>
      <c r="R2" s="237"/>
      <c r="S2" s="237"/>
      <c r="T2" s="237"/>
      <c r="U2" s="237"/>
      <c r="V2" s="237"/>
      <c r="W2" s="237"/>
      <c r="X2" s="237"/>
      <c r="Y2" s="237"/>
      <c r="Z2" s="237"/>
      <c r="AA2" s="237"/>
      <c r="AB2" s="237"/>
      <c r="AC2" s="237"/>
      <c r="AD2" s="237"/>
    </row>
    <row r="3" spans="1:30" x14ac:dyDescent="0.2">
      <c r="A3" s="460" t="s">
        <v>367</v>
      </c>
      <c r="B3" s="461"/>
      <c r="C3" s="461"/>
      <c r="D3" s="209">
        <v>150</v>
      </c>
      <c r="E3" s="461" t="s">
        <v>369</v>
      </c>
      <c r="F3" s="461"/>
      <c r="G3" s="226">
        <f>(PRODUCT(C1,D5))/6.25</f>
        <v>0</v>
      </c>
      <c r="H3" s="236"/>
      <c r="I3" s="237"/>
      <c r="J3" s="460" t="s">
        <v>376</v>
      </c>
      <c r="K3" s="461"/>
      <c r="L3" s="461"/>
      <c r="M3" s="224">
        <v>0</v>
      </c>
      <c r="N3" s="237"/>
      <c r="O3" s="237"/>
      <c r="P3" s="237"/>
      <c r="Q3" s="237"/>
      <c r="R3" s="237"/>
      <c r="S3" s="237"/>
      <c r="T3" s="237"/>
      <c r="U3" s="237"/>
      <c r="V3" s="237"/>
      <c r="W3" s="237"/>
      <c r="X3" s="237"/>
      <c r="Y3" s="237"/>
      <c r="Z3" s="237"/>
      <c r="AA3" s="237"/>
      <c r="AB3" s="237"/>
      <c r="AC3" s="237"/>
      <c r="AD3" s="237"/>
    </row>
    <row r="4" spans="1:30" x14ac:dyDescent="0.2">
      <c r="A4" s="242"/>
      <c r="B4" s="240"/>
      <c r="C4" s="240"/>
      <c r="D4" s="240"/>
      <c r="E4" s="240"/>
      <c r="F4" s="240"/>
      <c r="G4" s="241"/>
      <c r="H4" s="236"/>
      <c r="I4" s="237"/>
      <c r="J4" s="460" t="s">
        <v>367</v>
      </c>
      <c r="K4" s="461"/>
      <c r="L4" s="461"/>
      <c r="M4" s="214">
        <v>150</v>
      </c>
      <c r="N4" s="237"/>
      <c r="O4" s="237"/>
      <c r="P4" s="237"/>
      <c r="Q4" s="237"/>
      <c r="R4" s="237"/>
      <c r="S4" s="237"/>
      <c r="T4" s="237"/>
      <c r="U4" s="237"/>
      <c r="V4" s="237"/>
      <c r="W4" s="237"/>
      <c r="X4" s="237"/>
      <c r="Y4" s="237"/>
      <c r="Z4" s="237"/>
      <c r="AA4" s="237"/>
      <c r="AB4" s="237"/>
      <c r="AC4" s="237"/>
      <c r="AD4" s="237"/>
    </row>
    <row r="5" spans="1:30" x14ac:dyDescent="0.2">
      <c r="A5" s="242"/>
      <c r="B5" s="461" t="s">
        <v>384</v>
      </c>
      <c r="C5" s="461"/>
      <c r="D5" s="225">
        <v>0</v>
      </c>
      <c r="E5" s="247"/>
      <c r="F5" s="247"/>
      <c r="G5" s="241"/>
      <c r="H5" s="236"/>
      <c r="I5" s="237"/>
      <c r="J5" s="249"/>
      <c r="K5" s="250"/>
      <c r="L5" s="251"/>
      <c r="M5" s="252"/>
      <c r="N5" s="237"/>
      <c r="O5" s="237"/>
      <c r="P5" s="237"/>
      <c r="Q5" s="237"/>
      <c r="R5" s="237"/>
      <c r="S5" s="237"/>
      <c r="T5" s="237"/>
      <c r="U5" s="237"/>
      <c r="V5" s="237"/>
      <c r="W5" s="237"/>
      <c r="X5" s="237"/>
      <c r="Y5" s="237"/>
      <c r="Z5" s="237"/>
      <c r="AA5" s="237"/>
      <c r="AB5" s="237"/>
      <c r="AC5" s="237"/>
      <c r="AD5" s="237"/>
    </row>
    <row r="6" spans="1:30" x14ac:dyDescent="0.2">
      <c r="A6" s="242"/>
      <c r="B6" s="240"/>
      <c r="C6" s="243"/>
      <c r="D6" s="243"/>
      <c r="E6" s="240"/>
      <c r="F6" s="240"/>
      <c r="G6" s="241"/>
      <c r="H6" s="236"/>
      <c r="I6" s="237"/>
      <c r="J6" s="249"/>
      <c r="K6" s="253"/>
      <c r="L6" s="212" t="s">
        <v>370</v>
      </c>
      <c r="M6" s="218" t="s">
        <v>371</v>
      </c>
      <c r="N6" s="237"/>
      <c r="O6" s="237"/>
      <c r="P6" s="237"/>
      <c r="Q6" s="237"/>
      <c r="R6" s="237"/>
      <c r="S6" s="237"/>
      <c r="T6" s="237"/>
      <c r="U6" s="237"/>
      <c r="V6" s="237"/>
      <c r="W6" s="237"/>
      <c r="X6" s="237"/>
      <c r="Y6" s="237"/>
      <c r="Z6" s="237"/>
      <c r="AA6" s="237"/>
      <c r="AB6" s="237"/>
      <c r="AC6" s="237"/>
      <c r="AD6" s="237"/>
    </row>
    <row r="7" spans="1:30" x14ac:dyDescent="0.2">
      <c r="A7" s="242"/>
      <c r="B7" s="244"/>
      <c r="C7" s="212" t="s">
        <v>370</v>
      </c>
      <c r="D7" s="212" t="s">
        <v>371</v>
      </c>
      <c r="E7" s="240"/>
      <c r="F7" s="240"/>
      <c r="G7" s="241"/>
      <c r="H7" s="236"/>
      <c r="I7" s="237"/>
      <c r="J7" s="462" t="s">
        <v>203</v>
      </c>
      <c r="K7" s="463"/>
      <c r="L7" s="203">
        <f>ROUND(PRODUCT(M3,(PRODUCT(M4,-0.1772))+55)/100,0)</f>
        <v>0</v>
      </c>
      <c r="M7" s="217">
        <f>ROUND(PRODUCT(M3,(PRODUCT(M4,-0.1951))+70)/100,0)</f>
        <v>0</v>
      </c>
      <c r="N7" s="237"/>
      <c r="O7" s="237"/>
      <c r="P7" s="237"/>
      <c r="Q7" s="237"/>
      <c r="R7" s="237"/>
      <c r="S7" s="237"/>
      <c r="T7" s="237"/>
      <c r="U7" s="237"/>
      <c r="V7" s="237"/>
      <c r="W7" s="237"/>
      <c r="X7" s="237"/>
      <c r="Y7" s="237"/>
      <c r="Z7" s="237"/>
      <c r="AA7" s="237"/>
      <c r="AB7" s="237"/>
      <c r="AC7" s="237"/>
      <c r="AD7" s="237"/>
    </row>
    <row r="8" spans="1:30" x14ac:dyDescent="0.2">
      <c r="A8" s="460" t="s">
        <v>368</v>
      </c>
      <c r="B8" s="461"/>
      <c r="C8" s="210" t="str">
        <f>ROUND(SUM(C10,C12,C13),0)&amp;" мл"</f>
        <v>0 мл</v>
      </c>
      <c r="D8" s="210" t="str">
        <f>ROUND(SUM(D10,D11,D13),0)&amp;" мл"</f>
        <v>0 мл</v>
      </c>
      <c r="E8" s="240"/>
      <c r="F8" s="240"/>
      <c r="G8" s="241"/>
      <c r="H8" s="236"/>
      <c r="I8" s="237"/>
      <c r="J8" s="462" t="s">
        <v>223</v>
      </c>
      <c r="K8" s="463"/>
      <c r="L8" s="254"/>
      <c r="M8" s="217">
        <f>ROUND((M3-M7)*0.727,0)</f>
        <v>0</v>
      </c>
      <c r="N8" s="237"/>
      <c r="O8" s="237"/>
      <c r="P8" s="237"/>
      <c r="Q8" s="237"/>
      <c r="R8" s="237"/>
      <c r="S8" s="237"/>
      <c r="T8" s="237"/>
      <c r="U8" s="237"/>
      <c r="V8" s="237"/>
      <c r="W8" s="237"/>
      <c r="X8" s="237"/>
      <c r="Y8" s="237"/>
      <c r="Z8" s="237"/>
      <c r="AA8" s="237"/>
      <c r="AB8" s="237"/>
      <c r="AC8" s="237"/>
      <c r="AD8" s="237"/>
    </row>
    <row r="9" spans="1:30" x14ac:dyDescent="0.2">
      <c r="A9" s="242"/>
      <c r="B9" s="240"/>
      <c r="C9" s="245"/>
      <c r="D9" s="245"/>
      <c r="E9" s="240"/>
      <c r="F9" s="240"/>
      <c r="G9" s="241"/>
      <c r="H9" s="236"/>
      <c r="I9" s="237"/>
      <c r="J9" s="462" t="s">
        <v>148</v>
      </c>
      <c r="K9" s="463"/>
      <c r="L9" s="203">
        <f>ROUND((M3-L7)*0.84,0)</f>
        <v>0</v>
      </c>
      <c r="M9" s="255"/>
      <c r="N9" s="237"/>
      <c r="O9" s="237"/>
      <c r="P9" s="237"/>
      <c r="Q9" s="237"/>
      <c r="R9" s="237"/>
      <c r="S9" s="237"/>
      <c r="T9" s="237"/>
      <c r="U9" s="237"/>
      <c r="V9" s="237"/>
      <c r="W9" s="237"/>
      <c r="X9" s="237"/>
      <c r="Y9" s="237"/>
      <c r="Z9" s="237"/>
      <c r="AA9" s="237"/>
      <c r="AB9" s="237"/>
      <c r="AC9" s="237"/>
      <c r="AD9" s="237"/>
    </row>
    <row r="10" spans="1:30" x14ac:dyDescent="0.2">
      <c r="A10" s="477" t="s">
        <v>203</v>
      </c>
      <c r="B10" s="478"/>
      <c r="C10" s="213">
        <f>ROUND(PRODUCT(C1,D5,10),0)</f>
        <v>0</v>
      </c>
      <c r="D10" s="203">
        <f>ROUND(PRODUCT(C1,D5,10),0)</f>
        <v>0</v>
      </c>
      <c r="E10" s="240"/>
      <c r="F10" s="240"/>
      <c r="G10" s="241"/>
      <c r="H10" s="236"/>
      <c r="I10" s="236"/>
      <c r="J10" s="215" t="s">
        <v>229</v>
      </c>
      <c r="K10" s="211"/>
      <c r="L10" s="203">
        <f>ROUND((M3-L7)*0.16,0)</f>
        <v>0</v>
      </c>
      <c r="M10" s="217">
        <f>ROUND((M3-M7)*0.273,0)</f>
        <v>0</v>
      </c>
      <c r="N10" s="237"/>
      <c r="O10" s="237"/>
      <c r="P10" s="237"/>
      <c r="Q10" s="237"/>
      <c r="R10" s="237"/>
      <c r="S10" s="237"/>
      <c r="T10" s="237"/>
      <c r="U10" s="237"/>
      <c r="V10" s="237"/>
      <c r="W10" s="237"/>
      <c r="X10" s="237"/>
      <c r="Y10" s="237"/>
      <c r="Z10" s="237"/>
      <c r="AA10" s="237"/>
      <c r="AB10" s="237"/>
      <c r="AC10" s="237"/>
      <c r="AD10" s="237"/>
    </row>
    <row r="11" spans="1:30" x14ac:dyDescent="0.2">
      <c r="A11" s="477" t="s">
        <v>223</v>
      </c>
      <c r="B11" s="478"/>
      <c r="C11" s="246"/>
      <c r="D11" s="203">
        <f>ROUND((((PRODUCT(D3,G3))*0.7)/4)/0.4,0)</f>
        <v>0</v>
      </c>
      <c r="E11" s="240"/>
      <c r="F11" s="240"/>
      <c r="G11" s="241"/>
      <c r="H11" s="236"/>
      <c r="I11" s="236"/>
      <c r="J11" s="259"/>
      <c r="K11" s="258"/>
      <c r="L11" s="257"/>
      <c r="M11" s="256"/>
      <c r="N11" s="237"/>
      <c r="O11" s="237"/>
      <c r="P11" s="237"/>
      <c r="Q11" s="237"/>
      <c r="R11" s="237"/>
      <c r="S11" s="237"/>
      <c r="T11" s="237"/>
      <c r="U11" s="237"/>
      <c r="V11" s="237"/>
      <c r="W11" s="237"/>
      <c r="X11" s="237"/>
      <c r="Y11" s="237"/>
      <c r="Z11" s="237"/>
      <c r="AA11" s="237"/>
      <c r="AB11" s="237"/>
      <c r="AC11" s="237"/>
      <c r="AD11" s="237"/>
    </row>
    <row r="12" spans="1:30" ht="13.5" thickBot="1" x14ac:dyDescent="0.25">
      <c r="A12" s="477" t="s">
        <v>148</v>
      </c>
      <c r="B12" s="478"/>
      <c r="C12" s="213">
        <f>ROUND((((PRODUCT(D3,G3))*0.7)/4)/0.2,0)</f>
        <v>0</v>
      </c>
      <c r="D12" s="245"/>
      <c r="E12" s="240"/>
      <c r="F12" s="240"/>
      <c r="G12" s="241"/>
      <c r="H12" s="236"/>
      <c r="I12" s="236"/>
      <c r="J12" s="481" t="s">
        <v>113</v>
      </c>
      <c r="K12" s="482"/>
      <c r="L12" s="228" t="e">
        <f xml:space="preserve"> ROUND((PRODUCT(0.1,L7))/C1,1)</f>
        <v>#DIV/0!</v>
      </c>
      <c r="M12" s="229" t="e">
        <f xml:space="preserve"> ROUND((PRODUCT(0.1,M7))/C1,1)</f>
        <v>#DIV/0!</v>
      </c>
      <c r="N12" s="237"/>
      <c r="O12" s="237"/>
      <c r="P12" s="237"/>
      <c r="Q12" s="237"/>
      <c r="R12" s="237"/>
      <c r="S12" s="237"/>
      <c r="T12" s="237"/>
      <c r="U12" s="237"/>
      <c r="V12" s="237"/>
      <c r="W12" s="237"/>
      <c r="X12" s="237"/>
      <c r="Y12" s="237"/>
      <c r="Z12" s="237"/>
      <c r="AA12" s="237"/>
      <c r="AB12" s="237"/>
      <c r="AC12" s="237"/>
      <c r="AD12" s="237"/>
    </row>
    <row r="13" spans="1:30" ht="13.5" thickBot="1" x14ac:dyDescent="0.25">
      <c r="A13" s="216" t="s">
        <v>229</v>
      </c>
      <c r="B13" s="208"/>
      <c r="C13" s="213">
        <f>ROUND((((PRODUCT(D3,G3))*0.3)/9)/0.2,1)</f>
        <v>0</v>
      </c>
      <c r="D13" s="203">
        <f>ROUND((((PRODUCT(D3,G3))*0.3)/9)/0.2,1)</f>
        <v>0</v>
      </c>
      <c r="E13" s="240"/>
      <c r="F13" s="240"/>
      <c r="G13" s="241"/>
      <c r="H13" s="236"/>
      <c r="I13" s="236"/>
      <c r="J13" s="236"/>
      <c r="K13" s="232"/>
      <c r="L13" s="231" t="e">
        <f>ROUND(L7/10/6.26*M4/C1,0)</f>
        <v>#DIV/0!</v>
      </c>
      <c r="M13" s="230" t="e">
        <f>ROUND(M7/10/6.26*M4/C1,0)</f>
        <v>#DIV/0!</v>
      </c>
      <c r="N13" s="237"/>
      <c r="O13" s="237"/>
      <c r="P13" s="237"/>
      <c r="Q13" s="237"/>
      <c r="R13" s="237"/>
      <c r="S13" s="237"/>
      <c r="T13" s="237"/>
      <c r="U13" s="237"/>
      <c r="V13" s="237"/>
      <c r="W13" s="237"/>
      <c r="X13" s="237"/>
      <c r="Y13" s="237"/>
      <c r="Z13" s="237"/>
      <c r="AA13" s="237"/>
      <c r="AB13" s="237"/>
      <c r="AC13" s="237"/>
      <c r="AD13" s="237"/>
    </row>
    <row r="14" spans="1:30" ht="13.5" thickBot="1" x14ac:dyDescent="0.25">
      <c r="A14" s="242"/>
      <c r="B14" s="233"/>
      <c r="C14" s="479" t="e">
        <f>ROUND(C10/10/6.26*D3/C1,0)</f>
        <v>#DIV/0!</v>
      </c>
      <c r="D14" s="480"/>
      <c r="E14" s="240"/>
      <c r="F14" s="240"/>
      <c r="G14" s="241"/>
      <c r="H14" s="236"/>
      <c r="I14" s="236"/>
      <c r="J14" s="236"/>
      <c r="K14" s="236"/>
      <c r="L14" s="236"/>
      <c r="M14" s="237"/>
      <c r="N14" s="237"/>
      <c r="O14" s="237"/>
      <c r="P14" s="237"/>
      <c r="Q14" s="237"/>
      <c r="R14" s="237"/>
      <c r="S14" s="237"/>
      <c r="T14" s="237"/>
      <c r="U14" s="237"/>
      <c r="V14" s="237"/>
      <c r="W14" s="237"/>
      <c r="X14" s="237"/>
      <c r="Y14" s="237"/>
      <c r="Z14" s="237"/>
      <c r="AA14" s="237"/>
      <c r="AB14" s="237"/>
      <c r="AC14" s="237"/>
      <c r="AD14" s="237"/>
    </row>
    <row r="15" spans="1:30" x14ac:dyDescent="0.2">
      <c r="A15" s="471" t="s">
        <v>375</v>
      </c>
      <c r="B15" s="472"/>
      <c r="C15" s="472"/>
      <c r="D15" s="472"/>
      <c r="E15" s="472"/>
      <c r="F15" s="472"/>
      <c r="G15" s="473"/>
      <c r="H15" s="236"/>
      <c r="I15" s="236"/>
      <c r="J15" s="204" t="s">
        <v>372</v>
      </c>
      <c r="K15" s="205"/>
      <c r="L15" s="223">
        <f>ROUND(((PRODUCT(C1,D5))*1000)/57.5,0)</f>
        <v>0</v>
      </c>
      <c r="M15" s="239"/>
      <c r="N15" s="237"/>
      <c r="O15" s="237"/>
      <c r="P15" s="237"/>
      <c r="Q15" s="237"/>
      <c r="R15" s="237"/>
      <c r="S15" s="237"/>
      <c r="T15" s="237"/>
      <c r="U15" s="237"/>
      <c r="V15" s="237"/>
      <c r="W15" s="237"/>
      <c r="X15" s="237"/>
      <c r="Y15" s="237"/>
      <c r="Z15" s="237"/>
      <c r="AA15" s="237"/>
      <c r="AB15" s="237"/>
      <c r="AC15" s="237"/>
      <c r="AD15" s="237"/>
    </row>
    <row r="16" spans="1:30" x14ac:dyDescent="0.2">
      <c r="A16" s="471"/>
      <c r="B16" s="472"/>
      <c r="C16" s="472"/>
      <c r="D16" s="472"/>
      <c r="E16" s="472"/>
      <c r="F16" s="472"/>
      <c r="G16" s="473"/>
      <c r="H16" s="236"/>
      <c r="I16" s="236"/>
      <c r="J16" s="242"/>
      <c r="K16" s="240"/>
      <c r="L16" s="240"/>
      <c r="M16" s="241"/>
      <c r="N16" s="237"/>
      <c r="O16" s="237"/>
      <c r="P16" s="237"/>
      <c r="Q16" s="237"/>
      <c r="R16" s="237"/>
      <c r="S16" s="237"/>
      <c r="T16" s="237"/>
      <c r="U16" s="237"/>
      <c r="V16" s="237"/>
      <c r="W16" s="237"/>
      <c r="X16" s="237"/>
      <c r="Y16" s="237"/>
      <c r="Z16" s="237"/>
      <c r="AA16" s="237"/>
      <c r="AB16" s="237"/>
      <c r="AC16" s="237"/>
      <c r="AD16" s="237"/>
    </row>
    <row r="17" spans="1:30" x14ac:dyDescent="0.2">
      <c r="A17" s="471"/>
      <c r="B17" s="472"/>
      <c r="C17" s="472"/>
      <c r="D17" s="472"/>
      <c r="E17" s="472"/>
      <c r="F17" s="472"/>
      <c r="G17" s="473"/>
      <c r="H17" s="236"/>
      <c r="I17" s="236"/>
      <c r="J17" s="206" t="s">
        <v>373</v>
      </c>
      <c r="K17" s="207"/>
      <c r="L17" s="207"/>
      <c r="M17" s="222">
        <f>ROUND(PRODUCT(L15,0.33),0)</f>
        <v>0</v>
      </c>
      <c r="N17" s="237"/>
      <c r="O17" s="237"/>
      <c r="P17" s="237"/>
      <c r="Q17" s="237"/>
      <c r="R17" s="237"/>
      <c r="S17" s="237"/>
      <c r="T17" s="237"/>
      <c r="U17" s="237"/>
      <c r="V17" s="237"/>
      <c r="W17" s="237"/>
      <c r="X17" s="237"/>
      <c r="Y17" s="237"/>
      <c r="Z17" s="237"/>
      <c r="AA17" s="237"/>
      <c r="AB17" s="237"/>
      <c r="AC17" s="237"/>
      <c r="AD17" s="237"/>
    </row>
    <row r="18" spans="1:30" x14ac:dyDescent="0.2">
      <c r="A18" s="471"/>
      <c r="B18" s="472"/>
      <c r="C18" s="472"/>
      <c r="D18" s="472"/>
      <c r="E18" s="472"/>
      <c r="F18" s="472"/>
      <c r="G18" s="473"/>
      <c r="H18" s="236"/>
      <c r="I18" s="236"/>
      <c r="J18" s="242"/>
      <c r="K18" s="240"/>
      <c r="L18" s="240"/>
      <c r="M18" s="241"/>
      <c r="N18" s="237"/>
      <c r="O18" s="237"/>
      <c r="P18" s="237"/>
      <c r="Q18" s="237"/>
      <c r="R18" s="237"/>
      <c r="S18" s="237"/>
      <c r="T18" s="237"/>
      <c r="U18" s="237"/>
      <c r="V18" s="237"/>
      <c r="W18" s="237"/>
      <c r="X18" s="237"/>
      <c r="Y18" s="237"/>
      <c r="Z18" s="237"/>
      <c r="AA18" s="237"/>
      <c r="AB18" s="237"/>
      <c r="AC18" s="237"/>
      <c r="AD18" s="237"/>
    </row>
    <row r="19" spans="1:30" ht="13.5" thickBot="1" x14ac:dyDescent="0.25">
      <c r="A19" s="474"/>
      <c r="B19" s="475"/>
      <c r="C19" s="475"/>
      <c r="D19" s="475"/>
      <c r="E19" s="475"/>
      <c r="F19" s="475"/>
      <c r="G19" s="476"/>
      <c r="H19" s="236"/>
      <c r="I19" s="236"/>
      <c r="J19" s="471" t="s">
        <v>374</v>
      </c>
      <c r="K19" s="472"/>
      <c r="L19" s="472"/>
      <c r="M19" s="473"/>
      <c r="N19" s="237"/>
      <c r="O19" s="237"/>
      <c r="P19" s="237"/>
      <c r="Q19" s="237"/>
      <c r="R19" s="237"/>
      <c r="S19" s="237"/>
      <c r="T19" s="237"/>
      <c r="U19" s="237"/>
      <c r="V19" s="237"/>
      <c r="W19" s="237"/>
      <c r="X19" s="237"/>
      <c r="Y19" s="237"/>
      <c r="Z19" s="237"/>
      <c r="AA19" s="237"/>
      <c r="AB19" s="237"/>
      <c r="AC19" s="237"/>
      <c r="AD19" s="237"/>
    </row>
    <row r="20" spans="1:30" x14ac:dyDescent="0.2">
      <c r="A20" s="236"/>
      <c r="B20" s="236"/>
      <c r="C20" s="236"/>
      <c r="D20" s="236"/>
      <c r="E20" s="236"/>
      <c r="F20" s="236"/>
      <c r="G20" s="236"/>
      <c r="H20" s="236"/>
      <c r="I20" s="236"/>
      <c r="J20" s="471"/>
      <c r="K20" s="472"/>
      <c r="L20" s="472"/>
      <c r="M20" s="473"/>
      <c r="N20" s="237"/>
      <c r="O20" s="237"/>
      <c r="P20" s="237"/>
      <c r="Q20" s="237"/>
      <c r="R20" s="237"/>
      <c r="S20" s="237"/>
      <c r="T20" s="237"/>
      <c r="U20" s="237"/>
      <c r="V20" s="237"/>
      <c r="W20" s="237"/>
      <c r="X20" s="237"/>
      <c r="Y20" s="237"/>
      <c r="Z20" s="237"/>
      <c r="AA20" s="237"/>
      <c r="AB20" s="237"/>
      <c r="AC20" s="237"/>
      <c r="AD20" s="237"/>
    </row>
    <row r="21" spans="1:30" ht="13.5" thickBot="1" x14ac:dyDescent="0.25">
      <c r="A21" s="237"/>
      <c r="B21" s="237"/>
      <c r="C21" s="237"/>
      <c r="D21" s="237"/>
      <c r="E21" s="237"/>
      <c r="F21" s="237"/>
      <c r="G21" s="237"/>
      <c r="H21" s="237"/>
      <c r="I21" s="237"/>
      <c r="J21" s="474"/>
      <c r="K21" s="475"/>
      <c r="L21" s="475"/>
      <c r="M21" s="476"/>
      <c r="N21" s="237"/>
      <c r="O21" s="237"/>
      <c r="P21" s="237"/>
      <c r="Q21" s="237"/>
      <c r="R21" s="237"/>
      <c r="S21" s="237"/>
      <c r="T21" s="237"/>
      <c r="U21" s="237"/>
      <c r="V21" s="237"/>
      <c r="W21" s="237"/>
      <c r="X21" s="237"/>
      <c r="Y21" s="237"/>
      <c r="Z21" s="237"/>
      <c r="AA21" s="237"/>
      <c r="AB21" s="237"/>
      <c r="AC21" s="237"/>
      <c r="AD21" s="237"/>
    </row>
    <row r="22" spans="1:30" x14ac:dyDescent="0.2">
      <c r="A22" s="469" t="s">
        <v>378</v>
      </c>
      <c r="B22" s="470"/>
      <c r="C22" s="470"/>
      <c r="D22" s="260"/>
      <c r="E22" s="237"/>
      <c r="F22" s="237"/>
      <c r="G22" s="237"/>
      <c r="H22" s="237"/>
      <c r="I22" s="237"/>
      <c r="J22" s="237"/>
      <c r="K22" s="237"/>
      <c r="L22" s="237"/>
      <c r="M22" s="237"/>
      <c r="N22" s="237"/>
      <c r="O22" s="237"/>
      <c r="P22" s="237"/>
      <c r="Q22" s="237"/>
      <c r="R22" s="237"/>
      <c r="S22" s="237"/>
      <c r="T22" s="237"/>
      <c r="U22" s="237"/>
      <c r="V22" s="237"/>
      <c r="W22" s="237"/>
      <c r="X22" s="237"/>
      <c r="Y22" s="237"/>
      <c r="Z22" s="237"/>
      <c r="AA22" s="237"/>
      <c r="AB22" s="237"/>
      <c r="AC22" s="237"/>
      <c r="AD22" s="237"/>
    </row>
    <row r="23" spans="1:30" x14ac:dyDescent="0.2">
      <c r="A23" s="465" t="s">
        <v>379</v>
      </c>
      <c r="B23" s="466"/>
      <c r="C23" s="466"/>
      <c r="D23" s="217" t="str">
        <f>PRODUCT(C1,3.8)&amp;" мл"</f>
        <v>3,8 мл</v>
      </c>
      <c r="E23" s="237"/>
      <c r="F23" s="237"/>
      <c r="G23" s="237"/>
      <c r="H23" s="237"/>
      <c r="I23" s="237"/>
      <c r="J23" s="237"/>
      <c r="K23" s="237"/>
      <c r="L23" s="237"/>
      <c r="M23" s="237"/>
      <c r="N23" s="237"/>
      <c r="O23" s="237"/>
      <c r="P23" s="237"/>
      <c r="Q23" s="237"/>
      <c r="R23" s="237"/>
      <c r="S23" s="237"/>
      <c r="T23" s="237"/>
      <c r="U23" s="237"/>
      <c r="V23" s="237"/>
      <c r="W23" s="237"/>
      <c r="X23" s="237"/>
      <c r="Y23" s="237"/>
      <c r="Z23" s="237"/>
      <c r="AA23" s="237"/>
      <c r="AB23" s="237"/>
      <c r="AC23" s="237"/>
      <c r="AD23" s="237"/>
    </row>
    <row r="24" spans="1:30" x14ac:dyDescent="0.2">
      <c r="A24" s="465" t="s">
        <v>380</v>
      </c>
      <c r="B24" s="466"/>
      <c r="C24" s="466"/>
      <c r="D24" s="217" t="str">
        <f>PRODUCT(C1,1)&amp;" мл"</f>
        <v>1 мл</v>
      </c>
      <c r="E24" s="237"/>
      <c r="F24" s="237"/>
      <c r="G24" s="237"/>
      <c r="H24" s="237"/>
      <c r="I24" s="237"/>
      <c r="J24" s="237"/>
      <c r="K24" s="237"/>
      <c r="L24" s="237"/>
      <c r="M24" s="237"/>
      <c r="N24" s="237"/>
      <c r="O24" s="237"/>
      <c r="P24" s="237"/>
      <c r="Q24" s="237"/>
      <c r="R24" s="237"/>
      <c r="S24" s="237"/>
      <c r="T24" s="237"/>
      <c r="U24" s="237"/>
      <c r="V24" s="237"/>
      <c r="W24" s="237"/>
      <c r="X24" s="237"/>
      <c r="Y24" s="237"/>
      <c r="Z24" s="237"/>
      <c r="AA24" s="237"/>
      <c r="AB24" s="237"/>
      <c r="AC24" s="237"/>
      <c r="AD24" s="237"/>
    </row>
    <row r="25" spans="1:30" x14ac:dyDescent="0.2">
      <c r="A25" s="465" t="s">
        <v>382</v>
      </c>
      <c r="B25" s="466"/>
      <c r="C25" s="466"/>
      <c r="D25" s="217" t="str">
        <f>PRODUCT(C1,0.4)&amp;" мл"</f>
        <v>0,4 мл</v>
      </c>
      <c r="E25" s="237"/>
      <c r="F25" s="237"/>
      <c r="G25" s="237"/>
      <c r="H25" s="237"/>
      <c r="I25" s="237"/>
      <c r="J25" s="237"/>
      <c r="K25" s="237"/>
      <c r="L25" s="237"/>
      <c r="M25" s="237"/>
      <c r="N25" s="237"/>
      <c r="O25" s="237"/>
      <c r="P25" s="237"/>
      <c r="Q25" s="237"/>
      <c r="R25" s="237"/>
      <c r="S25" s="237"/>
      <c r="T25" s="237"/>
      <c r="U25" s="237"/>
      <c r="V25" s="237"/>
      <c r="W25" s="237"/>
      <c r="X25" s="237"/>
      <c r="Y25" s="237"/>
      <c r="Z25" s="237"/>
      <c r="AA25" s="237"/>
      <c r="AB25" s="237"/>
      <c r="AC25" s="237"/>
      <c r="AD25" s="237"/>
    </row>
    <row r="26" spans="1:30" ht="13.5" thickBot="1" x14ac:dyDescent="0.25">
      <c r="A26" s="467" t="s">
        <v>381</v>
      </c>
      <c r="B26" s="468"/>
      <c r="C26" s="468"/>
      <c r="D26" s="219" t="str">
        <f>PRODUCT(C1,30)&amp;" Ед"</f>
        <v>30 Ед</v>
      </c>
      <c r="E26" s="237"/>
      <c r="F26" s="237"/>
      <c r="G26" s="237"/>
      <c r="H26" s="237"/>
      <c r="I26" s="237"/>
      <c r="J26" s="237"/>
      <c r="K26" s="237"/>
      <c r="L26" s="237"/>
      <c r="M26" s="237"/>
      <c r="N26" s="237"/>
      <c r="O26" s="237"/>
      <c r="P26" s="237"/>
      <c r="Q26" s="237"/>
      <c r="R26" s="237"/>
      <c r="S26" s="237"/>
      <c r="T26" s="237"/>
      <c r="U26" s="237"/>
      <c r="V26" s="237"/>
      <c r="W26" s="237"/>
      <c r="X26" s="237"/>
      <c r="Y26" s="237"/>
      <c r="Z26" s="237"/>
      <c r="AA26" s="237"/>
      <c r="AB26" s="237"/>
      <c r="AC26" s="237"/>
      <c r="AD26" s="237"/>
    </row>
    <row r="27" spans="1:30" x14ac:dyDescent="0.2">
      <c r="A27" s="464"/>
      <c r="B27" s="464"/>
      <c r="C27" s="237"/>
      <c r="D27" s="237"/>
      <c r="E27" s="237"/>
      <c r="F27" s="237"/>
      <c r="G27" s="237"/>
      <c r="H27" s="237"/>
      <c r="I27" s="237"/>
      <c r="J27" s="237"/>
      <c r="K27" s="237"/>
      <c r="L27" s="237"/>
      <c r="M27" s="237"/>
      <c r="N27" s="237"/>
      <c r="O27" s="237"/>
      <c r="P27" s="237"/>
      <c r="Q27" s="237"/>
      <c r="R27" s="237"/>
      <c r="S27" s="237"/>
      <c r="T27" s="237"/>
      <c r="U27" s="237"/>
      <c r="V27" s="237"/>
      <c r="W27" s="237"/>
      <c r="X27" s="237"/>
      <c r="Y27" s="237"/>
      <c r="Z27" s="237"/>
      <c r="AA27" s="237"/>
      <c r="AB27" s="237"/>
      <c r="AC27" s="237"/>
      <c r="AD27" s="237"/>
    </row>
    <row r="28" spans="1:30" x14ac:dyDescent="0.2">
      <c r="A28" s="237"/>
      <c r="B28" s="237"/>
      <c r="C28" s="237"/>
      <c r="D28" s="237"/>
      <c r="E28" s="237"/>
      <c r="F28" s="237"/>
      <c r="G28" s="237"/>
      <c r="H28" s="237"/>
      <c r="I28" s="237"/>
      <c r="J28" s="237"/>
      <c r="K28" s="237"/>
      <c r="L28" s="237"/>
      <c r="M28" s="237"/>
      <c r="N28" s="237"/>
      <c r="O28" s="237"/>
      <c r="P28" s="237"/>
      <c r="Q28" s="237"/>
      <c r="R28" s="237"/>
      <c r="S28" s="237"/>
      <c r="T28" s="237"/>
      <c r="U28" s="237"/>
      <c r="V28" s="237"/>
      <c r="W28" s="237"/>
      <c r="X28" s="237"/>
      <c r="Y28" s="237"/>
      <c r="Z28" s="237"/>
      <c r="AA28" s="237"/>
      <c r="AB28" s="237"/>
      <c r="AC28" s="237"/>
      <c r="AD28" s="237"/>
    </row>
    <row r="29" spans="1:30" ht="13.5" thickBot="1" x14ac:dyDescent="0.25">
      <c r="A29" s="237"/>
      <c r="B29" s="237"/>
      <c r="C29" s="237"/>
      <c r="D29" s="237"/>
      <c r="E29" s="237"/>
      <c r="F29" s="237"/>
      <c r="G29" s="237"/>
      <c r="H29" s="237"/>
      <c r="I29" s="237"/>
      <c r="J29" s="237"/>
      <c r="K29" s="237"/>
      <c r="L29" s="237"/>
      <c r="M29" s="237"/>
      <c r="N29" s="237"/>
      <c r="O29" s="237"/>
      <c r="P29" s="237"/>
      <c r="Q29" s="237"/>
      <c r="R29" s="237"/>
      <c r="S29" s="237"/>
      <c r="T29" s="237"/>
      <c r="U29" s="237"/>
      <c r="V29" s="237"/>
      <c r="W29" s="237"/>
      <c r="X29" s="237"/>
      <c r="Y29" s="237"/>
      <c r="Z29" s="237"/>
      <c r="AA29" s="237"/>
      <c r="AB29" s="237"/>
      <c r="AC29" s="237"/>
      <c r="AD29" s="237"/>
    </row>
    <row r="30" spans="1:30" x14ac:dyDescent="0.2">
      <c r="A30" s="489" t="s">
        <v>387</v>
      </c>
      <c r="B30" s="490"/>
      <c r="C30" s="490"/>
      <c r="D30" s="490"/>
      <c r="E30" s="490"/>
      <c r="F30" s="490"/>
      <c r="G30" s="490"/>
      <c r="H30" s="491"/>
      <c r="I30" s="485" t="s">
        <v>388</v>
      </c>
      <c r="J30" s="486"/>
      <c r="K30" s="487"/>
      <c r="L30" s="237"/>
      <c r="M30" s="237"/>
      <c r="N30" s="237"/>
      <c r="O30" s="237"/>
      <c r="P30" s="237"/>
      <c r="Q30" s="237"/>
      <c r="R30" s="237"/>
      <c r="S30" s="237"/>
      <c r="T30" s="237"/>
      <c r="U30" s="237"/>
      <c r="V30" s="237"/>
      <c r="W30" s="237"/>
      <c r="X30" s="237"/>
      <c r="Y30" s="237"/>
      <c r="Z30" s="237"/>
      <c r="AA30" s="237"/>
      <c r="AB30" s="237"/>
      <c r="AC30" s="237"/>
      <c r="AD30" s="237"/>
    </row>
    <row r="31" spans="1:30" x14ac:dyDescent="0.2">
      <c r="A31" s="488" t="s">
        <v>389</v>
      </c>
      <c r="B31" s="483"/>
      <c r="C31" s="483"/>
      <c r="D31" s="484"/>
      <c r="E31" s="272"/>
      <c r="F31" s="261"/>
      <c r="G31" s="492" t="s">
        <v>390</v>
      </c>
      <c r="H31" s="493"/>
      <c r="I31" s="273"/>
      <c r="J31" s="274"/>
      <c r="K31" s="275"/>
      <c r="L31" s="237"/>
      <c r="M31" s="237"/>
      <c r="N31" s="237"/>
      <c r="O31" s="237"/>
      <c r="P31" s="237"/>
      <c r="Q31" s="237"/>
      <c r="R31" s="237"/>
      <c r="S31" s="237"/>
      <c r="T31" s="237"/>
      <c r="U31" s="237"/>
      <c r="V31" s="237"/>
      <c r="W31" s="237"/>
      <c r="X31" s="237"/>
      <c r="Y31" s="237"/>
      <c r="Z31" s="237"/>
      <c r="AA31" s="237"/>
      <c r="AB31" s="237"/>
      <c r="AC31" s="237"/>
      <c r="AD31" s="237"/>
    </row>
    <row r="32" spans="1:30" x14ac:dyDescent="0.2">
      <c r="A32" s="488" t="s">
        <v>391</v>
      </c>
      <c r="B32" s="483"/>
      <c r="C32" s="483"/>
      <c r="D32" s="484"/>
      <c r="E32" s="272"/>
      <c r="F32" s="250"/>
      <c r="G32" s="262"/>
      <c r="H32" s="265"/>
      <c r="I32" s="484" t="s">
        <v>392</v>
      </c>
      <c r="J32" s="461"/>
      <c r="K32" s="283"/>
      <c r="L32" s="237"/>
      <c r="M32" s="237"/>
      <c r="N32" s="237"/>
      <c r="O32" s="237"/>
      <c r="P32" s="237"/>
      <c r="Q32" s="237"/>
      <c r="R32" s="237"/>
      <c r="S32" s="237"/>
      <c r="T32" s="237"/>
      <c r="U32" s="237"/>
      <c r="V32" s="237"/>
      <c r="W32" s="237"/>
      <c r="X32" s="237"/>
      <c r="Y32" s="237"/>
      <c r="Z32" s="237"/>
      <c r="AA32" s="237"/>
      <c r="AB32" s="237"/>
      <c r="AC32" s="237"/>
      <c r="AD32" s="237"/>
    </row>
    <row r="33" spans="1:30" x14ac:dyDescent="0.2">
      <c r="A33" s="488" t="s">
        <v>393</v>
      </c>
      <c r="B33" s="483"/>
      <c r="C33" s="483"/>
      <c r="D33" s="484"/>
      <c r="E33" s="272">
        <v>0.33</v>
      </c>
      <c r="F33" s="250"/>
      <c r="G33" s="250"/>
      <c r="H33" s="248"/>
      <c r="I33" s="484" t="s">
        <v>394</v>
      </c>
      <c r="J33" s="461"/>
      <c r="K33" s="283"/>
      <c r="L33" s="237"/>
      <c r="M33" s="237"/>
      <c r="N33" s="237"/>
      <c r="O33" s="237"/>
      <c r="P33" s="237"/>
      <c r="Q33" s="237"/>
      <c r="R33" s="237"/>
      <c r="S33" s="237"/>
      <c r="T33" s="237"/>
      <c r="U33" s="237"/>
      <c r="V33" s="237"/>
      <c r="W33" s="237"/>
      <c r="X33" s="237"/>
      <c r="Y33" s="237"/>
      <c r="Z33" s="237"/>
      <c r="AA33" s="237"/>
      <c r="AB33" s="237"/>
      <c r="AC33" s="237"/>
      <c r="AD33" s="237"/>
    </row>
    <row r="34" spans="1:30" x14ac:dyDescent="0.2">
      <c r="A34" s="249"/>
      <c r="B34" s="250"/>
      <c r="C34" s="250"/>
      <c r="D34" s="250"/>
      <c r="E34" s="250"/>
      <c r="F34" s="250"/>
      <c r="G34" s="250"/>
      <c r="H34" s="248"/>
      <c r="I34" s="282"/>
      <c r="J34" s="279"/>
      <c r="K34" s="280"/>
      <c r="L34" s="237"/>
      <c r="M34" s="237"/>
      <c r="N34" s="237"/>
      <c r="O34" s="237"/>
      <c r="P34" s="237"/>
      <c r="Q34" s="237"/>
      <c r="R34" s="237"/>
      <c r="S34" s="237"/>
      <c r="T34" s="237"/>
      <c r="U34" s="237"/>
      <c r="V34" s="237"/>
      <c r="W34" s="237"/>
      <c r="X34" s="237"/>
      <c r="Y34" s="237"/>
      <c r="Z34" s="237"/>
      <c r="AA34" s="237"/>
      <c r="AB34" s="237"/>
      <c r="AC34" s="237"/>
      <c r="AD34" s="237"/>
    </row>
    <row r="35" spans="1:30" x14ac:dyDescent="0.2">
      <c r="A35" s="249"/>
      <c r="B35" s="250"/>
      <c r="C35" s="257"/>
      <c r="D35" s="257"/>
      <c r="E35" s="257"/>
      <c r="F35" s="250"/>
      <c r="G35" s="250"/>
      <c r="H35" s="248"/>
      <c r="I35" s="488" t="s">
        <v>395</v>
      </c>
      <c r="J35" s="484"/>
      <c r="K35" s="281">
        <f>ROUND((SQRT(K32*K33))*0.01672,2)</f>
        <v>0</v>
      </c>
      <c r="L35" s="237"/>
      <c r="M35" s="237"/>
      <c r="N35" s="237"/>
      <c r="O35" s="237"/>
      <c r="P35" s="237"/>
      <c r="Q35" s="237"/>
      <c r="R35" s="237"/>
      <c r="S35" s="237"/>
      <c r="T35" s="237"/>
      <c r="U35" s="237"/>
      <c r="V35" s="237"/>
      <c r="W35" s="237"/>
      <c r="X35" s="237"/>
      <c r="Y35" s="237"/>
      <c r="Z35" s="237"/>
      <c r="AA35" s="237"/>
      <c r="AB35" s="237"/>
      <c r="AC35" s="237"/>
      <c r="AD35" s="237"/>
    </row>
    <row r="36" spans="1:30" x14ac:dyDescent="0.2">
      <c r="A36" s="249"/>
      <c r="B36" s="264"/>
      <c r="C36" s="494" t="s">
        <v>396</v>
      </c>
      <c r="D36" s="495"/>
      <c r="E36" s="271" t="e">
        <f>ROUND((E31/(E32*0.0113))*E33,1)</f>
        <v>#DIV/0!</v>
      </c>
      <c r="F36" s="263"/>
      <c r="G36" s="235" t="s">
        <v>397</v>
      </c>
      <c r="H36" s="266">
        <v>35.4</v>
      </c>
      <c r="I36" s="273"/>
      <c r="J36" s="274"/>
      <c r="K36" s="275"/>
      <c r="L36" s="237"/>
      <c r="M36" s="237"/>
      <c r="N36" s="237"/>
      <c r="O36" s="237"/>
      <c r="P36" s="237"/>
      <c r="Q36" s="237"/>
      <c r="R36" s="237"/>
      <c r="S36" s="237"/>
      <c r="T36" s="237"/>
      <c r="U36" s="237"/>
      <c r="V36" s="237"/>
      <c r="W36" s="237"/>
      <c r="X36" s="237"/>
      <c r="Y36" s="237"/>
      <c r="Z36" s="237"/>
      <c r="AA36" s="237"/>
      <c r="AB36" s="237"/>
      <c r="AC36" s="237"/>
      <c r="AD36" s="237"/>
    </row>
    <row r="37" spans="1:30" x14ac:dyDescent="0.2">
      <c r="A37" s="249"/>
      <c r="B37" s="264"/>
      <c r="C37" s="483" t="s">
        <v>398</v>
      </c>
      <c r="D37" s="484"/>
      <c r="E37" s="234" t="e">
        <f>ROUND((E36*100)/H36,0)</f>
        <v>#DIV/0!</v>
      </c>
      <c r="F37" s="250"/>
      <c r="G37" s="262"/>
      <c r="H37" s="265"/>
      <c r="I37" s="273"/>
      <c r="J37" s="274"/>
      <c r="K37" s="275"/>
      <c r="L37" s="237"/>
      <c r="M37" s="237"/>
      <c r="N37" s="237"/>
      <c r="O37" s="237"/>
      <c r="P37" s="237"/>
      <c r="Q37" s="237"/>
      <c r="R37" s="237"/>
      <c r="S37" s="237"/>
      <c r="T37" s="237"/>
      <c r="U37" s="237"/>
      <c r="V37" s="237"/>
      <c r="W37" s="237"/>
      <c r="X37" s="237"/>
      <c r="Y37" s="237"/>
      <c r="Z37" s="237"/>
      <c r="AA37" s="237"/>
      <c r="AB37" s="237"/>
      <c r="AC37" s="237"/>
      <c r="AD37" s="237"/>
    </row>
    <row r="38" spans="1:30" ht="13.5" thickBot="1" x14ac:dyDescent="0.25">
      <c r="A38" s="267"/>
      <c r="B38" s="268"/>
      <c r="C38" s="269"/>
      <c r="D38" s="269"/>
      <c r="E38" s="269"/>
      <c r="F38" s="268"/>
      <c r="G38" s="268"/>
      <c r="H38" s="270"/>
      <c r="I38" s="276"/>
      <c r="J38" s="277"/>
      <c r="K38" s="278"/>
      <c r="L38" s="237"/>
      <c r="M38" s="237"/>
      <c r="N38" s="237"/>
      <c r="O38" s="237"/>
      <c r="P38" s="237"/>
      <c r="Q38" s="237"/>
      <c r="R38" s="237"/>
      <c r="S38" s="237"/>
      <c r="T38" s="237"/>
      <c r="U38" s="237"/>
      <c r="V38" s="237"/>
      <c r="W38" s="237"/>
      <c r="X38" s="237"/>
      <c r="Y38" s="237"/>
      <c r="Z38" s="237"/>
      <c r="AA38" s="237"/>
      <c r="AB38" s="237"/>
      <c r="AC38" s="237"/>
      <c r="AD38" s="237"/>
    </row>
    <row r="39" spans="1:30" x14ac:dyDescent="0.2">
      <c r="A39" s="237"/>
      <c r="B39" s="237"/>
      <c r="C39" s="237"/>
      <c r="D39" s="237"/>
      <c r="E39" s="237"/>
      <c r="F39" s="237"/>
      <c r="G39" s="237"/>
      <c r="H39" s="237"/>
      <c r="I39" s="237"/>
      <c r="J39" s="237"/>
      <c r="K39" s="237"/>
      <c r="L39" s="237"/>
      <c r="M39" s="237"/>
      <c r="N39" s="237"/>
      <c r="O39" s="237"/>
      <c r="P39" s="237"/>
      <c r="Q39" s="237"/>
      <c r="R39" s="237"/>
      <c r="S39" s="237"/>
      <c r="T39" s="237"/>
      <c r="U39" s="237"/>
      <c r="V39" s="237"/>
      <c r="W39" s="237"/>
      <c r="X39" s="237"/>
      <c r="Y39" s="237"/>
      <c r="Z39" s="237"/>
      <c r="AA39" s="237"/>
      <c r="AB39" s="237"/>
      <c r="AC39" s="237"/>
      <c r="AD39" s="237"/>
    </row>
    <row r="40" spans="1:30" x14ac:dyDescent="0.2">
      <c r="A40" s="237"/>
      <c r="B40" s="237"/>
      <c r="C40" s="237"/>
      <c r="D40" s="237"/>
      <c r="E40" s="237"/>
      <c r="F40" s="237"/>
      <c r="G40" s="237"/>
      <c r="H40" s="237"/>
      <c r="I40" s="237"/>
      <c r="J40" s="237"/>
      <c r="K40" s="237"/>
      <c r="L40" s="237"/>
      <c r="M40" s="237"/>
      <c r="N40" s="237"/>
      <c r="O40" s="237"/>
      <c r="P40" s="237"/>
      <c r="Q40" s="237"/>
      <c r="R40" s="237"/>
      <c r="S40" s="237"/>
      <c r="T40" s="237"/>
      <c r="U40" s="237"/>
      <c r="V40" s="237"/>
      <c r="W40" s="237"/>
      <c r="X40" s="237"/>
      <c r="Y40" s="237"/>
      <c r="Z40" s="237"/>
      <c r="AA40" s="237"/>
      <c r="AB40" s="237"/>
      <c r="AC40" s="237"/>
      <c r="AD40" s="237"/>
    </row>
    <row r="41" spans="1:30" x14ac:dyDescent="0.2">
      <c r="A41" s="237"/>
      <c r="B41" s="237"/>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row>
    <row r="42" spans="1:30" x14ac:dyDescent="0.2">
      <c r="A42" s="237"/>
      <c r="B42" s="237"/>
      <c r="C42" s="237"/>
      <c r="D42" s="237"/>
      <c r="E42" s="237"/>
      <c r="F42" s="237"/>
      <c r="G42" s="237"/>
      <c r="H42" s="237"/>
      <c r="I42" s="237"/>
      <c r="J42" s="237"/>
      <c r="K42" s="237"/>
      <c r="L42" s="237"/>
      <c r="M42" s="237"/>
      <c r="N42" s="237"/>
      <c r="O42" s="237"/>
      <c r="P42" s="237"/>
      <c r="Q42" s="237"/>
      <c r="R42" s="237"/>
      <c r="S42" s="237"/>
      <c r="T42" s="237"/>
      <c r="U42" s="237"/>
      <c r="V42" s="237"/>
      <c r="W42" s="237"/>
      <c r="X42" s="237"/>
      <c r="Y42" s="237"/>
      <c r="Z42" s="237"/>
      <c r="AA42" s="237"/>
      <c r="AB42" s="237"/>
      <c r="AC42" s="237"/>
      <c r="AD42" s="237"/>
    </row>
    <row r="43" spans="1:30" x14ac:dyDescent="0.2">
      <c r="A43" s="237"/>
      <c r="B43" s="237"/>
      <c r="C43" s="237"/>
      <c r="D43" s="237"/>
      <c r="E43" s="237"/>
      <c r="F43" s="237"/>
      <c r="G43" s="237"/>
      <c r="H43" s="237"/>
      <c r="I43" s="237"/>
      <c r="J43" s="237"/>
      <c r="K43" s="237"/>
      <c r="L43" s="237"/>
      <c r="M43" s="237"/>
      <c r="N43" s="237"/>
      <c r="O43" s="237"/>
      <c r="P43" s="237"/>
      <c r="Q43" s="237"/>
      <c r="R43" s="237"/>
      <c r="S43" s="237"/>
      <c r="T43" s="237"/>
      <c r="U43" s="237"/>
      <c r="V43" s="237"/>
      <c r="W43" s="237"/>
      <c r="X43" s="237"/>
      <c r="Y43" s="237"/>
      <c r="Z43" s="237"/>
      <c r="AA43" s="237"/>
      <c r="AB43" s="237"/>
      <c r="AC43" s="237"/>
      <c r="AD43" s="237"/>
    </row>
    <row r="44" spans="1:30" x14ac:dyDescent="0.2">
      <c r="A44" s="237"/>
      <c r="B44" s="237"/>
      <c r="C44" s="237"/>
      <c r="D44" s="237"/>
      <c r="E44" s="237"/>
      <c r="F44" s="237"/>
      <c r="G44" s="237"/>
      <c r="H44" s="237"/>
      <c r="I44" s="237"/>
      <c r="J44" s="237"/>
      <c r="K44" s="237"/>
      <c r="L44" s="237"/>
      <c r="M44" s="237"/>
      <c r="N44" s="237"/>
      <c r="O44" s="237"/>
      <c r="P44" s="237"/>
      <c r="Q44" s="237"/>
      <c r="R44" s="237"/>
      <c r="S44" s="237"/>
      <c r="T44" s="237"/>
      <c r="U44" s="237"/>
      <c r="V44" s="237"/>
      <c r="W44" s="237"/>
      <c r="X44" s="237"/>
      <c r="Y44" s="237"/>
      <c r="Z44" s="237"/>
      <c r="AA44" s="237"/>
      <c r="AB44" s="237"/>
      <c r="AC44" s="237"/>
      <c r="AD44" s="237"/>
    </row>
    <row r="45" spans="1:30" x14ac:dyDescent="0.2">
      <c r="A45" s="237"/>
      <c r="B45" s="237"/>
      <c r="C45" s="237"/>
      <c r="D45" s="237"/>
      <c r="E45" s="237"/>
      <c r="F45" s="237"/>
      <c r="G45" s="237"/>
      <c r="H45" s="237"/>
      <c r="I45" s="237"/>
      <c r="J45" s="237"/>
      <c r="K45" s="237"/>
      <c r="L45" s="237"/>
      <c r="M45" s="237"/>
      <c r="N45" s="237"/>
      <c r="O45" s="237"/>
      <c r="P45" s="237"/>
      <c r="Q45" s="237"/>
      <c r="R45" s="237"/>
      <c r="S45" s="237"/>
      <c r="T45" s="237"/>
      <c r="U45" s="237"/>
      <c r="V45" s="237"/>
      <c r="W45" s="237"/>
      <c r="X45" s="237"/>
      <c r="Y45" s="237"/>
      <c r="Z45" s="237"/>
      <c r="AA45" s="237"/>
      <c r="AB45" s="237"/>
      <c r="AC45" s="237"/>
      <c r="AD45" s="237"/>
    </row>
    <row r="46" spans="1:30" x14ac:dyDescent="0.2">
      <c r="A46" s="237"/>
      <c r="B46" s="237"/>
      <c r="C46" s="237"/>
      <c r="D46" s="237"/>
      <c r="E46" s="237"/>
      <c r="F46" s="237"/>
      <c r="G46" s="237"/>
      <c r="H46" s="237"/>
      <c r="I46" s="237"/>
      <c r="J46" s="237"/>
      <c r="K46" s="237"/>
      <c r="L46" s="237"/>
      <c r="M46" s="237"/>
      <c r="N46" s="237"/>
      <c r="O46" s="237"/>
      <c r="P46" s="237"/>
      <c r="Q46" s="237"/>
      <c r="R46" s="237"/>
      <c r="S46" s="237"/>
      <c r="T46" s="237"/>
      <c r="U46" s="237"/>
      <c r="V46" s="237"/>
      <c r="W46" s="237"/>
      <c r="X46" s="237"/>
      <c r="Y46" s="237"/>
      <c r="Z46" s="237"/>
      <c r="AA46" s="237"/>
      <c r="AB46" s="237"/>
      <c r="AC46" s="237"/>
      <c r="AD46" s="237"/>
    </row>
    <row r="47" spans="1:30" x14ac:dyDescent="0.2">
      <c r="A47" s="237"/>
      <c r="B47" s="237"/>
      <c r="C47" s="237"/>
      <c r="D47" s="237"/>
      <c r="E47" s="237"/>
      <c r="F47" s="237"/>
      <c r="G47" s="237"/>
      <c r="H47" s="237"/>
      <c r="I47" s="237"/>
      <c r="J47" s="237"/>
      <c r="K47" s="237"/>
      <c r="L47" s="237"/>
      <c r="M47" s="237"/>
      <c r="N47" s="237"/>
      <c r="O47" s="237"/>
      <c r="P47" s="237"/>
      <c r="Q47" s="237"/>
      <c r="R47" s="237"/>
      <c r="S47" s="237"/>
      <c r="T47" s="237"/>
      <c r="U47" s="237"/>
      <c r="V47" s="237"/>
      <c r="W47" s="237"/>
      <c r="X47" s="237"/>
      <c r="Y47" s="237"/>
      <c r="Z47" s="237"/>
      <c r="AA47" s="237"/>
      <c r="AB47" s="237"/>
      <c r="AC47" s="237"/>
      <c r="AD47" s="237"/>
    </row>
    <row r="48" spans="1:30" x14ac:dyDescent="0.2">
      <c r="A48" s="237"/>
      <c r="B48" s="237"/>
      <c r="C48" s="237"/>
      <c r="D48" s="237"/>
      <c r="E48" s="237"/>
      <c r="F48" s="237"/>
      <c r="G48" s="237"/>
      <c r="H48" s="237"/>
      <c r="I48" s="237"/>
      <c r="J48" s="237"/>
      <c r="K48" s="237"/>
      <c r="L48" s="237"/>
      <c r="M48" s="237"/>
      <c r="N48" s="237"/>
      <c r="O48" s="237"/>
      <c r="P48" s="237"/>
      <c r="Q48" s="237"/>
      <c r="R48" s="237"/>
      <c r="S48" s="237"/>
      <c r="T48" s="237"/>
      <c r="U48" s="237"/>
      <c r="V48" s="237"/>
      <c r="W48" s="237"/>
      <c r="X48" s="237"/>
      <c r="Y48" s="237"/>
      <c r="Z48" s="237"/>
      <c r="AA48" s="237"/>
      <c r="AB48" s="237"/>
      <c r="AC48" s="237"/>
      <c r="AD48" s="237"/>
    </row>
    <row r="49" spans="1:30" x14ac:dyDescent="0.2">
      <c r="A49" s="237"/>
      <c r="B49" s="237"/>
      <c r="C49" s="237"/>
      <c r="D49" s="237"/>
      <c r="E49" s="237"/>
      <c r="F49" s="237"/>
      <c r="G49" s="237"/>
      <c r="H49" s="237"/>
      <c r="I49" s="237"/>
      <c r="J49" s="237"/>
      <c r="K49" s="237"/>
      <c r="L49" s="237"/>
      <c r="M49" s="237"/>
      <c r="N49" s="237"/>
      <c r="O49" s="237"/>
      <c r="P49" s="237"/>
      <c r="Q49" s="237"/>
      <c r="R49" s="237"/>
      <c r="S49" s="237"/>
      <c r="T49" s="237"/>
      <c r="U49" s="237"/>
      <c r="V49" s="237"/>
      <c r="W49" s="237"/>
      <c r="X49" s="237"/>
      <c r="Y49" s="237"/>
      <c r="Z49" s="237"/>
      <c r="AA49" s="237"/>
      <c r="AB49" s="237"/>
      <c r="AC49" s="237"/>
      <c r="AD49" s="237"/>
    </row>
    <row r="50" spans="1:30" x14ac:dyDescent="0.2">
      <c r="A50" s="237"/>
      <c r="B50" s="237"/>
      <c r="C50" s="237"/>
      <c r="D50" s="237"/>
      <c r="E50" s="237"/>
      <c r="F50" s="237"/>
      <c r="G50" s="237"/>
      <c r="H50" s="237"/>
      <c r="I50" s="237"/>
      <c r="J50" s="237"/>
      <c r="K50" s="237"/>
      <c r="L50" s="237"/>
      <c r="M50" s="237"/>
      <c r="N50" s="237"/>
      <c r="O50" s="237"/>
      <c r="P50" s="237"/>
      <c r="Q50" s="237"/>
      <c r="R50" s="237"/>
      <c r="S50" s="237"/>
      <c r="T50" s="237"/>
      <c r="U50" s="237"/>
      <c r="V50" s="237"/>
      <c r="W50" s="237"/>
      <c r="X50" s="237"/>
      <c r="Y50" s="237"/>
      <c r="Z50" s="237"/>
      <c r="AA50" s="237"/>
      <c r="AB50" s="237"/>
      <c r="AC50" s="237"/>
      <c r="AD50" s="237"/>
    </row>
    <row r="51" spans="1:30" x14ac:dyDescent="0.2">
      <c r="A51" s="237"/>
      <c r="B51" s="237"/>
      <c r="C51" s="237"/>
      <c r="D51" s="237"/>
      <c r="E51" s="237"/>
      <c r="F51" s="237"/>
      <c r="G51" s="237"/>
      <c r="H51" s="237"/>
      <c r="I51" s="237"/>
      <c r="J51" s="237"/>
      <c r="K51" s="237"/>
      <c r="L51" s="237"/>
      <c r="M51" s="237"/>
      <c r="N51" s="237"/>
      <c r="O51" s="237"/>
      <c r="P51" s="237"/>
      <c r="Q51" s="237"/>
      <c r="R51" s="237"/>
      <c r="S51" s="237"/>
      <c r="T51" s="237"/>
      <c r="U51" s="237"/>
      <c r="V51" s="237"/>
      <c r="W51" s="237"/>
      <c r="X51" s="237"/>
      <c r="Y51" s="237"/>
      <c r="Z51" s="237"/>
      <c r="AA51" s="237"/>
      <c r="AB51" s="237"/>
      <c r="AC51" s="237"/>
      <c r="AD51" s="237"/>
    </row>
    <row r="52" spans="1:30" x14ac:dyDescent="0.2">
      <c r="A52" s="237"/>
      <c r="B52" s="237"/>
      <c r="C52" s="237"/>
      <c r="D52" s="237"/>
      <c r="E52" s="237"/>
      <c r="F52" s="237"/>
      <c r="G52" s="237"/>
      <c r="H52" s="237"/>
      <c r="I52" s="237"/>
      <c r="J52" s="237"/>
      <c r="K52" s="237"/>
      <c r="L52" s="237"/>
      <c r="M52" s="237"/>
      <c r="N52" s="237"/>
      <c r="O52" s="237"/>
      <c r="P52" s="237"/>
      <c r="Q52" s="237"/>
      <c r="R52" s="237"/>
      <c r="S52" s="237"/>
      <c r="T52" s="237"/>
      <c r="U52" s="237"/>
      <c r="V52" s="237"/>
      <c r="W52" s="237"/>
      <c r="X52" s="237"/>
      <c r="Y52" s="237"/>
      <c r="Z52" s="237"/>
      <c r="AA52" s="237"/>
      <c r="AB52" s="237"/>
      <c r="AC52" s="237"/>
      <c r="AD52" s="237"/>
    </row>
    <row r="53" spans="1:30" x14ac:dyDescent="0.2">
      <c r="A53" s="237"/>
      <c r="B53" s="237"/>
      <c r="C53" s="237"/>
      <c r="D53" s="237"/>
      <c r="E53" s="237"/>
      <c r="F53" s="237"/>
      <c r="G53" s="237"/>
      <c r="H53" s="237"/>
      <c r="I53" s="237"/>
      <c r="J53" s="237"/>
      <c r="K53" s="237"/>
      <c r="L53" s="237"/>
      <c r="M53" s="237"/>
      <c r="N53" s="237"/>
      <c r="O53" s="237"/>
      <c r="P53" s="237"/>
      <c r="Q53" s="237"/>
      <c r="R53" s="237"/>
      <c r="S53" s="237"/>
      <c r="T53" s="237"/>
      <c r="U53" s="237"/>
      <c r="V53" s="237"/>
      <c r="W53" s="237"/>
      <c r="X53" s="237"/>
      <c r="Y53" s="237"/>
      <c r="Z53" s="237"/>
      <c r="AA53" s="237"/>
      <c r="AB53" s="237"/>
      <c r="AC53" s="237"/>
      <c r="AD53" s="237"/>
    </row>
    <row r="54" spans="1:30" x14ac:dyDescent="0.2">
      <c r="A54" s="237"/>
      <c r="B54" s="237"/>
      <c r="C54" s="237"/>
      <c r="D54" s="237"/>
      <c r="E54" s="237"/>
      <c r="F54" s="237"/>
      <c r="G54" s="237"/>
      <c r="H54" s="237"/>
      <c r="I54" s="237"/>
      <c r="J54" s="237"/>
      <c r="K54" s="237"/>
      <c r="L54" s="237"/>
      <c r="M54" s="237"/>
      <c r="N54" s="237"/>
      <c r="O54" s="237"/>
      <c r="P54" s="237"/>
      <c r="Q54" s="237"/>
      <c r="R54" s="237"/>
      <c r="S54" s="237"/>
      <c r="T54" s="237"/>
      <c r="U54" s="237"/>
      <c r="V54" s="237"/>
      <c r="W54" s="237"/>
      <c r="X54" s="237"/>
      <c r="Y54" s="237"/>
      <c r="Z54" s="237"/>
      <c r="AA54" s="237"/>
      <c r="AB54" s="237"/>
      <c r="AC54" s="237"/>
      <c r="AD54" s="237"/>
    </row>
    <row r="55" spans="1:30" x14ac:dyDescent="0.2">
      <c r="A55" s="237"/>
      <c r="B55" s="237"/>
      <c r="C55" s="237"/>
      <c r="D55" s="237"/>
      <c r="E55" s="237"/>
      <c r="F55" s="237"/>
      <c r="G55" s="237"/>
      <c r="H55" s="237"/>
      <c r="I55" s="237"/>
      <c r="J55" s="237"/>
      <c r="K55" s="237"/>
      <c r="L55" s="237"/>
      <c r="M55" s="237"/>
      <c r="N55" s="237"/>
      <c r="O55" s="237"/>
      <c r="P55" s="237"/>
      <c r="Q55" s="237"/>
      <c r="R55" s="237"/>
      <c r="S55" s="237"/>
      <c r="T55" s="237"/>
      <c r="U55" s="237"/>
      <c r="V55" s="237"/>
      <c r="W55" s="237"/>
      <c r="X55" s="237"/>
      <c r="Y55" s="237"/>
      <c r="Z55" s="237"/>
      <c r="AA55" s="237"/>
      <c r="AB55" s="237"/>
      <c r="AC55" s="237"/>
      <c r="AD55" s="237"/>
    </row>
    <row r="56" spans="1:30" x14ac:dyDescent="0.2">
      <c r="A56" s="237"/>
      <c r="B56" s="237"/>
      <c r="C56" s="237"/>
      <c r="D56" s="237"/>
      <c r="E56" s="237"/>
      <c r="F56" s="237"/>
      <c r="G56" s="237"/>
      <c r="H56" s="237"/>
      <c r="I56" s="237"/>
      <c r="J56" s="237"/>
      <c r="K56" s="237"/>
      <c r="L56" s="237"/>
      <c r="M56" s="237"/>
      <c r="N56" s="237"/>
      <c r="O56" s="237"/>
      <c r="P56" s="237"/>
      <c r="Q56" s="237"/>
      <c r="R56" s="237"/>
      <c r="S56" s="237"/>
      <c r="T56" s="237"/>
      <c r="U56" s="237"/>
      <c r="V56" s="237"/>
      <c r="W56" s="237"/>
      <c r="X56" s="237"/>
      <c r="Y56" s="237"/>
      <c r="Z56" s="237"/>
      <c r="AA56" s="237"/>
      <c r="AB56" s="237"/>
      <c r="AC56" s="237"/>
      <c r="AD56" s="237"/>
    </row>
    <row r="57" spans="1:30" x14ac:dyDescent="0.2">
      <c r="A57" s="237"/>
      <c r="B57" s="237"/>
      <c r="C57" s="237"/>
      <c r="D57" s="237"/>
      <c r="E57" s="237"/>
      <c r="F57" s="237"/>
      <c r="G57" s="237"/>
      <c r="H57" s="237"/>
      <c r="I57" s="237"/>
      <c r="J57" s="237"/>
      <c r="K57" s="237"/>
      <c r="L57" s="237"/>
      <c r="M57" s="237"/>
      <c r="N57" s="237"/>
      <c r="O57" s="237"/>
      <c r="P57" s="237"/>
      <c r="Q57" s="237"/>
      <c r="R57" s="237"/>
      <c r="S57" s="237"/>
      <c r="T57" s="237"/>
      <c r="U57" s="237"/>
      <c r="V57" s="237"/>
      <c r="W57" s="237"/>
      <c r="X57" s="237"/>
      <c r="Y57" s="237"/>
      <c r="Z57" s="237"/>
      <c r="AA57" s="237"/>
      <c r="AB57" s="237"/>
      <c r="AC57" s="237"/>
      <c r="AD57" s="237"/>
    </row>
    <row r="58" spans="1:30" x14ac:dyDescent="0.2">
      <c r="A58" s="237"/>
      <c r="B58" s="237"/>
      <c r="C58" s="237"/>
      <c r="D58" s="237"/>
      <c r="E58" s="237"/>
      <c r="F58" s="237"/>
      <c r="G58" s="237"/>
      <c r="H58" s="237"/>
      <c r="I58" s="237"/>
      <c r="J58" s="237"/>
      <c r="K58" s="237"/>
      <c r="L58" s="237"/>
      <c r="M58" s="237"/>
      <c r="N58" s="237"/>
      <c r="O58" s="237"/>
      <c r="P58" s="237"/>
      <c r="Q58" s="237"/>
      <c r="R58" s="237"/>
      <c r="S58" s="237"/>
      <c r="T58" s="237"/>
      <c r="U58" s="237"/>
      <c r="V58" s="237"/>
      <c r="W58" s="237"/>
      <c r="X58" s="237"/>
      <c r="Y58" s="237"/>
      <c r="Z58" s="237"/>
      <c r="AA58" s="237"/>
      <c r="AB58" s="237"/>
      <c r="AC58" s="237"/>
      <c r="AD58" s="237"/>
    </row>
    <row r="59" spans="1:30" x14ac:dyDescent="0.2">
      <c r="A59" s="237"/>
      <c r="B59" s="237"/>
      <c r="C59" s="237"/>
      <c r="D59" s="237"/>
      <c r="E59" s="237"/>
      <c r="F59" s="237"/>
      <c r="G59" s="237"/>
      <c r="H59" s="237"/>
      <c r="I59" s="237"/>
      <c r="J59" s="237"/>
      <c r="K59" s="237"/>
      <c r="L59" s="237"/>
      <c r="M59" s="237"/>
      <c r="N59" s="237"/>
      <c r="O59" s="237"/>
      <c r="P59" s="237"/>
      <c r="Q59" s="237"/>
      <c r="R59" s="237"/>
      <c r="S59" s="237"/>
      <c r="T59" s="237"/>
      <c r="U59" s="237"/>
      <c r="V59" s="237"/>
      <c r="W59" s="237"/>
      <c r="X59" s="237"/>
      <c r="Y59" s="237"/>
      <c r="Z59" s="237"/>
      <c r="AA59" s="237"/>
      <c r="AB59" s="237"/>
      <c r="AC59" s="237"/>
      <c r="AD59" s="237"/>
    </row>
    <row r="60" spans="1:30" x14ac:dyDescent="0.2">
      <c r="A60" s="237"/>
      <c r="B60" s="237"/>
      <c r="C60" s="237"/>
      <c r="D60" s="237"/>
      <c r="E60" s="237"/>
      <c r="F60" s="237"/>
      <c r="G60" s="237"/>
      <c r="H60" s="237"/>
      <c r="I60" s="237"/>
      <c r="J60" s="237"/>
      <c r="K60" s="237"/>
      <c r="L60" s="237"/>
      <c r="M60" s="237"/>
      <c r="N60" s="237"/>
      <c r="O60" s="237"/>
      <c r="P60" s="237"/>
      <c r="Q60" s="237"/>
      <c r="R60" s="237"/>
      <c r="S60" s="237"/>
      <c r="T60" s="237"/>
      <c r="U60" s="237"/>
      <c r="V60" s="237"/>
      <c r="W60" s="237"/>
      <c r="X60" s="237"/>
      <c r="Y60" s="237"/>
      <c r="Z60" s="237"/>
      <c r="AA60" s="237"/>
      <c r="AB60" s="237"/>
      <c r="AC60" s="237"/>
      <c r="AD60" s="237"/>
    </row>
  </sheetData>
  <mergeCells count="35">
    <mergeCell ref="C37:D37"/>
    <mergeCell ref="I30:K30"/>
    <mergeCell ref="I32:J32"/>
    <mergeCell ref="I33:J33"/>
    <mergeCell ref="I35:J35"/>
    <mergeCell ref="A30:H30"/>
    <mergeCell ref="A32:D32"/>
    <mergeCell ref="G31:H31"/>
    <mergeCell ref="A31:D31"/>
    <mergeCell ref="A33:D33"/>
    <mergeCell ref="C36:D36"/>
    <mergeCell ref="A22:C22"/>
    <mergeCell ref="A15:G19"/>
    <mergeCell ref="J19:M21"/>
    <mergeCell ref="B5:C5"/>
    <mergeCell ref="A8:B8"/>
    <mergeCell ref="A10:B10"/>
    <mergeCell ref="A11:B11"/>
    <mergeCell ref="A12:B12"/>
    <mergeCell ref="C14:D14"/>
    <mergeCell ref="J9:K9"/>
    <mergeCell ref="J12:K12"/>
    <mergeCell ref="A27:B27"/>
    <mergeCell ref="A23:C23"/>
    <mergeCell ref="A24:C24"/>
    <mergeCell ref="A25:C25"/>
    <mergeCell ref="A26:C26"/>
    <mergeCell ref="A1:B1"/>
    <mergeCell ref="J1:M1"/>
    <mergeCell ref="J3:L3"/>
    <mergeCell ref="J7:K7"/>
    <mergeCell ref="J8:K8"/>
    <mergeCell ref="A3:C3"/>
    <mergeCell ref="E3:F3"/>
    <mergeCell ref="J4:L4"/>
  </mergeCells>
  <dataValidations count="1">
    <dataValidation type="list" allowBlank="1" showInputMessage="1" showErrorMessage="1" sqref="H36">
      <mc:AlternateContent xmlns:x12ac="http://schemas.microsoft.com/office/spreadsheetml/2011/1/ac" xmlns:mc="http://schemas.openxmlformats.org/markup-compatibility/2006">
        <mc:Choice Requires="x12ac">
          <x12ac:list>14," 44,3"," 35,4"," 67,4"," 20,8"," 39,0"," 36,8"," 46,9"," 85,3"," 87,4"," 96,2"," 105,2"," 111,2"," 114,1"," 111,3", 110, 116," 117,2", 112</x12ac:list>
        </mc:Choice>
        <mc:Fallback>
          <formula1>"14, 44,3, 35,4, 67,4, 20,8, 39,0, 36,8, 46,9, 85,3, 87,4, 96,2, 105,2, 111,2, 114,1, 111,3, 110, 116, 117,2, 112"</formula1>
        </mc:Fallback>
      </mc:AlternateContent>
    </dataValidation>
  </dataValidations>
  <pageMargins left="0.7" right="0.7" top="0.75" bottom="0.75" header="0.3" footer="0.3"/>
  <pageSetup paperSize="9" orientation="portrait" horizontalDpi="4294967294" verticalDpi="4294967294"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tabColor indexed="11"/>
  </sheetPr>
  <dimension ref="A1:CG58"/>
  <sheetViews>
    <sheetView topLeftCell="K1" zoomScaleSheetLayoutView="85" workbookViewId="0">
      <selection activeCell="AU9" sqref="AU9"/>
    </sheetView>
  </sheetViews>
  <sheetFormatPr defaultColWidth="3.140625" defaultRowHeight="16.5" customHeight="1" x14ac:dyDescent="0.2"/>
  <cols>
    <col min="1" max="1" width="0.7109375" style="20" hidden="1" customWidth="1"/>
    <col min="2" max="10" width="9.140625" style="20" hidden="1" customWidth="1"/>
    <col min="11" max="11" width="3.28515625" style="20" customWidth="1"/>
    <col min="12" max="12" width="3.5703125" style="20" customWidth="1"/>
    <col min="13" max="19" width="9.140625" style="20" hidden="1" customWidth="1"/>
    <col min="20" max="36" width="3.140625" style="20" customWidth="1"/>
    <col min="37" max="37" width="1" style="20" customWidth="1"/>
    <col min="38" max="38" width="0.42578125" style="20" customWidth="1"/>
    <col min="39" max="39" width="3.140625" style="20" customWidth="1"/>
    <col min="40" max="40" width="3.28515625" style="20" customWidth="1"/>
    <col min="41" max="76" width="3.140625" style="20" customWidth="1"/>
    <col min="77" max="77" width="0.140625" style="20" customWidth="1"/>
    <col min="78" max="79" width="3.140625" style="20" customWidth="1"/>
    <col min="80" max="80" width="3" style="20" customWidth="1"/>
    <col min="81" max="81" width="1" style="20" hidden="1" customWidth="1"/>
    <col min="82" max="82" width="3.140625" style="20" customWidth="1"/>
    <col min="83" max="83" width="1.5703125" style="20" customWidth="1"/>
    <col min="84" max="84" width="3.140625" style="20" customWidth="1"/>
    <col min="85" max="85" width="2.42578125" style="20" customWidth="1"/>
    <col min="86" max="16384" width="3.140625" style="20"/>
  </cols>
  <sheetData>
    <row r="1" spans="12:85" s="21" customFormat="1" ht="16.5" customHeight="1" x14ac:dyDescent="0.25">
      <c r="T1" s="342" t="s">
        <v>404</v>
      </c>
      <c r="U1" s="342"/>
      <c r="V1" s="342"/>
      <c r="W1" s="342"/>
      <c r="X1" s="342"/>
      <c r="Y1" s="342"/>
      <c r="Z1" s="342"/>
      <c r="AA1" s="342"/>
      <c r="AB1" s="342"/>
      <c r="AC1" s="342"/>
      <c r="AD1" s="342"/>
      <c r="AE1" s="342"/>
      <c r="AF1" s="342"/>
      <c r="AG1" s="342"/>
      <c r="AH1" s="342"/>
      <c r="AI1" s="342"/>
      <c r="AJ1" s="342"/>
      <c r="AK1" s="342"/>
      <c r="AL1" s="342"/>
      <c r="AM1" s="342"/>
      <c r="AN1" s="342"/>
      <c r="AO1" s="342"/>
      <c r="AP1" s="342"/>
      <c r="AQ1" s="342"/>
      <c r="AR1" s="342"/>
      <c r="AS1" s="342"/>
      <c r="AT1" s="342"/>
      <c r="AU1" s="342"/>
      <c r="AV1" s="342"/>
      <c r="AW1" s="342"/>
      <c r="AX1" s="342"/>
      <c r="AY1" s="342"/>
      <c r="AZ1" s="22"/>
      <c r="BA1" s="343" t="s">
        <v>365</v>
      </c>
      <c r="BB1" s="343"/>
      <c r="BC1" s="343"/>
      <c r="BD1" s="343"/>
      <c r="BE1" s="343"/>
      <c r="BF1" s="343"/>
      <c r="BG1" s="343"/>
      <c r="BH1" s="343"/>
      <c r="BI1" s="343"/>
      <c r="BJ1" s="343"/>
      <c r="BK1" s="343"/>
      <c r="BL1" s="343"/>
      <c r="BM1" s="343"/>
      <c r="BN1" s="343"/>
      <c r="BO1" s="343"/>
      <c r="BP1" s="343"/>
      <c r="BQ1" s="343"/>
      <c r="BR1" s="343"/>
      <c r="BS1" s="343"/>
      <c r="BT1" s="343"/>
      <c r="BU1" s="343"/>
      <c r="BV1" s="343"/>
      <c r="BW1" s="343"/>
      <c r="BX1" s="343"/>
      <c r="BY1" s="343"/>
      <c r="BZ1" s="343"/>
      <c r="CA1" s="343"/>
      <c r="CB1" s="343"/>
      <c r="CC1" s="343"/>
      <c r="CD1" s="343"/>
      <c r="CE1" s="343"/>
      <c r="CF1" s="343"/>
      <c r="CG1" s="343"/>
    </row>
    <row r="2" spans="12:85" ht="16.5" customHeight="1" x14ac:dyDescent="0.25">
      <c r="L2" s="326" t="s">
        <v>28</v>
      </c>
      <c r="M2" s="326"/>
      <c r="N2" s="326"/>
      <c r="O2" s="326"/>
      <c r="P2" s="326"/>
      <c r="Q2" s="326"/>
      <c r="R2" s="326"/>
      <c r="S2" s="326"/>
      <c r="T2" s="326"/>
      <c r="U2" s="326"/>
      <c r="V2" s="326"/>
      <c r="W2" s="326"/>
      <c r="X2" s="326"/>
      <c r="Y2" s="344"/>
      <c r="Z2" s="344"/>
      <c r="AA2" s="344"/>
      <c r="AB2" s="344"/>
      <c r="AC2" s="344"/>
      <c r="AD2" s="344"/>
      <c r="AE2" s="329" t="s">
        <v>29</v>
      </c>
      <c r="AF2" s="329"/>
      <c r="AG2" s="329"/>
      <c r="AH2" s="329"/>
      <c r="AI2" s="329"/>
      <c r="AJ2" s="345"/>
      <c r="AK2" s="345"/>
      <c r="AL2" s="345"/>
      <c r="AM2" s="345"/>
      <c r="AN2" s="345"/>
      <c r="AO2" s="345"/>
      <c r="AP2" s="345"/>
      <c r="AQ2" s="345"/>
      <c r="AR2" s="345"/>
      <c r="AS2" s="345"/>
      <c r="AT2" s="345"/>
      <c r="AU2" s="345"/>
      <c r="AV2" s="345"/>
      <c r="AW2" s="331"/>
      <c r="AX2" s="331"/>
      <c r="AY2" s="331"/>
      <c r="AZ2" s="331"/>
      <c r="BA2" s="331"/>
      <c r="BB2" s="331"/>
      <c r="BC2" s="346"/>
      <c r="BD2" s="346"/>
      <c r="BE2" s="346"/>
      <c r="BF2" s="346"/>
      <c r="BG2" s="346"/>
      <c r="BH2" s="346"/>
      <c r="BI2" s="346"/>
      <c r="BJ2" s="347" t="s">
        <v>30</v>
      </c>
      <c r="BK2" s="347"/>
      <c r="BL2" s="347"/>
      <c r="BM2" s="347"/>
      <c r="BN2" s="347"/>
      <c r="BO2" s="347"/>
      <c r="BP2" s="347"/>
      <c r="BQ2" s="347"/>
      <c r="BR2" s="347"/>
      <c r="BS2" s="347"/>
      <c r="BT2" s="347"/>
      <c r="BU2" s="347"/>
      <c r="BV2" s="347"/>
      <c r="BW2" s="347"/>
      <c r="BX2" s="347"/>
      <c r="BY2" s="347"/>
      <c r="BZ2" s="347"/>
      <c r="CA2" s="347"/>
      <c r="CB2" s="347"/>
      <c r="CC2" s="347"/>
      <c r="CD2" s="347"/>
      <c r="CE2" s="347"/>
      <c r="CF2" s="347"/>
      <c r="CG2" s="347"/>
    </row>
    <row r="3" spans="12:85" ht="16.5" customHeight="1" x14ac:dyDescent="0.25">
      <c r="L3" s="326" t="s">
        <v>31</v>
      </c>
      <c r="M3" s="326"/>
      <c r="N3" s="326"/>
      <c r="O3" s="326"/>
      <c r="P3" s="326"/>
      <c r="Q3" s="326"/>
      <c r="R3" s="326"/>
      <c r="S3" s="326"/>
      <c r="T3" s="326"/>
      <c r="U3" s="326"/>
      <c r="V3" s="326"/>
      <c r="W3" s="326"/>
      <c r="X3" s="326"/>
      <c r="Y3" s="338"/>
      <c r="Z3" s="338"/>
      <c r="AA3" s="338"/>
      <c r="AB3" s="338"/>
      <c r="AC3" s="338"/>
      <c r="AD3" s="338"/>
      <c r="AE3" s="329" t="s">
        <v>32</v>
      </c>
      <c r="AF3" s="329"/>
      <c r="AG3" s="329"/>
      <c r="AH3" s="329"/>
      <c r="AI3" s="329"/>
      <c r="AJ3" s="330"/>
      <c r="AK3" s="330"/>
      <c r="AL3" s="330"/>
      <c r="AM3" s="330"/>
      <c r="AN3" s="330"/>
      <c r="AO3" s="330"/>
      <c r="AP3" s="330"/>
      <c r="AQ3" s="330"/>
      <c r="AR3" s="330"/>
      <c r="AS3" s="330"/>
      <c r="AT3" s="330"/>
      <c r="AU3" s="330"/>
      <c r="AV3" s="330"/>
      <c r="AW3" s="331" t="s">
        <v>364</v>
      </c>
      <c r="AX3" s="331"/>
      <c r="AY3" s="331"/>
      <c r="AZ3" s="331"/>
      <c r="BA3" s="331"/>
      <c r="BB3" s="331"/>
      <c r="BC3" s="339"/>
      <c r="BD3" s="339"/>
      <c r="BE3" s="339"/>
      <c r="BF3" s="339"/>
      <c r="BG3" s="339"/>
      <c r="BH3" s="339"/>
      <c r="BI3" s="339"/>
      <c r="BJ3" s="340"/>
      <c r="BK3" s="340"/>
      <c r="BL3" s="340"/>
      <c r="BM3" s="340"/>
      <c r="BN3" s="340"/>
      <c r="BO3" s="340"/>
      <c r="BP3" s="340"/>
      <c r="BQ3" s="340"/>
      <c r="BR3" s="340"/>
      <c r="BS3" s="340"/>
      <c r="BT3" s="340"/>
      <c r="BU3" s="340"/>
      <c r="BV3" s="340"/>
      <c r="BW3" s="340"/>
      <c r="BX3" s="340"/>
      <c r="BY3" s="340"/>
      <c r="BZ3" s="340"/>
      <c r="CA3" s="340"/>
      <c r="CB3" s="340"/>
      <c r="CC3" s="340"/>
      <c r="CD3" s="340"/>
      <c r="CE3" s="340"/>
      <c r="CF3" s="340"/>
      <c r="CG3" s="340"/>
    </row>
    <row r="4" spans="12:85" ht="16.5" customHeight="1" x14ac:dyDescent="0.25">
      <c r="L4" s="326" t="s">
        <v>33</v>
      </c>
      <c r="M4" s="326"/>
      <c r="N4" s="326"/>
      <c r="O4" s="326"/>
      <c r="P4" s="326"/>
      <c r="Q4" s="326"/>
      <c r="R4" s="326"/>
      <c r="S4" s="326"/>
      <c r="T4" s="326"/>
      <c r="U4" s="326"/>
      <c r="V4" s="326"/>
      <c r="W4" s="326"/>
      <c r="X4" s="326"/>
      <c r="Y4" s="327">
        <f>Памятка!I16</f>
        <v>0</v>
      </c>
      <c r="Z4" s="327"/>
      <c r="AA4" s="23" t="s">
        <v>34</v>
      </c>
      <c r="AB4" s="328">
        <f>Памятка!I17</f>
        <v>0</v>
      </c>
      <c r="AC4" s="328"/>
      <c r="AD4" s="328"/>
      <c r="AE4" s="329" t="s">
        <v>35</v>
      </c>
      <c r="AF4" s="329"/>
      <c r="AG4" s="329"/>
      <c r="AH4" s="329"/>
      <c r="AI4" s="329"/>
      <c r="AJ4" s="330"/>
      <c r="AK4" s="330"/>
      <c r="AL4" s="330"/>
      <c r="AM4" s="330"/>
      <c r="AN4" s="330"/>
      <c r="AO4" s="330"/>
      <c r="AP4" s="330"/>
      <c r="AQ4" s="330"/>
      <c r="AR4" s="330"/>
      <c r="AS4" s="330"/>
      <c r="AT4" s="330"/>
      <c r="AU4" s="330"/>
      <c r="AV4" s="330"/>
      <c r="AW4" s="331" t="s">
        <v>36</v>
      </c>
      <c r="AX4" s="331"/>
      <c r="AY4" s="331"/>
      <c r="AZ4" s="331"/>
      <c r="BA4" s="331"/>
      <c r="BB4" s="331"/>
      <c r="BC4" s="341"/>
      <c r="BD4" s="341"/>
      <c r="BE4" s="341"/>
      <c r="BF4" s="341"/>
      <c r="BG4" s="341"/>
      <c r="BH4" s="341"/>
      <c r="BI4" s="341"/>
      <c r="BJ4" s="340" t="s">
        <v>37</v>
      </c>
      <c r="BK4" s="340"/>
      <c r="BL4" s="340"/>
      <c r="BM4" s="340"/>
      <c r="BN4" s="340"/>
      <c r="BO4" s="340"/>
      <c r="BP4" s="340"/>
      <c r="BQ4" s="340"/>
      <c r="BR4" s="340"/>
      <c r="BS4" s="340"/>
      <c r="BT4" s="340"/>
      <c r="BU4" s="340"/>
      <c r="BV4" s="340"/>
      <c r="BW4" s="340"/>
      <c r="BX4" s="340"/>
      <c r="BY4" s="340"/>
      <c r="BZ4" s="340"/>
      <c r="CA4" s="340"/>
      <c r="CB4" s="340"/>
      <c r="CC4" s="340"/>
      <c r="CD4" s="340"/>
      <c r="CE4" s="340"/>
      <c r="CF4" s="340"/>
      <c r="CG4" s="340"/>
    </row>
    <row r="5" spans="12:85" ht="16.5" customHeight="1" x14ac:dyDescent="0.25">
      <c r="L5" s="337" t="s">
        <v>38</v>
      </c>
      <c r="M5" s="337"/>
      <c r="N5" s="337"/>
      <c r="O5" s="337"/>
      <c r="P5" s="337"/>
      <c r="Q5" s="337"/>
      <c r="R5" s="337"/>
      <c r="S5" s="337"/>
      <c r="T5" s="337"/>
      <c r="U5" s="337"/>
      <c r="V5" s="337"/>
      <c r="W5" s="337"/>
      <c r="X5" s="337"/>
      <c r="Y5" s="332" t="str">
        <f>Памятка!L4</f>
        <v>-</v>
      </c>
      <c r="Z5" s="332"/>
      <c r="AA5" s="332"/>
      <c r="AB5" s="332"/>
      <c r="AC5" s="332"/>
      <c r="AD5" s="332"/>
      <c r="AE5" s="333" t="s">
        <v>39</v>
      </c>
      <c r="AF5" s="333"/>
      <c r="AG5" s="333"/>
      <c r="AH5" s="333"/>
      <c r="AI5" s="333"/>
      <c r="AJ5" s="334"/>
      <c r="AK5" s="334"/>
      <c r="AL5" s="334"/>
      <c r="AM5" s="334"/>
      <c r="AN5" s="334"/>
      <c r="AO5" s="334"/>
      <c r="AP5" s="334"/>
      <c r="AQ5" s="334"/>
      <c r="AR5" s="334"/>
      <c r="AS5" s="334"/>
      <c r="AT5" s="334"/>
      <c r="AU5" s="334"/>
      <c r="AV5" s="334"/>
      <c r="AW5" s="335" t="s">
        <v>40</v>
      </c>
      <c r="AX5" s="335"/>
      <c r="AY5" s="335"/>
      <c r="AZ5" s="335"/>
      <c r="BA5" s="335"/>
      <c r="BB5" s="335"/>
      <c r="BC5" s="336"/>
      <c r="BD5" s="336"/>
      <c r="BE5" s="336"/>
      <c r="BF5" s="336"/>
      <c r="BG5" s="336"/>
      <c r="BH5" s="336"/>
      <c r="BI5" s="336"/>
      <c r="BJ5" s="325" t="s">
        <v>41</v>
      </c>
      <c r="BK5" s="325"/>
      <c r="BL5" s="325"/>
      <c r="BM5" s="325"/>
      <c r="BN5" s="325"/>
      <c r="BO5" s="325"/>
      <c r="BP5" s="325"/>
      <c r="BQ5" s="325"/>
      <c r="BR5" s="325"/>
      <c r="BS5" s="325"/>
      <c r="BT5" s="325"/>
      <c r="BU5" s="325"/>
      <c r="BV5" s="325"/>
      <c r="BW5" s="325"/>
      <c r="BX5" s="325"/>
      <c r="BY5" s="325"/>
      <c r="BZ5" s="325"/>
      <c r="CA5" s="325"/>
      <c r="CB5" s="325"/>
      <c r="CC5" s="325"/>
      <c r="CD5" s="325"/>
      <c r="CE5" s="325"/>
      <c r="CF5" s="325"/>
      <c r="CG5" s="325"/>
    </row>
    <row r="6" spans="12:85" ht="16.5" customHeight="1" x14ac:dyDescent="0.25">
      <c r="L6" s="24" t="s">
        <v>42</v>
      </c>
      <c r="M6" s="25"/>
      <c r="N6" s="25"/>
      <c r="O6" s="25"/>
      <c r="P6" s="25"/>
      <c r="Q6" s="25"/>
      <c r="R6" s="25"/>
      <c r="S6" s="25"/>
      <c r="T6" s="322" t="s">
        <v>43</v>
      </c>
      <c r="U6" s="322"/>
      <c r="V6" s="322"/>
      <c r="W6" s="322"/>
      <c r="X6" s="322"/>
      <c r="Y6" s="322"/>
      <c r="Z6" s="322"/>
      <c r="AA6" s="322"/>
      <c r="AB6" s="322"/>
      <c r="AC6" s="322"/>
      <c r="AD6" s="322"/>
      <c r="AE6" s="322"/>
      <c r="AF6" s="322"/>
      <c r="AG6" s="322"/>
      <c r="AH6" s="322"/>
      <c r="AI6" s="322"/>
      <c r="AJ6" s="322"/>
      <c r="AK6" s="322"/>
      <c r="AL6" s="322"/>
      <c r="AM6" s="26">
        <v>15</v>
      </c>
      <c r="AN6" s="27">
        <f t="shared" ref="AN6:BR6" si="0">IF(AM6=0,0,IF(AM6=24,1,IF(AM6&lt;24,AM6+1)))</f>
        <v>16</v>
      </c>
      <c r="AO6" s="28">
        <f t="shared" si="0"/>
        <v>17</v>
      </c>
      <c r="AP6" s="28">
        <f t="shared" si="0"/>
        <v>18</v>
      </c>
      <c r="AQ6" s="27">
        <f t="shared" si="0"/>
        <v>19</v>
      </c>
      <c r="AR6" s="28">
        <f t="shared" si="0"/>
        <v>20</v>
      </c>
      <c r="AS6" s="27">
        <f t="shared" si="0"/>
        <v>21</v>
      </c>
      <c r="AT6" s="27">
        <f t="shared" si="0"/>
        <v>22</v>
      </c>
      <c r="AU6" s="27">
        <f t="shared" si="0"/>
        <v>23</v>
      </c>
      <c r="AV6" s="27">
        <f t="shared" si="0"/>
        <v>24</v>
      </c>
      <c r="AW6" s="28">
        <f t="shared" si="0"/>
        <v>1</v>
      </c>
      <c r="AX6" s="28">
        <f t="shared" si="0"/>
        <v>2</v>
      </c>
      <c r="AY6" s="27">
        <f t="shared" si="0"/>
        <v>3</v>
      </c>
      <c r="AZ6" s="28">
        <f t="shared" si="0"/>
        <v>4</v>
      </c>
      <c r="BA6" s="27">
        <f t="shared" si="0"/>
        <v>5</v>
      </c>
      <c r="BB6" s="27">
        <f t="shared" si="0"/>
        <v>6</v>
      </c>
      <c r="BC6" s="27">
        <f t="shared" si="0"/>
        <v>7</v>
      </c>
      <c r="BD6" s="27">
        <f t="shared" si="0"/>
        <v>8</v>
      </c>
      <c r="BE6" s="28">
        <f t="shared" si="0"/>
        <v>9</v>
      </c>
      <c r="BF6" s="28">
        <f t="shared" si="0"/>
        <v>10</v>
      </c>
      <c r="BG6" s="27">
        <f t="shared" si="0"/>
        <v>11</v>
      </c>
      <c r="BH6" s="28">
        <f t="shared" si="0"/>
        <v>12</v>
      </c>
      <c r="BI6" s="27">
        <f t="shared" si="0"/>
        <v>13</v>
      </c>
      <c r="BJ6" s="27">
        <f t="shared" si="0"/>
        <v>14</v>
      </c>
      <c r="BK6" s="27">
        <f t="shared" si="0"/>
        <v>15</v>
      </c>
      <c r="BL6" s="27">
        <f t="shared" si="0"/>
        <v>16</v>
      </c>
      <c r="BM6" s="28">
        <f t="shared" si="0"/>
        <v>17</v>
      </c>
      <c r="BN6" s="28">
        <f t="shared" si="0"/>
        <v>18</v>
      </c>
      <c r="BO6" s="27">
        <f t="shared" si="0"/>
        <v>19</v>
      </c>
      <c r="BP6" s="28">
        <f t="shared" si="0"/>
        <v>20</v>
      </c>
      <c r="BQ6" s="27">
        <f t="shared" si="0"/>
        <v>21</v>
      </c>
      <c r="BR6" s="27">
        <f t="shared" si="0"/>
        <v>22</v>
      </c>
      <c r="BS6" s="323" t="s">
        <v>44</v>
      </c>
      <c r="BT6" s="323"/>
      <c r="BU6" s="323"/>
      <c r="BV6" s="323"/>
      <c r="BW6" s="323"/>
      <c r="BX6" s="29" t="s">
        <v>45</v>
      </c>
      <c r="BY6" s="30"/>
      <c r="BZ6" s="29"/>
      <c r="CA6" s="31" t="s">
        <v>46</v>
      </c>
      <c r="CB6" s="31"/>
      <c r="CC6" s="32"/>
      <c r="CD6" s="324" t="s">
        <v>47</v>
      </c>
      <c r="CE6" s="324"/>
      <c r="CF6" s="324"/>
      <c r="CG6" s="324"/>
    </row>
    <row r="7" spans="12:85" ht="16.5" customHeight="1" x14ac:dyDescent="0.25">
      <c r="L7" s="33"/>
      <c r="M7" s="34"/>
      <c r="N7" s="35"/>
      <c r="O7" s="35"/>
      <c r="P7" s="35"/>
      <c r="Q7" s="35"/>
      <c r="R7" s="35"/>
      <c r="S7" s="35"/>
      <c r="T7" s="310"/>
      <c r="U7" s="310"/>
      <c r="V7" s="310"/>
      <c r="W7" s="310"/>
      <c r="X7" s="310"/>
      <c r="Y7" s="310"/>
      <c r="Z7" s="310"/>
      <c r="AA7" s="310"/>
      <c r="AB7" s="310"/>
      <c r="AC7" s="310"/>
      <c r="AD7" s="310"/>
      <c r="AE7" s="310"/>
      <c r="AF7" s="310"/>
      <c r="AG7" s="310"/>
      <c r="AH7" s="310"/>
      <c r="AI7" s="310"/>
      <c r="AJ7" s="310"/>
      <c r="AK7" s="310"/>
      <c r="AL7" s="310"/>
      <c r="AM7" s="36"/>
      <c r="AN7" s="37"/>
      <c r="AO7" s="38"/>
      <c r="AP7" s="39"/>
      <c r="AQ7" s="40"/>
      <c r="AR7" s="39"/>
      <c r="AS7" s="37"/>
      <c r="AT7" s="39"/>
      <c r="AU7" s="37"/>
      <c r="AV7" s="37"/>
      <c r="AW7" s="38"/>
      <c r="AX7" s="39"/>
      <c r="AY7" s="40"/>
      <c r="AZ7" s="39"/>
      <c r="BA7" s="39"/>
      <c r="BB7" s="39"/>
      <c r="BC7" s="39"/>
      <c r="BD7" s="37"/>
      <c r="BE7" s="41"/>
      <c r="BF7" s="39"/>
      <c r="BG7" s="42"/>
      <c r="BH7" s="39"/>
      <c r="BI7" s="39"/>
      <c r="BJ7" s="39"/>
      <c r="BK7" s="39"/>
      <c r="BL7" s="37"/>
      <c r="BM7" s="38"/>
      <c r="BN7" s="39"/>
      <c r="BO7" s="40"/>
      <c r="BP7" s="39"/>
      <c r="BQ7" s="37"/>
      <c r="BR7" s="43"/>
      <c r="BS7" s="315" t="s">
        <v>48</v>
      </c>
      <c r="BT7" s="315"/>
      <c r="BU7" s="315"/>
      <c r="BV7" s="315"/>
      <c r="BW7" s="315"/>
      <c r="BX7" s="316" t="str">
        <f>ROUND(энтерально!J2,0)&amp;"г/с"</f>
        <v>0г/с</v>
      </c>
      <c r="BY7" s="316"/>
      <c r="BZ7" s="316"/>
      <c r="CA7" s="317" t="str">
        <f>ROUND(парентерально!I22,0)&amp;"г/с"</f>
        <v>0г/с</v>
      </c>
      <c r="CB7" s="317"/>
      <c r="CC7" s="44"/>
      <c r="CD7" s="321" t="str">
        <f>ROUND(парентерально!I31,0)&amp;IF(BC3&gt;0,"-"&amp;ROUND(парентерально!I31/BC3,1)&amp;"г/кг/с","")</f>
        <v>0</v>
      </c>
      <c r="CE7" s="321"/>
      <c r="CF7" s="321"/>
      <c r="CG7" s="321"/>
    </row>
    <row r="8" spans="12:85" ht="16.5" customHeight="1" x14ac:dyDescent="0.25">
      <c r="L8" s="45"/>
      <c r="M8" s="46"/>
      <c r="N8" s="47"/>
      <c r="O8" s="47"/>
      <c r="P8" s="47"/>
      <c r="Q8" s="47"/>
      <c r="R8" s="47"/>
      <c r="S8" s="47"/>
      <c r="T8" s="310"/>
      <c r="U8" s="310"/>
      <c r="V8" s="310"/>
      <c r="W8" s="310"/>
      <c r="X8" s="310"/>
      <c r="Y8" s="310"/>
      <c r="Z8" s="310"/>
      <c r="AA8" s="310"/>
      <c r="AB8" s="310"/>
      <c r="AC8" s="310"/>
      <c r="AD8" s="310"/>
      <c r="AE8" s="310"/>
      <c r="AF8" s="310"/>
      <c r="AG8" s="310"/>
      <c r="AH8" s="310"/>
      <c r="AI8" s="310"/>
      <c r="AJ8" s="310"/>
      <c r="AK8" s="310"/>
      <c r="AL8" s="310"/>
      <c r="AM8" s="48"/>
      <c r="AN8" s="22"/>
      <c r="AO8" s="49"/>
      <c r="AP8" s="50"/>
      <c r="AQ8" s="51"/>
      <c r="AR8" s="52"/>
      <c r="AS8" s="50"/>
      <c r="AT8" s="52"/>
      <c r="AU8" s="53"/>
      <c r="AV8" s="52"/>
      <c r="AW8" s="54"/>
      <c r="AX8" s="52"/>
      <c r="AY8" s="51"/>
      <c r="AZ8" s="22"/>
      <c r="BA8" s="53"/>
      <c r="BB8" s="52"/>
      <c r="BC8" s="50"/>
      <c r="BD8" s="52"/>
      <c r="BE8" s="54"/>
      <c r="BF8" s="50"/>
      <c r="BG8" s="55"/>
      <c r="BH8" s="52"/>
      <c r="BI8" s="50"/>
      <c r="BJ8" s="52"/>
      <c r="BK8" s="50"/>
      <c r="BL8" s="22"/>
      <c r="BM8" s="49"/>
      <c r="BN8" s="50"/>
      <c r="BO8" s="51"/>
      <c r="BP8" s="52"/>
      <c r="BQ8" s="50"/>
      <c r="BR8" s="56"/>
      <c r="BS8" s="315" t="s">
        <v>49</v>
      </c>
      <c r="BT8" s="315"/>
      <c r="BU8" s="315"/>
      <c r="BV8" s="315"/>
      <c r="BW8" s="315"/>
      <c r="BX8" s="316" t="str">
        <f>ROUND(энтерально!J3,0)&amp;"г/с"</f>
        <v>0г/с</v>
      </c>
      <c r="BY8" s="316"/>
      <c r="BZ8" s="316"/>
      <c r="CA8" s="317" t="str">
        <f>ROUND(парентерально!I23,0)&amp;"г/с"</f>
        <v>0г/с</v>
      </c>
      <c r="CB8" s="317"/>
      <c r="CC8" s="44"/>
      <c r="CD8" s="321" t="str">
        <f>ROUND(парентерально!I32,0)&amp;IF(BC3&gt;0,"-"&amp;ROUND(парентерально!I32/BC3,1)&amp;"г/кг/с","")</f>
        <v>0</v>
      </c>
      <c r="CE8" s="321"/>
      <c r="CF8" s="321"/>
      <c r="CG8" s="321"/>
    </row>
    <row r="9" spans="12:85" ht="16.5" customHeight="1" x14ac:dyDescent="0.25">
      <c r="L9" s="45"/>
      <c r="M9" s="46"/>
      <c r="N9" s="47"/>
      <c r="O9" s="47"/>
      <c r="P9" s="47"/>
      <c r="Q9" s="47"/>
      <c r="R9" s="47"/>
      <c r="S9" s="47"/>
      <c r="T9" s="310"/>
      <c r="U9" s="310"/>
      <c r="V9" s="310"/>
      <c r="W9" s="310"/>
      <c r="X9" s="310"/>
      <c r="Y9" s="310"/>
      <c r="Z9" s="310"/>
      <c r="AA9" s="310"/>
      <c r="AB9" s="310"/>
      <c r="AC9" s="310"/>
      <c r="AD9" s="310"/>
      <c r="AE9" s="310"/>
      <c r="AF9" s="310"/>
      <c r="AG9" s="310"/>
      <c r="AH9" s="310"/>
      <c r="AI9" s="310"/>
      <c r="AJ9" s="310"/>
      <c r="AK9" s="310"/>
      <c r="AL9" s="310"/>
      <c r="AM9" s="48"/>
      <c r="AN9" s="57"/>
      <c r="AO9" s="22"/>
      <c r="AP9" s="52"/>
      <c r="AQ9" s="55"/>
      <c r="AR9" s="52"/>
      <c r="AS9" s="50"/>
      <c r="AT9" s="50"/>
      <c r="AU9" s="52"/>
      <c r="AV9" s="50"/>
      <c r="AW9" s="49"/>
      <c r="AX9" s="52"/>
      <c r="AY9" s="51"/>
      <c r="AZ9" s="52"/>
      <c r="BA9" s="52"/>
      <c r="BB9" s="50"/>
      <c r="BC9" s="53"/>
      <c r="BD9" s="50"/>
      <c r="BE9" s="58"/>
      <c r="BF9" s="52"/>
      <c r="BG9" s="59"/>
      <c r="BH9" s="52"/>
      <c r="BI9" s="53"/>
      <c r="BJ9" s="50"/>
      <c r="BK9" s="50"/>
      <c r="BL9" s="50"/>
      <c r="BM9" s="22"/>
      <c r="BN9" s="52"/>
      <c r="BO9" s="55"/>
      <c r="BP9" s="52"/>
      <c r="BQ9" s="50"/>
      <c r="BR9" s="60"/>
      <c r="BS9" s="315" t="s">
        <v>50</v>
      </c>
      <c r="BT9" s="315"/>
      <c r="BU9" s="315"/>
      <c r="BV9" s="315"/>
      <c r="BW9" s="315"/>
      <c r="BX9" s="316" t="str">
        <f>ROUND(энтерально!J4,0)&amp;"г/с"</f>
        <v>0г/с</v>
      </c>
      <c r="BY9" s="316"/>
      <c r="BZ9" s="316"/>
      <c r="CA9" s="317" t="str">
        <f>ROUND(парентерально!I24,0)&amp;"г/с"</f>
        <v>0г/с</v>
      </c>
      <c r="CB9" s="317"/>
      <c r="CC9" s="44"/>
      <c r="CD9" s="321" t="str">
        <f>ROUND(парентерально!I33,0)&amp;IF(BC3&gt;0,"-"&amp;ROUND(парентерально!I33/BC3,1)&amp;"г/кг/с","")</f>
        <v>0</v>
      </c>
      <c r="CE9" s="321"/>
      <c r="CF9" s="321"/>
      <c r="CG9" s="321"/>
    </row>
    <row r="10" spans="12:85" ht="16.5" customHeight="1" x14ac:dyDescent="0.25">
      <c r="L10" s="45"/>
      <c r="M10" s="46"/>
      <c r="N10" s="47"/>
      <c r="O10" s="47"/>
      <c r="P10" s="47"/>
      <c r="Q10" s="47"/>
      <c r="R10" s="47"/>
      <c r="S10" s="47"/>
      <c r="T10" s="310"/>
      <c r="U10" s="310"/>
      <c r="V10" s="310"/>
      <c r="W10" s="310"/>
      <c r="X10" s="310"/>
      <c r="Y10" s="310"/>
      <c r="Z10" s="310"/>
      <c r="AA10" s="310"/>
      <c r="AB10" s="310"/>
      <c r="AC10" s="310"/>
      <c r="AD10" s="310"/>
      <c r="AE10" s="310"/>
      <c r="AF10" s="310"/>
      <c r="AG10" s="310"/>
      <c r="AH10" s="310"/>
      <c r="AI10" s="310"/>
      <c r="AJ10" s="310"/>
      <c r="AK10" s="310"/>
      <c r="AL10" s="310"/>
      <c r="AM10" s="61"/>
      <c r="AN10" s="52"/>
      <c r="AO10" s="54"/>
      <c r="AP10" s="50"/>
      <c r="AQ10" s="59"/>
      <c r="AR10" s="52"/>
      <c r="AS10" s="53"/>
      <c r="AT10" s="52"/>
      <c r="AU10" s="50"/>
      <c r="AV10" s="52"/>
      <c r="AW10" s="58"/>
      <c r="AX10" s="52"/>
      <c r="AY10" s="55"/>
      <c r="AZ10" s="52"/>
      <c r="BA10" s="52"/>
      <c r="BB10" s="50"/>
      <c r="BC10" s="52"/>
      <c r="BD10" s="52"/>
      <c r="BE10" s="49"/>
      <c r="BF10" s="52"/>
      <c r="BG10" s="51"/>
      <c r="BH10" s="52"/>
      <c r="BI10" s="52"/>
      <c r="BJ10" s="52"/>
      <c r="BK10" s="53"/>
      <c r="BL10" s="52"/>
      <c r="BM10" s="54"/>
      <c r="BN10" s="50"/>
      <c r="BO10" s="51"/>
      <c r="BP10" s="52"/>
      <c r="BQ10" s="53"/>
      <c r="BR10" s="56"/>
      <c r="BS10" s="315" t="s">
        <v>51</v>
      </c>
      <c r="BT10" s="315"/>
      <c r="BU10" s="315"/>
      <c r="BV10" s="315"/>
      <c r="BW10" s="315"/>
      <c r="BX10" s="316" t="str">
        <f>ROUND(энтерально!J5,0)&amp;"кк/с"</f>
        <v>0кк/с</v>
      </c>
      <c r="BY10" s="316"/>
      <c r="BZ10" s="316"/>
      <c r="CA10" s="317" t="str">
        <f>ROUND(парентерально!I25,0)&amp;"кк/с"</f>
        <v>0кк/с</v>
      </c>
      <c r="CB10" s="317"/>
      <c r="CC10" s="44"/>
      <c r="CD10" s="321" t="str">
        <f>ROUND(парентерально!I34,0)&amp;IF(BC3&gt;0,"-"&amp;ROUND(парентерально!I34/BC3,1)&amp;"кк/кг/с","")</f>
        <v>0</v>
      </c>
      <c r="CE10" s="321"/>
      <c r="CF10" s="321"/>
      <c r="CG10" s="321"/>
    </row>
    <row r="11" spans="12:85" ht="16.5" customHeight="1" x14ac:dyDescent="0.25">
      <c r="L11" s="45"/>
      <c r="M11" s="46"/>
      <c r="N11" s="47"/>
      <c r="O11" s="47"/>
      <c r="P11" s="47"/>
      <c r="Q11" s="47"/>
      <c r="R11" s="47"/>
      <c r="S11" s="47"/>
      <c r="T11" s="310"/>
      <c r="U11" s="310"/>
      <c r="V11" s="310"/>
      <c r="W11" s="310"/>
      <c r="X11" s="310"/>
      <c r="Y11" s="310"/>
      <c r="Z11" s="310"/>
      <c r="AA11" s="310"/>
      <c r="AB11" s="310"/>
      <c r="AC11" s="310"/>
      <c r="AD11" s="310"/>
      <c r="AE11" s="310"/>
      <c r="AF11" s="310"/>
      <c r="AG11" s="310"/>
      <c r="AH11" s="310"/>
      <c r="AI11" s="310"/>
      <c r="AJ11" s="310"/>
      <c r="AK11" s="310"/>
      <c r="AL11" s="310"/>
      <c r="AM11" s="48"/>
      <c r="AN11" s="52"/>
      <c r="AO11" s="49"/>
      <c r="AP11" s="52"/>
      <c r="AQ11" s="51"/>
      <c r="AR11" s="52"/>
      <c r="AS11" s="52"/>
      <c r="AT11" s="52"/>
      <c r="AU11" s="53"/>
      <c r="AV11" s="52"/>
      <c r="AW11" s="58"/>
      <c r="AX11" s="52"/>
      <c r="AY11" s="51"/>
      <c r="AZ11" s="52"/>
      <c r="BA11" s="53"/>
      <c r="BB11" s="52"/>
      <c r="BC11" s="50"/>
      <c r="BD11" s="52"/>
      <c r="BE11" s="54"/>
      <c r="BF11" s="52"/>
      <c r="BG11" s="55"/>
      <c r="BH11" s="52"/>
      <c r="BI11" s="50"/>
      <c r="BJ11" s="52"/>
      <c r="BK11" s="50"/>
      <c r="BL11" s="52"/>
      <c r="BM11" s="49"/>
      <c r="BN11" s="52"/>
      <c r="BO11" s="51"/>
      <c r="BP11" s="52"/>
      <c r="BQ11" s="52"/>
      <c r="BR11" s="56"/>
      <c r="BS11" s="315" t="s">
        <v>52</v>
      </c>
      <c r="BT11" s="315"/>
      <c r="BU11" s="315"/>
      <c r="BV11" s="315"/>
      <c r="BW11" s="315"/>
      <c r="BX11" s="316">
        <f>энтерально!J7</f>
        <v>0</v>
      </c>
      <c r="BY11" s="316"/>
      <c r="BZ11" s="316"/>
      <c r="CA11" s="317">
        <f>парентерально!I26</f>
        <v>0</v>
      </c>
      <c r="CB11" s="317"/>
      <c r="CC11" s="44"/>
      <c r="CD11" s="317">
        <f>парентерально!I35</f>
        <v>0</v>
      </c>
      <c r="CE11" s="317"/>
      <c r="CF11" s="317"/>
      <c r="CG11" s="317"/>
    </row>
    <row r="12" spans="12:85" ht="16.5" customHeight="1" x14ac:dyDescent="0.25">
      <c r="L12" s="45"/>
      <c r="M12" s="46"/>
      <c r="N12" s="47"/>
      <c r="O12" s="47"/>
      <c r="P12" s="47"/>
      <c r="Q12" s="47"/>
      <c r="R12" s="47"/>
      <c r="S12" s="47"/>
      <c r="T12" s="310"/>
      <c r="U12" s="310"/>
      <c r="V12" s="310"/>
      <c r="W12" s="310"/>
      <c r="X12" s="310"/>
      <c r="Y12" s="310"/>
      <c r="Z12" s="310"/>
      <c r="AA12" s="310"/>
      <c r="AB12" s="310"/>
      <c r="AC12" s="310"/>
      <c r="AD12" s="310"/>
      <c r="AE12" s="310"/>
      <c r="AF12" s="310"/>
      <c r="AG12" s="310"/>
      <c r="AH12" s="310"/>
      <c r="AI12" s="310"/>
      <c r="AJ12" s="310"/>
      <c r="AK12" s="310"/>
      <c r="AL12" s="310"/>
      <c r="AM12" s="48"/>
      <c r="AN12" s="52"/>
      <c r="AO12" s="58"/>
      <c r="AP12" s="52"/>
      <c r="AQ12" s="55"/>
      <c r="AR12" s="52"/>
      <c r="AS12" s="52"/>
      <c r="AT12" s="50"/>
      <c r="AU12" s="50"/>
      <c r="AV12" s="50"/>
      <c r="AW12" s="54"/>
      <c r="AX12" s="50"/>
      <c r="AY12" s="51"/>
      <c r="AZ12" s="52"/>
      <c r="BA12" s="50"/>
      <c r="BB12" s="52"/>
      <c r="BC12" s="53"/>
      <c r="BD12" s="52"/>
      <c r="BE12" s="54"/>
      <c r="BF12" s="50"/>
      <c r="BG12" s="51"/>
      <c r="BH12" s="50"/>
      <c r="BI12" s="52"/>
      <c r="BJ12" s="52"/>
      <c r="BK12" s="50"/>
      <c r="BL12" s="52"/>
      <c r="BM12" s="58"/>
      <c r="BN12" s="52"/>
      <c r="BO12" s="55"/>
      <c r="BP12" s="52"/>
      <c r="BQ12" s="52"/>
      <c r="BR12" s="60"/>
      <c r="BS12" s="318"/>
      <c r="BT12" s="318"/>
      <c r="BU12" s="318"/>
      <c r="BV12" s="318"/>
      <c r="BW12" s="318"/>
      <c r="BX12" s="319"/>
      <c r="BY12" s="319"/>
      <c r="BZ12" s="319"/>
      <c r="CA12" s="319"/>
      <c r="CB12" s="319"/>
      <c r="CC12" s="319"/>
      <c r="CD12" s="319"/>
      <c r="CE12" s="319"/>
      <c r="CF12" s="319"/>
      <c r="CG12" s="319"/>
    </row>
    <row r="13" spans="12:85" ht="16.5" customHeight="1" x14ac:dyDescent="0.25">
      <c r="L13" s="45"/>
      <c r="M13" s="46"/>
      <c r="N13" s="47"/>
      <c r="O13" s="47"/>
      <c r="P13" s="47"/>
      <c r="Q13" s="47"/>
      <c r="R13" s="47"/>
      <c r="S13" s="47"/>
      <c r="T13" s="310"/>
      <c r="U13" s="310"/>
      <c r="V13" s="310"/>
      <c r="W13" s="310"/>
      <c r="X13" s="310"/>
      <c r="Y13" s="310"/>
      <c r="Z13" s="310"/>
      <c r="AA13" s="310"/>
      <c r="AB13" s="310"/>
      <c r="AC13" s="310"/>
      <c r="AD13" s="310"/>
      <c r="AE13" s="310"/>
      <c r="AF13" s="310"/>
      <c r="AG13" s="310"/>
      <c r="AH13" s="310"/>
      <c r="AI13" s="310"/>
      <c r="AJ13" s="310"/>
      <c r="AK13" s="310"/>
      <c r="AL13" s="310"/>
      <c r="AM13" s="62"/>
      <c r="AN13" s="52"/>
      <c r="AO13" s="58"/>
      <c r="AP13" s="50"/>
      <c r="AQ13" s="59"/>
      <c r="AR13" s="52"/>
      <c r="AS13" s="52"/>
      <c r="AT13" s="50"/>
      <c r="AU13" s="50"/>
      <c r="AV13" s="52"/>
      <c r="AW13" s="58"/>
      <c r="AX13" s="50"/>
      <c r="AY13" s="59"/>
      <c r="AZ13" s="52"/>
      <c r="BA13" s="50"/>
      <c r="BB13" s="50"/>
      <c r="BC13" s="50"/>
      <c r="BD13" s="52"/>
      <c r="BE13" s="54"/>
      <c r="BF13" s="50"/>
      <c r="BG13" s="59"/>
      <c r="BH13" s="52"/>
      <c r="BI13" s="50"/>
      <c r="BJ13" s="50"/>
      <c r="BK13" s="52"/>
      <c r="BL13" s="52"/>
      <c r="BM13" s="58"/>
      <c r="BN13" s="50"/>
      <c r="BO13" s="59"/>
      <c r="BP13" s="52"/>
      <c r="BQ13" s="52"/>
      <c r="BR13" s="60"/>
      <c r="BS13" s="320"/>
      <c r="BT13" s="320"/>
      <c r="BU13" s="320"/>
      <c r="BV13" s="320"/>
      <c r="BW13" s="320"/>
      <c r="BX13" s="319"/>
      <c r="BY13" s="319"/>
      <c r="BZ13" s="319"/>
      <c r="CA13" s="319"/>
      <c r="CB13" s="319"/>
      <c r="CC13" s="319"/>
      <c r="CD13" s="319"/>
      <c r="CE13" s="319"/>
      <c r="CF13" s="319"/>
      <c r="CG13" s="319"/>
    </row>
    <row r="14" spans="12:85" ht="16.5" customHeight="1" x14ac:dyDescent="0.25">
      <c r="L14" s="45"/>
      <c r="M14" s="46"/>
      <c r="N14" s="47"/>
      <c r="O14" s="47"/>
      <c r="P14" s="47"/>
      <c r="Q14" s="47"/>
      <c r="R14" s="47"/>
      <c r="S14" s="47"/>
      <c r="T14" s="310"/>
      <c r="U14" s="310"/>
      <c r="V14" s="310"/>
      <c r="W14" s="310"/>
      <c r="X14" s="310"/>
      <c r="Y14" s="310"/>
      <c r="Z14" s="310"/>
      <c r="AA14" s="310"/>
      <c r="AB14" s="310"/>
      <c r="AC14" s="310"/>
      <c r="AD14" s="310"/>
      <c r="AE14" s="310"/>
      <c r="AF14" s="310"/>
      <c r="AG14" s="310"/>
      <c r="AH14" s="310"/>
      <c r="AI14" s="310"/>
      <c r="AJ14" s="310"/>
      <c r="AK14" s="310"/>
      <c r="AL14" s="310"/>
      <c r="AM14" s="61"/>
      <c r="AN14" s="63"/>
      <c r="AO14" s="49"/>
      <c r="AP14" s="52"/>
      <c r="AQ14" s="55"/>
      <c r="AR14" s="52"/>
      <c r="AS14" s="53"/>
      <c r="AT14" s="50"/>
      <c r="AU14" s="53"/>
      <c r="AV14" s="52"/>
      <c r="AW14" s="58"/>
      <c r="AX14" s="52"/>
      <c r="AY14" s="59"/>
      <c r="AZ14" s="63"/>
      <c r="BA14" s="52"/>
      <c r="BB14" s="52"/>
      <c r="BC14" s="50"/>
      <c r="BD14" s="52"/>
      <c r="BE14" s="54"/>
      <c r="BF14" s="50"/>
      <c r="BG14" s="55"/>
      <c r="BH14" s="52"/>
      <c r="BI14" s="50"/>
      <c r="BJ14" s="52"/>
      <c r="BK14" s="53"/>
      <c r="BL14" s="63"/>
      <c r="BM14" s="49"/>
      <c r="BN14" s="50"/>
      <c r="BO14" s="55"/>
      <c r="BP14" s="52"/>
      <c r="BQ14" s="53"/>
      <c r="BR14" s="60"/>
      <c r="BS14" s="303" t="s">
        <v>53</v>
      </c>
      <c r="BT14" s="303"/>
      <c r="BU14" s="303"/>
      <c r="BV14" s="303"/>
      <c r="BW14" s="303"/>
      <c r="BX14" s="303"/>
      <c r="BY14" s="303"/>
      <c r="BZ14" s="303"/>
      <c r="CA14" s="303"/>
      <c r="CB14" s="314" t="s">
        <v>54</v>
      </c>
      <c r="CC14" s="314"/>
      <c r="CD14" s="314"/>
      <c r="CE14" s="314"/>
      <c r="CF14" s="314"/>
      <c r="CG14" s="314"/>
    </row>
    <row r="15" spans="12:85" ht="16.5" customHeight="1" x14ac:dyDescent="0.25">
      <c r="L15" s="45"/>
      <c r="M15" s="65"/>
      <c r="N15" s="66"/>
      <c r="O15" s="66"/>
      <c r="P15" s="66"/>
      <c r="Q15" s="66"/>
      <c r="R15" s="66"/>
      <c r="S15" s="66"/>
      <c r="T15" s="310"/>
      <c r="U15" s="310"/>
      <c r="V15" s="310"/>
      <c r="W15" s="310"/>
      <c r="X15" s="310"/>
      <c r="Y15" s="310"/>
      <c r="Z15" s="310"/>
      <c r="AA15" s="310"/>
      <c r="AB15" s="310"/>
      <c r="AC15" s="310"/>
      <c r="AD15" s="310"/>
      <c r="AE15" s="310"/>
      <c r="AF15" s="310"/>
      <c r="AG15" s="310"/>
      <c r="AH15" s="310"/>
      <c r="AI15" s="310"/>
      <c r="AJ15" s="310"/>
      <c r="AK15" s="310"/>
      <c r="AL15" s="310"/>
      <c r="AM15" s="62"/>
      <c r="AN15" s="52"/>
      <c r="AO15" s="54"/>
      <c r="AP15" s="50"/>
      <c r="AQ15" s="59"/>
      <c r="AR15" s="52"/>
      <c r="AS15" s="52"/>
      <c r="AT15" s="50"/>
      <c r="AU15" s="53"/>
      <c r="AV15" s="52"/>
      <c r="AW15" s="54"/>
      <c r="AX15" s="50"/>
      <c r="AY15" s="59"/>
      <c r="AZ15" s="52"/>
      <c r="BA15" s="52"/>
      <c r="BB15" s="50"/>
      <c r="BC15" s="52"/>
      <c r="BD15" s="52"/>
      <c r="BE15" s="54"/>
      <c r="BF15" s="50"/>
      <c r="BG15" s="55"/>
      <c r="BH15" s="52"/>
      <c r="BI15" s="52"/>
      <c r="BJ15" s="50"/>
      <c r="BK15" s="52"/>
      <c r="BL15" s="52"/>
      <c r="BM15" s="54"/>
      <c r="BN15" s="50"/>
      <c r="BO15" s="59"/>
      <c r="BP15" s="52"/>
      <c r="BQ15" s="52"/>
      <c r="BR15" s="60"/>
      <c r="BS15" s="303"/>
      <c r="BT15" s="303"/>
      <c r="BU15" s="303"/>
      <c r="BV15" s="303"/>
      <c r="BW15" s="303"/>
      <c r="BX15" s="303"/>
      <c r="BY15" s="303"/>
      <c r="BZ15" s="303"/>
      <c r="CA15" s="303"/>
      <c r="CB15" s="314"/>
      <c r="CC15" s="314"/>
      <c r="CD15" s="314"/>
      <c r="CE15" s="314"/>
      <c r="CF15" s="314"/>
      <c r="CG15" s="314"/>
    </row>
    <row r="16" spans="12:85" ht="16.5" customHeight="1" x14ac:dyDescent="0.25">
      <c r="L16" s="45"/>
      <c r="M16" s="67"/>
      <c r="N16" s="68"/>
      <c r="O16" s="68"/>
      <c r="P16" s="68"/>
      <c r="Q16" s="68"/>
      <c r="R16" s="68"/>
      <c r="S16" s="68"/>
      <c r="T16" s="310"/>
      <c r="U16" s="310"/>
      <c r="V16" s="310"/>
      <c r="W16" s="310"/>
      <c r="X16" s="310"/>
      <c r="Y16" s="310"/>
      <c r="Z16" s="310"/>
      <c r="AA16" s="310"/>
      <c r="AB16" s="310"/>
      <c r="AC16" s="310"/>
      <c r="AD16" s="310"/>
      <c r="AE16" s="310"/>
      <c r="AF16" s="310"/>
      <c r="AG16" s="310"/>
      <c r="AH16" s="310"/>
      <c r="AI16" s="310"/>
      <c r="AJ16" s="310"/>
      <c r="AK16" s="310"/>
      <c r="AL16" s="310"/>
      <c r="AM16" s="48"/>
      <c r="AN16" s="52"/>
      <c r="AO16" s="54"/>
      <c r="AP16" s="50"/>
      <c r="AQ16" s="59"/>
      <c r="AR16" s="52"/>
      <c r="AS16" s="50"/>
      <c r="AT16" s="50"/>
      <c r="AU16" s="52"/>
      <c r="AV16" s="52"/>
      <c r="AW16" s="58"/>
      <c r="AX16" s="50"/>
      <c r="AY16" s="59"/>
      <c r="AZ16" s="52"/>
      <c r="BA16" s="52"/>
      <c r="BB16" s="50"/>
      <c r="BC16" s="50"/>
      <c r="BD16" s="52"/>
      <c r="BE16" s="58"/>
      <c r="BF16" s="50"/>
      <c r="BG16" s="59"/>
      <c r="BH16" s="52"/>
      <c r="BI16" s="50"/>
      <c r="BJ16" s="50"/>
      <c r="BK16" s="50"/>
      <c r="BL16" s="52"/>
      <c r="BM16" s="54"/>
      <c r="BN16" s="50"/>
      <c r="BO16" s="59"/>
      <c r="BP16" s="52"/>
      <c r="BQ16" s="50"/>
      <c r="BR16" s="60"/>
      <c r="BS16" s="295" t="s">
        <v>55</v>
      </c>
      <c r="BT16" s="295"/>
      <c r="BU16" s="295"/>
      <c r="BV16" s="295"/>
      <c r="BW16" s="295"/>
      <c r="BX16" s="295"/>
      <c r="BY16" s="295"/>
      <c r="BZ16" s="295"/>
      <c r="CA16" s="295"/>
      <c r="CB16" s="288"/>
      <c r="CC16" s="288"/>
      <c r="CD16" s="288"/>
      <c r="CE16" s="288"/>
      <c r="CF16" s="302"/>
      <c r="CG16" s="302"/>
    </row>
    <row r="17" spans="12:85" ht="16.5" customHeight="1" x14ac:dyDescent="0.25">
      <c r="L17" s="45"/>
      <c r="M17" s="67"/>
      <c r="N17" s="68"/>
      <c r="O17" s="68"/>
      <c r="P17" s="68"/>
      <c r="Q17" s="68"/>
      <c r="R17" s="68"/>
      <c r="S17" s="68"/>
      <c r="T17" s="310"/>
      <c r="U17" s="310"/>
      <c r="V17" s="310"/>
      <c r="W17" s="310"/>
      <c r="X17" s="310"/>
      <c r="Y17" s="310"/>
      <c r="Z17" s="310"/>
      <c r="AA17" s="310"/>
      <c r="AB17" s="310"/>
      <c r="AC17" s="310"/>
      <c r="AD17" s="310"/>
      <c r="AE17" s="310"/>
      <c r="AF17" s="310"/>
      <c r="AG17" s="310"/>
      <c r="AH17" s="310"/>
      <c r="AI17" s="310"/>
      <c r="AJ17" s="310"/>
      <c r="AK17" s="310"/>
      <c r="AL17" s="310"/>
      <c r="AM17" s="61"/>
      <c r="AN17" s="50"/>
      <c r="AO17" s="58"/>
      <c r="AP17" s="50"/>
      <c r="AQ17" s="55"/>
      <c r="AR17" s="50"/>
      <c r="AS17" s="50"/>
      <c r="AT17" s="50"/>
      <c r="AU17" s="53"/>
      <c r="AV17" s="52"/>
      <c r="AW17" s="58"/>
      <c r="AX17" s="50"/>
      <c r="AY17" s="55"/>
      <c r="AZ17" s="50"/>
      <c r="BA17" s="50"/>
      <c r="BB17" s="50"/>
      <c r="BC17" s="53"/>
      <c r="BD17" s="50"/>
      <c r="BE17" s="58"/>
      <c r="BF17" s="50"/>
      <c r="BG17" s="55"/>
      <c r="BH17" s="52"/>
      <c r="BI17" s="50"/>
      <c r="BJ17" s="50"/>
      <c r="BK17" s="53"/>
      <c r="BL17" s="50"/>
      <c r="BM17" s="58"/>
      <c r="BN17" s="50"/>
      <c r="BO17" s="55"/>
      <c r="BP17" s="50"/>
      <c r="BQ17" s="50"/>
      <c r="BR17" s="60"/>
      <c r="BS17" s="295" t="s">
        <v>56</v>
      </c>
      <c r="BT17" s="295"/>
      <c r="BU17" s="295"/>
      <c r="BV17" s="295"/>
      <c r="BW17" s="295"/>
      <c r="BX17" s="295"/>
      <c r="BY17" s="295"/>
      <c r="BZ17" s="295"/>
      <c r="CA17" s="295"/>
      <c r="CB17" s="288"/>
      <c r="CC17" s="288"/>
      <c r="CD17" s="288"/>
      <c r="CE17" s="288"/>
      <c r="CF17" s="302"/>
      <c r="CG17" s="302"/>
    </row>
    <row r="18" spans="12:85" ht="16.5" customHeight="1" x14ac:dyDescent="0.25">
      <c r="L18" s="45"/>
      <c r="M18" s="67"/>
      <c r="N18" s="68"/>
      <c r="O18" s="68"/>
      <c r="P18" s="68"/>
      <c r="Q18" s="68"/>
      <c r="R18" s="68"/>
      <c r="S18" s="68"/>
      <c r="T18" s="310"/>
      <c r="U18" s="310"/>
      <c r="V18" s="310"/>
      <c r="W18" s="310"/>
      <c r="X18" s="310"/>
      <c r="Y18" s="310"/>
      <c r="Z18" s="310"/>
      <c r="AA18" s="310"/>
      <c r="AB18" s="310"/>
      <c r="AC18" s="310"/>
      <c r="AD18" s="310"/>
      <c r="AE18" s="310"/>
      <c r="AF18" s="310"/>
      <c r="AG18" s="310"/>
      <c r="AH18" s="310"/>
      <c r="AI18" s="310"/>
      <c r="AJ18" s="310"/>
      <c r="AK18" s="310"/>
      <c r="AL18" s="310"/>
      <c r="AM18" s="61"/>
      <c r="AN18" s="52"/>
      <c r="AO18" s="54"/>
      <c r="AP18" s="50"/>
      <c r="AQ18" s="55"/>
      <c r="AR18" s="52"/>
      <c r="AS18" s="52"/>
      <c r="AT18" s="50"/>
      <c r="AU18" s="53"/>
      <c r="AV18" s="52"/>
      <c r="AW18" s="54"/>
      <c r="AX18" s="50"/>
      <c r="AY18" s="55"/>
      <c r="AZ18" s="52"/>
      <c r="BA18" s="52"/>
      <c r="BB18" s="50"/>
      <c r="BC18" s="53"/>
      <c r="BD18" s="52"/>
      <c r="BE18" s="54"/>
      <c r="BF18" s="50"/>
      <c r="BG18" s="55"/>
      <c r="BH18" s="52"/>
      <c r="BI18" s="52"/>
      <c r="BJ18" s="50"/>
      <c r="BK18" s="53"/>
      <c r="BL18" s="52"/>
      <c r="BM18" s="54"/>
      <c r="BN18" s="50"/>
      <c r="BO18" s="55"/>
      <c r="BP18" s="52"/>
      <c r="BQ18" s="52"/>
      <c r="BR18" s="60"/>
      <c r="BS18" s="302" t="s">
        <v>57</v>
      </c>
      <c r="BT18" s="302"/>
      <c r="BU18" s="302"/>
      <c r="BV18" s="302"/>
      <c r="BW18" s="302"/>
      <c r="BX18" s="302"/>
      <c r="BY18" s="302"/>
      <c r="BZ18" s="302"/>
      <c r="CA18" s="302"/>
      <c r="CB18" s="288"/>
      <c r="CC18" s="288"/>
      <c r="CD18" s="288"/>
      <c r="CE18" s="288"/>
      <c r="CF18" s="302"/>
      <c r="CG18" s="302"/>
    </row>
    <row r="19" spans="12:85" ht="16.5" customHeight="1" x14ac:dyDescent="0.25">
      <c r="L19" s="70"/>
      <c r="M19" s="71"/>
      <c r="N19" s="72"/>
      <c r="O19" s="72"/>
      <c r="P19" s="72"/>
      <c r="Q19" s="72"/>
      <c r="R19" s="72"/>
      <c r="S19" s="72"/>
      <c r="T19" s="310"/>
      <c r="U19" s="310"/>
      <c r="V19" s="310"/>
      <c r="W19" s="310"/>
      <c r="X19" s="310"/>
      <c r="Y19" s="310"/>
      <c r="Z19" s="310"/>
      <c r="AA19" s="310"/>
      <c r="AB19" s="310"/>
      <c r="AC19" s="310"/>
      <c r="AD19" s="310"/>
      <c r="AE19" s="310"/>
      <c r="AF19" s="310"/>
      <c r="AG19" s="310"/>
      <c r="AH19" s="310"/>
      <c r="AI19" s="310"/>
      <c r="AJ19" s="310"/>
      <c r="AK19" s="310"/>
      <c r="AL19" s="310"/>
      <c r="AM19" s="61"/>
      <c r="AN19" s="50"/>
      <c r="AO19" s="58"/>
      <c r="AP19" s="50"/>
      <c r="AQ19" s="59"/>
      <c r="AR19" s="52"/>
      <c r="AS19" s="50"/>
      <c r="AT19" s="50"/>
      <c r="AU19" s="53"/>
      <c r="AV19" s="50"/>
      <c r="AW19" s="58"/>
      <c r="AX19" s="50"/>
      <c r="AY19" s="51"/>
      <c r="AZ19" s="52"/>
      <c r="BA19" s="50"/>
      <c r="BB19" s="50"/>
      <c r="BC19" s="52"/>
      <c r="BD19" s="50"/>
      <c r="BE19" s="58"/>
      <c r="BF19" s="50"/>
      <c r="BG19" s="59"/>
      <c r="BH19" s="52"/>
      <c r="BI19" s="52"/>
      <c r="BJ19" s="50"/>
      <c r="BK19" s="63"/>
      <c r="BL19" s="50"/>
      <c r="BM19" s="58"/>
      <c r="BN19" s="50"/>
      <c r="BO19" s="59"/>
      <c r="BP19" s="52"/>
      <c r="BQ19" s="50"/>
      <c r="BR19" s="60"/>
      <c r="BS19" s="295"/>
      <c r="BT19" s="295"/>
      <c r="BU19" s="295"/>
      <c r="BV19" s="295"/>
      <c r="BW19" s="295"/>
      <c r="BX19" s="295"/>
      <c r="BY19" s="295"/>
      <c r="BZ19" s="295"/>
      <c r="CA19" s="295"/>
      <c r="CB19" s="288"/>
      <c r="CC19" s="288"/>
      <c r="CD19" s="288"/>
      <c r="CE19" s="288"/>
      <c r="CF19" s="302"/>
      <c r="CG19" s="302"/>
    </row>
    <row r="20" spans="12:85" ht="16.5" customHeight="1" x14ac:dyDescent="0.25">
      <c r="L20" s="70"/>
      <c r="M20" s="71"/>
      <c r="N20" s="72"/>
      <c r="O20" s="72"/>
      <c r="P20" s="72"/>
      <c r="Q20" s="72"/>
      <c r="R20" s="72"/>
      <c r="S20" s="72"/>
      <c r="T20" s="310"/>
      <c r="U20" s="310"/>
      <c r="V20" s="310"/>
      <c r="W20" s="310"/>
      <c r="X20" s="310"/>
      <c r="Y20" s="310"/>
      <c r="Z20" s="310"/>
      <c r="AA20" s="310"/>
      <c r="AB20" s="310"/>
      <c r="AC20" s="310"/>
      <c r="AD20" s="310"/>
      <c r="AE20" s="310"/>
      <c r="AF20" s="310"/>
      <c r="AG20" s="310"/>
      <c r="AH20" s="310"/>
      <c r="AI20" s="310"/>
      <c r="AJ20" s="310"/>
      <c r="AK20" s="310"/>
      <c r="AL20" s="310"/>
      <c r="AM20" s="62"/>
      <c r="AN20" s="50"/>
      <c r="AO20" s="58"/>
      <c r="AP20" s="50"/>
      <c r="AQ20" s="59"/>
      <c r="AR20" s="52"/>
      <c r="AS20" s="50"/>
      <c r="AT20" s="50"/>
      <c r="AU20" s="52"/>
      <c r="AV20" s="50"/>
      <c r="AW20" s="58"/>
      <c r="AX20" s="50"/>
      <c r="AY20" s="59"/>
      <c r="AZ20" s="52"/>
      <c r="BA20" s="50"/>
      <c r="BB20" s="50"/>
      <c r="BC20" s="52"/>
      <c r="BD20" s="50"/>
      <c r="BE20" s="58"/>
      <c r="BF20" s="50"/>
      <c r="BG20" s="59"/>
      <c r="BH20" s="52"/>
      <c r="BI20" s="50"/>
      <c r="BJ20" s="50"/>
      <c r="BK20" s="52"/>
      <c r="BL20" s="50"/>
      <c r="BM20" s="58"/>
      <c r="BN20" s="50"/>
      <c r="BO20" s="59"/>
      <c r="BP20" s="52"/>
      <c r="BQ20" s="50"/>
      <c r="BR20" s="60"/>
      <c r="BS20" s="295" t="s">
        <v>2</v>
      </c>
      <c r="BT20" s="295"/>
      <c r="BU20" s="295"/>
      <c r="BV20" s="295"/>
      <c r="BW20" s="295"/>
      <c r="BX20" s="295"/>
      <c r="BY20" s="295"/>
      <c r="BZ20" s="295"/>
      <c r="CA20" s="295"/>
      <c r="CB20" s="311">
        <f>Памятка!E3</f>
        <v>0</v>
      </c>
      <c r="CC20" s="311"/>
      <c r="CD20" s="311"/>
      <c r="CE20" s="311"/>
      <c r="CF20" s="311"/>
      <c r="CG20" s="311"/>
    </row>
    <row r="21" spans="12:85" ht="16.5" customHeight="1" x14ac:dyDescent="0.25">
      <c r="L21" s="70"/>
      <c r="M21" s="71"/>
      <c r="N21" s="72"/>
      <c r="O21" s="72"/>
      <c r="P21" s="72"/>
      <c r="Q21" s="72"/>
      <c r="R21" s="72"/>
      <c r="S21" s="72"/>
      <c r="T21" s="310"/>
      <c r="U21" s="310"/>
      <c r="V21" s="310"/>
      <c r="W21" s="310"/>
      <c r="X21" s="310"/>
      <c r="Y21" s="310"/>
      <c r="Z21" s="310"/>
      <c r="AA21" s="310"/>
      <c r="AB21" s="310"/>
      <c r="AC21" s="310"/>
      <c r="AD21" s="310"/>
      <c r="AE21" s="310"/>
      <c r="AF21" s="310"/>
      <c r="AG21" s="310"/>
      <c r="AH21" s="310"/>
      <c r="AI21" s="310"/>
      <c r="AJ21" s="310"/>
      <c r="AK21" s="310"/>
      <c r="AL21" s="310"/>
      <c r="AM21" s="61"/>
      <c r="AN21" s="50"/>
      <c r="AO21" s="54"/>
      <c r="AP21" s="50"/>
      <c r="AQ21" s="51"/>
      <c r="AR21" s="50"/>
      <c r="AS21" s="50"/>
      <c r="AT21" s="50"/>
      <c r="AU21" s="52"/>
      <c r="AV21" s="50"/>
      <c r="AW21" s="58"/>
      <c r="AX21" s="50"/>
      <c r="AY21" s="55"/>
      <c r="AZ21" s="50"/>
      <c r="BA21" s="52"/>
      <c r="BB21" s="50"/>
      <c r="BC21" s="50"/>
      <c r="BD21" s="50"/>
      <c r="BE21" s="58"/>
      <c r="BF21" s="50"/>
      <c r="BG21" s="59"/>
      <c r="BH21" s="50"/>
      <c r="BI21" s="50"/>
      <c r="BJ21" s="50"/>
      <c r="BK21" s="53"/>
      <c r="BL21" s="50"/>
      <c r="BM21" s="54"/>
      <c r="BN21" s="50"/>
      <c r="BO21" s="51"/>
      <c r="BP21" s="50"/>
      <c r="BQ21" s="50"/>
      <c r="BR21" s="60"/>
      <c r="BS21" s="295" t="s">
        <v>1</v>
      </c>
      <c r="BT21" s="295"/>
      <c r="BU21" s="295"/>
      <c r="BV21" s="295"/>
      <c r="BW21" s="295"/>
      <c r="BX21" s="295"/>
      <c r="BY21" s="295"/>
      <c r="BZ21" s="295"/>
      <c r="CA21" s="295"/>
      <c r="CB21" s="311">
        <f>Памятка!E2</f>
        <v>0</v>
      </c>
      <c r="CC21" s="311"/>
      <c r="CD21" s="311"/>
      <c r="CE21" s="311"/>
      <c r="CF21" s="311"/>
      <c r="CG21" s="311"/>
    </row>
    <row r="22" spans="12:85" ht="16.5" customHeight="1" x14ac:dyDescent="0.25">
      <c r="L22" s="70"/>
      <c r="M22" s="71"/>
      <c r="N22" s="72"/>
      <c r="O22" s="72"/>
      <c r="P22" s="72"/>
      <c r="Q22" s="72"/>
      <c r="R22" s="72"/>
      <c r="S22" s="73"/>
      <c r="T22" s="310"/>
      <c r="U22" s="310"/>
      <c r="V22" s="310"/>
      <c r="W22" s="310"/>
      <c r="X22" s="310"/>
      <c r="Y22" s="310"/>
      <c r="Z22" s="310"/>
      <c r="AA22" s="310"/>
      <c r="AB22" s="310"/>
      <c r="AC22" s="310"/>
      <c r="AD22" s="310"/>
      <c r="AE22" s="310"/>
      <c r="AF22" s="310"/>
      <c r="AG22" s="310"/>
      <c r="AH22" s="310"/>
      <c r="AI22" s="310"/>
      <c r="AJ22" s="310"/>
      <c r="AK22" s="310"/>
      <c r="AL22" s="310"/>
      <c r="AM22" s="48"/>
      <c r="AN22" s="50"/>
      <c r="AO22" s="58"/>
      <c r="AP22" s="50"/>
      <c r="AQ22" s="59"/>
      <c r="AR22" s="50"/>
      <c r="AS22" s="50"/>
      <c r="AT22" s="50"/>
      <c r="AU22" s="50"/>
      <c r="AV22" s="50"/>
      <c r="AW22" s="58"/>
      <c r="AX22" s="50"/>
      <c r="AY22" s="59"/>
      <c r="AZ22" s="50"/>
      <c r="BA22" s="50"/>
      <c r="BB22" s="50"/>
      <c r="BC22" s="50"/>
      <c r="BD22" s="50"/>
      <c r="BE22" s="58"/>
      <c r="BF22" s="50"/>
      <c r="BG22" s="59"/>
      <c r="BH22" s="50"/>
      <c r="BI22" s="50"/>
      <c r="BJ22" s="50"/>
      <c r="BK22" s="50"/>
      <c r="BL22" s="50"/>
      <c r="BM22" s="58"/>
      <c r="BN22" s="50"/>
      <c r="BO22" s="59"/>
      <c r="BP22" s="50"/>
      <c r="BQ22" s="50"/>
      <c r="BR22" s="60"/>
      <c r="BS22" s="312" t="s">
        <v>58</v>
      </c>
      <c r="BT22" s="312"/>
      <c r="BU22" s="312"/>
      <c r="BV22" s="312"/>
      <c r="BW22" s="312"/>
      <c r="BX22" s="312"/>
      <c r="BY22" s="312"/>
      <c r="BZ22" s="312"/>
      <c r="CA22" s="312"/>
      <c r="CB22" s="312"/>
      <c r="CC22" s="312"/>
      <c r="CD22" s="312"/>
      <c r="CE22" s="312"/>
      <c r="CF22" s="312"/>
      <c r="CG22" s="312"/>
    </row>
    <row r="23" spans="12:85" ht="16.5" customHeight="1" x14ac:dyDescent="0.25">
      <c r="L23" s="70"/>
      <c r="M23" s="71"/>
      <c r="N23" s="72"/>
      <c r="O23" s="72"/>
      <c r="P23" s="72"/>
      <c r="Q23" s="72"/>
      <c r="R23" s="72"/>
      <c r="S23" s="72"/>
      <c r="T23" s="310"/>
      <c r="U23" s="310"/>
      <c r="V23" s="310"/>
      <c r="W23" s="310"/>
      <c r="X23" s="310"/>
      <c r="Y23" s="310"/>
      <c r="Z23" s="310"/>
      <c r="AA23" s="310"/>
      <c r="AB23" s="310"/>
      <c r="AC23" s="310"/>
      <c r="AD23" s="310"/>
      <c r="AE23" s="310"/>
      <c r="AF23" s="310"/>
      <c r="AG23" s="310"/>
      <c r="AH23" s="310"/>
      <c r="AI23" s="310"/>
      <c r="AJ23" s="310"/>
      <c r="AK23" s="310"/>
      <c r="AL23" s="310"/>
      <c r="AM23" s="48"/>
      <c r="AN23" s="50"/>
      <c r="AO23" s="58"/>
      <c r="AP23" s="50"/>
      <c r="AQ23" s="51"/>
      <c r="AR23" s="50"/>
      <c r="AS23" s="50"/>
      <c r="AT23" s="50"/>
      <c r="AU23" s="50"/>
      <c r="AV23" s="50"/>
      <c r="AW23" s="58"/>
      <c r="AX23" s="50"/>
      <c r="AY23" s="51"/>
      <c r="AZ23" s="50"/>
      <c r="BA23" s="50"/>
      <c r="BB23" s="50"/>
      <c r="BC23" s="50"/>
      <c r="BD23" s="50"/>
      <c r="BE23" s="58"/>
      <c r="BF23" s="50"/>
      <c r="BG23" s="51"/>
      <c r="BH23" s="50"/>
      <c r="BI23" s="50"/>
      <c r="BJ23" s="50"/>
      <c r="BK23" s="50"/>
      <c r="BL23" s="50"/>
      <c r="BM23" s="58"/>
      <c r="BN23" s="50"/>
      <c r="BO23" s="51"/>
      <c r="BP23" s="50"/>
      <c r="BQ23" s="50"/>
      <c r="BR23" s="60"/>
      <c r="BS23" s="287" t="s">
        <v>59</v>
      </c>
      <c r="BT23" s="287"/>
      <c r="BU23" s="287"/>
      <c r="BV23" s="287"/>
      <c r="BW23" s="313" t="s">
        <v>60</v>
      </c>
      <c r="BX23" s="313"/>
      <c r="BY23" s="313"/>
      <c r="BZ23" s="313"/>
      <c r="CA23" s="313"/>
      <c r="CB23" s="313"/>
      <c r="CC23" s="74"/>
      <c r="CD23" s="313" t="s">
        <v>33</v>
      </c>
      <c r="CE23" s="313"/>
      <c r="CF23" s="313"/>
      <c r="CG23" s="313"/>
    </row>
    <row r="24" spans="12:85" ht="16.5" customHeight="1" x14ac:dyDescent="0.25">
      <c r="L24" s="70"/>
      <c r="M24" s="71"/>
      <c r="N24" s="72"/>
      <c r="O24" s="72"/>
      <c r="P24" s="72"/>
      <c r="Q24" s="72"/>
      <c r="R24" s="72"/>
      <c r="S24" s="72"/>
      <c r="T24" s="310"/>
      <c r="U24" s="310"/>
      <c r="V24" s="310"/>
      <c r="W24" s="310"/>
      <c r="X24" s="310"/>
      <c r="Y24" s="310"/>
      <c r="Z24" s="310"/>
      <c r="AA24" s="310"/>
      <c r="AB24" s="310"/>
      <c r="AC24" s="310"/>
      <c r="AD24" s="310"/>
      <c r="AE24" s="310"/>
      <c r="AF24" s="310"/>
      <c r="AG24" s="310"/>
      <c r="AH24" s="310"/>
      <c r="AI24" s="310"/>
      <c r="AJ24" s="310"/>
      <c r="AK24" s="310"/>
      <c r="AL24" s="310"/>
      <c r="AM24" s="48"/>
      <c r="AN24" s="50"/>
      <c r="AO24" s="58"/>
      <c r="AP24" s="50"/>
      <c r="AQ24" s="51"/>
      <c r="AR24" s="50"/>
      <c r="AS24" s="50"/>
      <c r="AT24" s="50"/>
      <c r="AU24" s="50"/>
      <c r="AV24" s="50"/>
      <c r="AW24" s="58"/>
      <c r="AX24" s="50"/>
      <c r="AY24" s="51"/>
      <c r="AZ24" s="50"/>
      <c r="BA24" s="50"/>
      <c r="BB24" s="50"/>
      <c r="BC24" s="50"/>
      <c r="BD24" s="50"/>
      <c r="BE24" s="58"/>
      <c r="BF24" s="50"/>
      <c r="BG24" s="51"/>
      <c r="BH24" s="50"/>
      <c r="BI24" s="50"/>
      <c r="BJ24" s="50"/>
      <c r="BK24" s="50"/>
      <c r="BL24" s="50"/>
      <c r="BM24" s="58"/>
      <c r="BN24" s="50"/>
      <c r="BO24" s="51"/>
      <c r="BP24" s="50"/>
      <c r="BQ24" s="50"/>
      <c r="BR24" s="60"/>
      <c r="BS24" s="292" t="s">
        <v>61</v>
      </c>
      <c r="BT24" s="292"/>
      <c r="BU24" s="292"/>
      <c r="BV24" s="292"/>
      <c r="BW24" s="288"/>
      <c r="BX24" s="288"/>
      <c r="BY24" s="288"/>
      <c r="BZ24" s="288"/>
      <c r="CA24" s="288"/>
      <c r="CB24" s="288"/>
      <c r="CC24" s="69"/>
      <c r="CD24" s="288"/>
      <c r="CE24" s="288"/>
      <c r="CF24" s="288"/>
      <c r="CG24" s="288"/>
    </row>
    <row r="25" spans="12:85" ht="16.5" customHeight="1" x14ac:dyDescent="0.25">
      <c r="L25" s="70"/>
      <c r="M25" s="71"/>
      <c r="N25" s="72"/>
      <c r="O25" s="72"/>
      <c r="P25" s="72"/>
      <c r="Q25" s="72"/>
      <c r="R25" s="72"/>
      <c r="S25" s="72"/>
      <c r="T25" s="310"/>
      <c r="U25" s="310"/>
      <c r="V25" s="310"/>
      <c r="W25" s="310"/>
      <c r="X25" s="310"/>
      <c r="Y25" s="310"/>
      <c r="Z25" s="310"/>
      <c r="AA25" s="310"/>
      <c r="AB25" s="310"/>
      <c r="AC25" s="310"/>
      <c r="AD25" s="310"/>
      <c r="AE25" s="310"/>
      <c r="AF25" s="310"/>
      <c r="AG25" s="310"/>
      <c r="AH25" s="310"/>
      <c r="AI25" s="310"/>
      <c r="AJ25" s="310"/>
      <c r="AK25" s="310"/>
      <c r="AL25" s="310"/>
      <c r="AM25" s="48"/>
      <c r="AN25" s="50"/>
      <c r="AO25" s="58"/>
      <c r="AP25" s="50"/>
      <c r="AQ25" s="51"/>
      <c r="AR25" s="50"/>
      <c r="AS25" s="50"/>
      <c r="AT25" s="50"/>
      <c r="AU25" s="50"/>
      <c r="AV25" s="50"/>
      <c r="AW25" s="58"/>
      <c r="AX25" s="50"/>
      <c r="AY25" s="51"/>
      <c r="AZ25" s="50"/>
      <c r="BA25" s="50"/>
      <c r="BB25" s="50"/>
      <c r="BC25" s="50"/>
      <c r="BD25" s="50"/>
      <c r="BE25" s="58"/>
      <c r="BF25" s="50"/>
      <c r="BG25" s="51"/>
      <c r="BH25" s="50"/>
      <c r="BI25" s="50"/>
      <c r="BJ25" s="50"/>
      <c r="BK25" s="50"/>
      <c r="BL25" s="50"/>
      <c r="BM25" s="58"/>
      <c r="BN25" s="50"/>
      <c r="BO25" s="51"/>
      <c r="BP25" s="50"/>
      <c r="BQ25" s="50"/>
      <c r="BR25" s="60"/>
      <c r="BS25" s="292"/>
      <c r="BT25" s="292"/>
      <c r="BU25" s="292"/>
      <c r="BV25" s="292"/>
      <c r="BW25" s="288"/>
      <c r="BX25" s="288"/>
      <c r="BY25" s="288"/>
      <c r="BZ25" s="288"/>
      <c r="CA25" s="288"/>
      <c r="CB25" s="288"/>
      <c r="CC25" s="69"/>
      <c r="CD25" s="288"/>
      <c r="CE25" s="288"/>
      <c r="CF25" s="288"/>
      <c r="CG25" s="288"/>
    </row>
    <row r="26" spans="12:85" ht="16.5" customHeight="1" x14ac:dyDescent="0.25">
      <c r="L26" s="70"/>
      <c r="M26" s="71"/>
      <c r="N26" s="72"/>
      <c r="O26" s="72"/>
      <c r="P26" s="72"/>
      <c r="Q26" s="72"/>
      <c r="R26" s="72"/>
      <c r="S26" s="72"/>
      <c r="T26" s="310"/>
      <c r="U26" s="310"/>
      <c r="V26" s="310"/>
      <c r="W26" s="310"/>
      <c r="X26" s="310"/>
      <c r="Y26" s="310"/>
      <c r="Z26" s="310"/>
      <c r="AA26" s="310"/>
      <c r="AB26" s="310"/>
      <c r="AC26" s="310"/>
      <c r="AD26" s="310"/>
      <c r="AE26" s="310"/>
      <c r="AF26" s="310"/>
      <c r="AG26" s="310"/>
      <c r="AH26" s="310"/>
      <c r="AI26" s="310"/>
      <c r="AJ26" s="310"/>
      <c r="AK26" s="310"/>
      <c r="AL26" s="310"/>
      <c r="AM26" s="48"/>
      <c r="AN26" s="50"/>
      <c r="AO26" s="58"/>
      <c r="AP26" s="50"/>
      <c r="AQ26" s="51"/>
      <c r="AR26" s="50"/>
      <c r="AS26" s="50"/>
      <c r="AT26" s="50"/>
      <c r="AU26" s="50"/>
      <c r="AV26" s="50"/>
      <c r="AW26" s="58"/>
      <c r="AX26" s="50"/>
      <c r="AY26" s="51"/>
      <c r="AZ26" s="50"/>
      <c r="BA26" s="50"/>
      <c r="BB26" s="50"/>
      <c r="BC26" s="50"/>
      <c r="BD26" s="50"/>
      <c r="BE26" s="58"/>
      <c r="BF26" s="50"/>
      <c r="BG26" s="51"/>
      <c r="BH26" s="50"/>
      <c r="BI26" s="50"/>
      <c r="BJ26" s="50"/>
      <c r="BK26" s="50"/>
      <c r="BL26" s="50"/>
      <c r="BM26" s="58"/>
      <c r="BN26" s="50"/>
      <c r="BO26" s="51"/>
      <c r="BP26" s="50"/>
      <c r="BQ26" s="50"/>
      <c r="BR26" s="60"/>
      <c r="BS26" s="292" t="s">
        <v>62</v>
      </c>
      <c r="BT26" s="292"/>
      <c r="BU26" s="292"/>
      <c r="BV26" s="292"/>
      <c r="BW26" s="288"/>
      <c r="BX26" s="288"/>
      <c r="BY26" s="288"/>
      <c r="BZ26" s="288"/>
      <c r="CA26" s="288"/>
      <c r="CB26" s="288"/>
      <c r="CC26" s="69"/>
      <c r="CD26" s="288"/>
      <c r="CE26" s="288"/>
      <c r="CF26" s="288"/>
      <c r="CG26" s="288"/>
    </row>
    <row r="27" spans="12:85" ht="16.5" customHeight="1" x14ac:dyDescent="0.25">
      <c r="L27" s="70"/>
      <c r="M27" s="71"/>
      <c r="N27" s="72"/>
      <c r="O27" s="72"/>
      <c r="P27" s="72"/>
      <c r="Q27" s="72"/>
      <c r="R27" s="72"/>
      <c r="S27" s="72"/>
      <c r="T27" s="310"/>
      <c r="U27" s="310"/>
      <c r="V27" s="310"/>
      <c r="W27" s="310"/>
      <c r="X27" s="310"/>
      <c r="Y27" s="310"/>
      <c r="Z27" s="310"/>
      <c r="AA27" s="310"/>
      <c r="AB27" s="310"/>
      <c r="AC27" s="310"/>
      <c r="AD27" s="310"/>
      <c r="AE27" s="310"/>
      <c r="AF27" s="310"/>
      <c r="AG27" s="310"/>
      <c r="AH27" s="310"/>
      <c r="AI27" s="310"/>
      <c r="AJ27" s="310"/>
      <c r="AK27" s="310"/>
      <c r="AL27" s="310"/>
      <c r="AM27" s="48"/>
      <c r="AN27" s="50"/>
      <c r="AO27" s="58"/>
      <c r="AP27" s="50"/>
      <c r="AQ27" s="51"/>
      <c r="AR27" s="50"/>
      <c r="AS27" s="50"/>
      <c r="AT27" s="50"/>
      <c r="AU27" s="50"/>
      <c r="AV27" s="50"/>
      <c r="AW27" s="58"/>
      <c r="AX27" s="50"/>
      <c r="AY27" s="51"/>
      <c r="AZ27" s="50"/>
      <c r="BA27" s="50"/>
      <c r="BB27" s="50"/>
      <c r="BC27" s="50"/>
      <c r="BD27" s="50"/>
      <c r="BE27" s="58"/>
      <c r="BF27" s="50"/>
      <c r="BG27" s="51"/>
      <c r="BH27" s="50"/>
      <c r="BI27" s="50"/>
      <c r="BJ27" s="50"/>
      <c r="BK27" s="50"/>
      <c r="BL27" s="50"/>
      <c r="BM27" s="58"/>
      <c r="BN27" s="50"/>
      <c r="BO27" s="51"/>
      <c r="BP27" s="50"/>
      <c r="BQ27" s="50"/>
      <c r="BR27" s="60"/>
      <c r="BS27" s="292"/>
      <c r="BT27" s="292"/>
      <c r="BU27" s="292"/>
      <c r="BV27" s="292"/>
      <c r="BW27" s="288"/>
      <c r="BX27" s="288"/>
      <c r="BY27" s="288"/>
      <c r="BZ27" s="288"/>
      <c r="CA27" s="288"/>
      <c r="CB27" s="288"/>
      <c r="CC27" s="69"/>
      <c r="CD27" s="288"/>
      <c r="CE27" s="288"/>
      <c r="CF27" s="288"/>
      <c r="CG27" s="288"/>
    </row>
    <row r="28" spans="12:85" ht="15.75" customHeight="1" x14ac:dyDescent="0.25">
      <c r="L28" s="75"/>
      <c r="M28" s="71"/>
      <c r="N28" s="72"/>
      <c r="O28" s="72"/>
      <c r="P28" s="72"/>
      <c r="Q28" s="72"/>
      <c r="R28" s="72"/>
      <c r="S28" s="72"/>
      <c r="T28" s="306"/>
      <c r="U28" s="306"/>
      <c r="V28" s="306"/>
      <c r="W28" s="306"/>
      <c r="X28" s="306"/>
      <c r="Y28" s="306"/>
      <c r="Z28" s="306"/>
      <c r="AA28" s="306"/>
      <c r="AB28" s="306"/>
      <c r="AC28" s="306"/>
      <c r="AD28" s="306"/>
      <c r="AE28" s="306"/>
      <c r="AF28" s="306"/>
      <c r="AG28" s="306"/>
      <c r="AH28" s="306"/>
      <c r="AI28" s="306"/>
      <c r="AJ28" s="306"/>
      <c r="AK28" s="306"/>
      <c r="AL28" s="306"/>
      <c r="AM28" s="76"/>
      <c r="AN28" s="77"/>
      <c r="AO28" s="78"/>
      <c r="AP28" s="77"/>
      <c r="AQ28" s="79"/>
      <c r="AR28" s="77"/>
      <c r="AS28" s="77"/>
      <c r="AT28" s="77"/>
      <c r="AU28" s="77"/>
      <c r="AV28" s="77"/>
      <c r="AW28" s="78"/>
      <c r="AX28" s="77"/>
      <c r="AY28" s="79"/>
      <c r="AZ28" s="77"/>
      <c r="BA28" s="77"/>
      <c r="BB28" s="77"/>
      <c r="BC28" s="77"/>
      <c r="BD28" s="77"/>
      <c r="BE28" s="78"/>
      <c r="BF28" s="77"/>
      <c r="BG28" s="79"/>
      <c r="BH28" s="77"/>
      <c r="BI28" s="77"/>
      <c r="BJ28" s="77"/>
      <c r="BK28" s="77"/>
      <c r="BL28" s="77"/>
      <c r="BM28" s="78"/>
      <c r="BN28" s="77"/>
      <c r="BO28" s="79"/>
      <c r="BP28" s="77"/>
      <c r="BQ28" s="77"/>
      <c r="BR28" s="80"/>
      <c r="BS28" s="292" t="s">
        <v>63</v>
      </c>
      <c r="BT28" s="292"/>
      <c r="BU28" s="292"/>
      <c r="BV28" s="292"/>
      <c r="BW28" s="288"/>
      <c r="BX28" s="288"/>
      <c r="BY28" s="288"/>
      <c r="BZ28" s="288"/>
      <c r="CA28" s="288"/>
      <c r="CB28" s="288"/>
      <c r="CC28" s="69"/>
      <c r="CD28" s="288"/>
      <c r="CE28" s="288"/>
      <c r="CF28" s="288"/>
      <c r="CG28" s="288"/>
    </row>
    <row r="29" spans="12:85" ht="15" hidden="1" customHeight="1" x14ac:dyDescent="0.25">
      <c r="L29" s="81"/>
      <c r="M29" s="71"/>
      <c r="N29" s="72"/>
      <c r="O29" s="72"/>
      <c r="P29" s="72"/>
      <c r="Q29" s="72"/>
      <c r="R29" s="72"/>
      <c r="S29" s="72"/>
      <c r="T29" s="307"/>
      <c r="U29" s="307"/>
      <c r="V29" s="307"/>
      <c r="W29" s="307"/>
      <c r="X29" s="307"/>
      <c r="Y29" s="307"/>
      <c r="Z29" s="307"/>
      <c r="AA29" s="307"/>
      <c r="AB29" s="307"/>
      <c r="AC29" s="307"/>
      <c r="AD29" s="307"/>
      <c r="AE29" s="307"/>
      <c r="AF29" s="307"/>
      <c r="AG29" s="307"/>
      <c r="AH29" s="307"/>
      <c r="AI29" s="307"/>
      <c r="AJ29" s="307"/>
      <c r="AK29" s="307"/>
      <c r="AL29" s="307"/>
      <c r="AM29" s="82"/>
      <c r="AN29" s="83"/>
      <c r="AO29" s="83"/>
      <c r="AP29" s="84"/>
      <c r="AQ29" s="85"/>
      <c r="AR29" s="83"/>
      <c r="AS29" s="84"/>
      <c r="AT29" s="85"/>
      <c r="AU29" s="83"/>
      <c r="AV29" s="83"/>
      <c r="AW29" s="83"/>
      <c r="AX29" s="86"/>
      <c r="AY29" s="85"/>
      <c r="AZ29" s="83"/>
      <c r="BA29" s="84"/>
      <c r="BB29" s="85"/>
      <c r="BC29" s="83"/>
      <c r="BD29" s="83"/>
      <c r="BE29" s="83"/>
      <c r="BF29" s="86"/>
      <c r="BG29" s="85"/>
      <c r="BH29" s="83"/>
      <c r="BI29" s="84"/>
      <c r="BJ29" s="85"/>
      <c r="BK29" s="83"/>
      <c r="BL29" s="83"/>
      <c r="BM29" s="83"/>
      <c r="BN29" s="86"/>
      <c r="BO29" s="85"/>
      <c r="BP29" s="83"/>
      <c r="BQ29" s="84"/>
      <c r="BR29" s="87"/>
      <c r="BS29" s="292"/>
      <c r="BT29" s="292"/>
      <c r="BU29" s="292"/>
      <c r="BV29" s="292"/>
      <c r="BW29" s="288"/>
      <c r="BX29" s="288"/>
      <c r="BY29" s="288"/>
      <c r="BZ29" s="288"/>
      <c r="CA29" s="288"/>
      <c r="CB29" s="288"/>
      <c r="CC29" s="69"/>
      <c r="CD29" s="288"/>
      <c r="CE29" s="288"/>
      <c r="CF29" s="288"/>
      <c r="CG29" s="288"/>
    </row>
    <row r="30" spans="12:85" ht="16.5" hidden="1" customHeight="1" x14ac:dyDescent="0.25">
      <c r="L30" s="81"/>
      <c r="M30" s="71"/>
      <c r="N30" s="72"/>
      <c r="O30" s="72"/>
      <c r="P30" s="72"/>
      <c r="Q30" s="72"/>
      <c r="R30" s="72"/>
      <c r="S30" s="72"/>
      <c r="T30" s="307"/>
      <c r="U30" s="307"/>
      <c r="V30" s="307"/>
      <c r="W30" s="307"/>
      <c r="X30" s="307"/>
      <c r="Y30" s="307"/>
      <c r="Z30" s="307"/>
      <c r="AA30" s="307"/>
      <c r="AB30" s="307"/>
      <c r="AC30" s="307"/>
      <c r="AD30" s="307"/>
      <c r="AE30" s="307"/>
      <c r="AF30" s="307"/>
      <c r="AG30" s="307"/>
      <c r="AH30" s="307"/>
      <c r="AI30" s="307"/>
      <c r="AJ30" s="307"/>
      <c r="AK30" s="307"/>
      <c r="AL30" s="307"/>
      <c r="AM30" s="82"/>
      <c r="AN30" s="83"/>
      <c r="AO30" s="83"/>
      <c r="AP30" s="84"/>
      <c r="AQ30" s="85"/>
      <c r="AR30" s="83"/>
      <c r="AS30" s="84"/>
      <c r="AT30" s="85"/>
      <c r="AU30" s="83"/>
      <c r="AV30" s="83"/>
      <c r="AW30" s="83"/>
      <c r="AX30" s="86"/>
      <c r="AY30" s="85"/>
      <c r="AZ30" s="83"/>
      <c r="BA30" s="84"/>
      <c r="BB30" s="85"/>
      <c r="BC30" s="83"/>
      <c r="BD30" s="83"/>
      <c r="BE30" s="83"/>
      <c r="BF30" s="86"/>
      <c r="BG30" s="85"/>
      <c r="BH30" s="83"/>
      <c r="BI30" s="84"/>
      <c r="BJ30" s="85"/>
      <c r="BK30" s="83"/>
      <c r="BL30" s="83"/>
      <c r="BM30" s="83"/>
      <c r="BN30" s="86"/>
      <c r="BO30" s="85"/>
      <c r="BP30" s="83"/>
      <c r="BQ30" s="84"/>
      <c r="BR30" s="87"/>
      <c r="BS30" s="292"/>
      <c r="BT30" s="292"/>
      <c r="BU30" s="292"/>
      <c r="BV30" s="292"/>
      <c r="BW30" s="69"/>
      <c r="BX30" s="69"/>
      <c r="BY30" s="69"/>
      <c r="BZ30" s="69"/>
      <c r="CA30" s="69"/>
      <c r="CB30" s="69"/>
      <c r="CC30" s="69"/>
      <c r="CD30" s="69"/>
      <c r="CE30" s="69"/>
      <c r="CF30" s="26"/>
      <c r="CG30" s="26"/>
    </row>
    <row r="31" spans="12:85" ht="16.5" hidden="1" customHeight="1" x14ac:dyDescent="0.25">
      <c r="L31" s="88"/>
      <c r="M31" s="89"/>
      <c r="N31" s="90"/>
      <c r="O31" s="90"/>
      <c r="P31" s="90"/>
      <c r="Q31" s="90"/>
      <c r="R31" s="90"/>
      <c r="S31" s="90"/>
      <c r="T31" s="308"/>
      <c r="U31" s="308"/>
      <c r="V31" s="308"/>
      <c r="W31" s="308"/>
      <c r="X31" s="308"/>
      <c r="Y31" s="308"/>
      <c r="Z31" s="308"/>
      <c r="AA31" s="308"/>
      <c r="AB31" s="308"/>
      <c r="AC31" s="308"/>
      <c r="AD31" s="308"/>
      <c r="AE31" s="308"/>
      <c r="AF31" s="308"/>
      <c r="AG31" s="308"/>
      <c r="AH31" s="308"/>
      <c r="AI31" s="308"/>
      <c r="AJ31" s="308"/>
      <c r="AK31" s="308"/>
      <c r="AL31" s="308"/>
      <c r="AM31" s="91"/>
      <c r="AN31" s="92"/>
      <c r="AO31" s="92"/>
      <c r="AP31" s="93"/>
      <c r="AQ31" s="94"/>
      <c r="AR31" s="92"/>
      <c r="AS31" s="93"/>
      <c r="AT31" s="94"/>
      <c r="AU31" s="92"/>
      <c r="AV31" s="92"/>
      <c r="AW31" s="92"/>
      <c r="AX31" s="95"/>
      <c r="AY31" s="94"/>
      <c r="AZ31" s="92"/>
      <c r="BA31" s="93"/>
      <c r="BB31" s="94"/>
      <c r="BC31" s="92"/>
      <c r="BD31" s="92"/>
      <c r="BE31" s="92"/>
      <c r="BF31" s="95"/>
      <c r="BG31" s="94"/>
      <c r="BH31" s="92"/>
      <c r="BI31" s="93"/>
      <c r="BJ31" s="94"/>
      <c r="BK31" s="92"/>
      <c r="BL31" s="92"/>
      <c r="BM31" s="92"/>
      <c r="BN31" s="95"/>
      <c r="BO31" s="94"/>
      <c r="BP31" s="92"/>
      <c r="BQ31" s="93"/>
      <c r="BR31" s="96"/>
      <c r="BS31" s="292"/>
      <c r="BT31" s="292"/>
      <c r="BU31" s="292"/>
      <c r="BV31" s="292"/>
      <c r="BW31" s="69"/>
      <c r="BX31" s="69"/>
      <c r="BY31" s="69"/>
      <c r="BZ31" s="69"/>
      <c r="CA31" s="69"/>
      <c r="CB31" s="69"/>
      <c r="CC31" s="69"/>
      <c r="CD31" s="69"/>
      <c r="CE31" s="69"/>
      <c r="CF31" s="26"/>
      <c r="CG31" s="26"/>
    </row>
    <row r="32" spans="12:85" ht="16.5" customHeight="1" x14ac:dyDescent="0.25">
      <c r="L32" s="309" t="s">
        <v>64</v>
      </c>
      <c r="M32" s="309"/>
      <c r="N32" s="309"/>
      <c r="O32" s="309"/>
      <c r="P32" s="309"/>
      <c r="Q32" s="309"/>
      <c r="R32" s="309"/>
      <c r="S32" s="309"/>
      <c r="T32" s="309"/>
      <c r="U32" s="309"/>
      <c r="V32" s="309"/>
      <c r="W32" s="309"/>
      <c r="X32" s="309"/>
      <c r="Y32" s="309"/>
      <c r="Z32" s="309"/>
      <c r="AA32" s="309"/>
      <c r="AB32" s="309"/>
      <c r="AC32" s="309"/>
      <c r="AD32" s="309"/>
      <c r="AE32" s="309"/>
      <c r="AF32" s="309"/>
      <c r="AG32" s="309"/>
      <c r="AH32" s="309"/>
      <c r="AI32" s="309"/>
      <c r="AJ32" s="309"/>
      <c r="AK32" s="309"/>
      <c r="AL32" s="309"/>
      <c r="AM32" s="97"/>
      <c r="AN32" s="98"/>
      <c r="AO32" s="99"/>
      <c r="AP32" s="98"/>
      <c r="AQ32" s="100"/>
      <c r="AR32" s="98"/>
      <c r="AS32" s="98"/>
      <c r="AT32" s="98"/>
      <c r="AU32" s="98"/>
      <c r="AV32" s="98"/>
      <c r="AW32" s="99"/>
      <c r="AX32" s="98"/>
      <c r="AY32" s="100"/>
      <c r="AZ32" s="98"/>
      <c r="BA32" s="98"/>
      <c r="BB32" s="98"/>
      <c r="BC32" s="98"/>
      <c r="BD32" s="98"/>
      <c r="BE32" s="99"/>
      <c r="BF32" s="98"/>
      <c r="BG32" s="100"/>
      <c r="BH32" s="98"/>
      <c r="BI32" s="98"/>
      <c r="BJ32" s="98"/>
      <c r="BK32" s="98"/>
      <c r="BL32" s="98"/>
      <c r="BM32" s="99"/>
      <c r="BN32" s="98"/>
      <c r="BO32" s="100"/>
      <c r="BP32" s="98"/>
      <c r="BQ32" s="98"/>
      <c r="BR32" s="101"/>
      <c r="BS32" s="292"/>
      <c r="BT32" s="292"/>
      <c r="BU32" s="292"/>
      <c r="BV32" s="292"/>
      <c r="BW32" s="288"/>
      <c r="BX32" s="288"/>
      <c r="BY32" s="288"/>
      <c r="BZ32" s="288"/>
      <c r="CA32" s="288"/>
      <c r="CB32" s="288"/>
      <c r="CC32" s="69"/>
      <c r="CD32" s="288"/>
      <c r="CE32" s="288"/>
      <c r="CF32" s="288"/>
      <c r="CG32" s="288"/>
    </row>
    <row r="33" spans="12:85" ht="16.5" customHeight="1" x14ac:dyDescent="0.25">
      <c r="L33" s="291" t="s">
        <v>65</v>
      </c>
      <c r="M33" s="291"/>
      <c r="N33" s="291"/>
      <c r="O33" s="291"/>
      <c r="P33" s="291"/>
      <c r="Q33" s="291"/>
      <c r="R33" s="291"/>
      <c r="S33" s="291"/>
      <c r="T33" s="291"/>
      <c r="U33" s="291"/>
      <c r="V33" s="291"/>
      <c r="W33" s="291"/>
      <c r="X33" s="291"/>
      <c r="Y33" s="291"/>
      <c r="Z33" s="291"/>
      <c r="AA33" s="291"/>
      <c r="AB33" s="291"/>
      <c r="AC33" s="291"/>
      <c r="AD33" s="291"/>
      <c r="AE33" s="291"/>
      <c r="AF33" s="291"/>
      <c r="AG33" s="291"/>
      <c r="AH33" s="291"/>
      <c r="AI33" s="291"/>
      <c r="AJ33" s="291"/>
      <c r="AK33" s="291"/>
      <c r="AL33" s="291"/>
      <c r="AM33" s="48"/>
      <c r="AN33" s="50"/>
      <c r="AO33" s="58"/>
      <c r="AP33" s="50"/>
      <c r="AQ33" s="51"/>
      <c r="AR33" s="50"/>
      <c r="AS33" s="50"/>
      <c r="AT33" s="50"/>
      <c r="AU33" s="50"/>
      <c r="AV33" s="50"/>
      <c r="AW33" s="58"/>
      <c r="AX33" s="50"/>
      <c r="AY33" s="51"/>
      <c r="AZ33" s="50"/>
      <c r="BA33" s="50"/>
      <c r="BB33" s="50"/>
      <c r="BC33" s="50"/>
      <c r="BD33" s="50"/>
      <c r="BE33" s="58"/>
      <c r="BF33" s="50"/>
      <c r="BG33" s="51"/>
      <c r="BH33" s="50"/>
      <c r="BI33" s="50"/>
      <c r="BJ33" s="50"/>
      <c r="BK33" s="50"/>
      <c r="BL33" s="50"/>
      <c r="BM33" s="58"/>
      <c r="BN33" s="50"/>
      <c r="BO33" s="51"/>
      <c r="BP33" s="50"/>
      <c r="BQ33" s="50"/>
      <c r="BR33" s="60"/>
      <c r="BS33" s="292" t="s">
        <v>66</v>
      </c>
      <c r="BT33" s="292"/>
      <c r="BU33" s="292"/>
      <c r="BV33" s="292"/>
      <c r="BW33" s="288"/>
      <c r="BX33" s="288"/>
      <c r="BY33" s="288"/>
      <c r="BZ33" s="288"/>
      <c r="CA33" s="288"/>
      <c r="CB33" s="288"/>
      <c r="CC33" s="69"/>
      <c r="CD33" s="288"/>
      <c r="CE33" s="288"/>
      <c r="CF33" s="288"/>
      <c r="CG33" s="288"/>
    </row>
    <row r="34" spans="12:85" ht="16.5" customHeight="1" x14ac:dyDescent="0.25">
      <c r="L34" s="291"/>
      <c r="M34" s="291"/>
      <c r="N34" s="291"/>
      <c r="O34" s="291"/>
      <c r="P34" s="291"/>
      <c r="Q34" s="291"/>
      <c r="R34" s="291"/>
      <c r="S34" s="291"/>
      <c r="T34" s="291"/>
      <c r="U34" s="291"/>
      <c r="V34" s="291"/>
      <c r="W34" s="291"/>
      <c r="X34" s="291"/>
      <c r="Y34" s="291"/>
      <c r="Z34" s="291"/>
      <c r="AA34" s="291"/>
      <c r="AB34" s="291"/>
      <c r="AC34" s="291"/>
      <c r="AD34" s="291"/>
      <c r="AE34" s="291"/>
      <c r="AF34" s="291"/>
      <c r="AG34" s="291"/>
      <c r="AH34" s="291"/>
      <c r="AI34" s="291"/>
      <c r="AJ34" s="291"/>
      <c r="AK34" s="291"/>
      <c r="AL34" s="291"/>
      <c r="AM34" s="48"/>
      <c r="AN34" s="50"/>
      <c r="AO34" s="58"/>
      <c r="AP34" s="50"/>
      <c r="AQ34" s="51"/>
      <c r="AR34" s="50"/>
      <c r="AS34" s="50"/>
      <c r="AT34" s="50"/>
      <c r="AU34" s="50"/>
      <c r="AV34" s="50"/>
      <c r="AW34" s="58"/>
      <c r="AX34" s="50"/>
      <c r="AY34" s="51"/>
      <c r="AZ34" s="50"/>
      <c r="BA34" s="50"/>
      <c r="BB34" s="50"/>
      <c r="BC34" s="50"/>
      <c r="BD34" s="50"/>
      <c r="BE34" s="58"/>
      <c r="BF34" s="50"/>
      <c r="BG34" s="51"/>
      <c r="BH34" s="50"/>
      <c r="BI34" s="50"/>
      <c r="BJ34" s="50"/>
      <c r="BK34" s="50"/>
      <c r="BL34" s="50"/>
      <c r="BM34" s="58"/>
      <c r="BN34" s="50"/>
      <c r="BO34" s="51"/>
      <c r="BP34" s="50"/>
      <c r="BQ34" s="50"/>
      <c r="BR34" s="60"/>
      <c r="BS34" s="301" t="s">
        <v>67</v>
      </c>
      <c r="BT34" s="301"/>
      <c r="BU34" s="301"/>
      <c r="BV34" s="301"/>
      <c r="BW34" s="302"/>
      <c r="BX34" s="302"/>
      <c r="BY34" s="302"/>
      <c r="BZ34" s="302"/>
      <c r="CA34" s="302"/>
      <c r="CB34" s="302"/>
      <c r="CC34" s="26"/>
      <c r="CD34" s="302"/>
      <c r="CE34" s="302"/>
      <c r="CF34" s="302"/>
      <c r="CG34" s="302"/>
    </row>
    <row r="35" spans="12:85" ht="16.5" customHeight="1" x14ac:dyDescent="0.25">
      <c r="L35" s="305" t="s">
        <v>68</v>
      </c>
      <c r="M35" s="305"/>
      <c r="N35" s="305"/>
      <c r="O35" s="305"/>
      <c r="P35" s="305"/>
      <c r="Q35" s="305"/>
      <c r="R35" s="305"/>
      <c r="S35" s="305"/>
      <c r="T35" s="305"/>
      <c r="U35" s="305"/>
      <c r="V35" s="305"/>
      <c r="W35" s="305"/>
      <c r="X35" s="305"/>
      <c r="Y35" s="305"/>
      <c r="Z35" s="305"/>
      <c r="AA35" s="305"/>
      <c r="AB35" s="305"/>
      <c r="AC35" s="305"/>
      <c r="AD35" s="305"/>
      <c r="AE35" s="305"/>
      <c r="AF35" s="305"/>
      <c r="AG35" s="305"/>
      <c r="AH35" s="305"/>
      <c r="AI35" s="305"/>
      <c r="AJ35" s="305"/>
      <c r="AK35" s="305"/>
      <c r="AL35" s="305"/>
      <c r="AM35" s="102"/>
      <c r="AN35" s="103"/>
      <c r="AO35" s="104"/>
      <c r="AP35" s="103"/>
      <c r="AQ35" s="105"/>
      <c r="AR35" s="103"/>
      <c r="AS35" s="103"/>
      <c r="AT35" s="103"/>
      <c r="AU35" s="103"/>
      <c r="AV35" s="103"/>
      <c r="AW35" s="104"/>
      <c r="AX35" s="103"/>
      <c r="AY35" s="105"/>
      <c r="AZ35" s="103"/>
      <c r="BA35" s="103"/>
      <c r="BB35" s="103"/>
      <c r="BC35" s="103"/>
      <c r="BD35" s="103"/>
      <c r="BE35" s="104"/>
      <c r="BF35" s="103"/>
      <c r="BG35" s="105"/>
      <c r="BH35" s="103"/>
      <c r="BI35" s="103"/>
      <c r="BJ35" s="103"/>
      <c r="BK35" s="103"/>
      <c r="BL35" s="103"/>
      <c r="BM35" s="104"/>
      <c r="BN35" s="103"/>
      <c r="BO35" s="105"/>
      <c r="BP35" s="103"/>
      <c r="BQ35" s="103"/>
      <c r="BR35" s="106"/>
      <c r="BS35" s="301"/>
      <c r="BT35" s="301"/>
      <c r="BU35" s="301"/>
      <c r="BV35" s="301"/>
      <c r="BW35" s="302"/>
      <c r="BX35" s="302"/>
      <c r="BY35" s="302"/>
      <c r="BZ35" s="302"/>
      <c r="CA35" s="302"/>
      <c r="CB35" s="302"/>
      <c r="CC35" s="26"/>
      <c r="CD35" s="302"/>
      <c r="CE35" s="302"/>
      <c r="CF35" s="302"/>
      <c r="CG35" s="302"/>
    </row>
    <row r="36" spans="12:85" ht="16.5" customHeight="1" x14ac:dyDescent="0.25">
      <c r="L36" s="300" t="s">
        <v>69</v>
      </c>
      <c r="M36" s="300"/>
      <c r="N36" s="300"/>
      <c r="O36" s="300"/>
      <c r="P36" s="300"/>
      <c r="Q36" s="300"/>
      <c r="R36" s="300"/>
      <c r="S36" s="300"/>
      <c r="T36" s="300"/>
      <c r="U36" s="300"/>
      <c r="V36" s="300"/>
      <c r="W36" s="300"/>
      <c r="X36" s="300"/>
      <c r="Y36" s="300"/>
      <c r="Z36" s="300"/>
      <c r="AA36" s="300"/>
      <c r="AB36" s="300"/>
      <c r="AC36" s="300"/>
      <c r="AD36" s="300"/>
      <c r="AE36" s="300"/>
      <c r="AF36" s="300"/>
      <c r="AG36" s="300"/>
      <c r="AH36" s="300"/>
      <c r="AI36" s="300"/>
      <c r="AJ36" s="300"/>
      <c r="AK36" s="300"/>
      <c r="AL36" s="300"/>
      <c r="AM36" s="97"/>
      <c r="AN36" s="98"/>
      <c r="AO36" s="99"/>
      <c r="AP36" s="98"/>
      <c r="AQ36" s="100"/>
      <c r="AR36" s="98"/>
      <c r="AS36" s="98"/>
      <c r="AT36" s="98"/>
      <c r="AU36" s="98"/>
      <c r="AV36" s="98"/>
      <c r="AW36" s="99"/>
      <c r="AX36" s="98"/>
      <c r="AY36" s="107"/>
      <c r="AZ36" s="108"/>
      <c r="BA36" s="108"/>
      <c r="BB36" s="108"/>
      <c r="BC36" s="108"/>
      <c r="BD36" s="108"/>
      <c r="BE36" s="109"/>
      <c r="BF36" s="108"/>
      <c r="BG36" s="107"/>
      <c r="BH36" s="108"/>
      <c r="BI36" s="108"/>
      <c r="BJ36" s="108"/>
      <c r="BK36" s="108"/>
      <c r="BL36" s="108"/>
      <c r="BM36" s="109"/>
      <c r="BN36" s="108"/>
      <c r="BO36" s="107"/>
      <c r="BP36" s="108"/>
      <c r="BQ36" s="108"/>
      <c r="BR36" s="110"/>
      <c r="BS36" s="301" t="s">
        <v>70</v>
      </c>
      <c r="BT36" s="301"/>
      <c r="BU36" s="301"/>
      <c r="BV36" s="301"/>
      <c r="BW36" s="302"/>
      <c r="BX36" s="302"/>
      <c r="BY36" s="302"/>
      <c r="BZ36" s="302"/>
      <c r="CA36" s="302"/>
      <c r="CB36" s="302"/>
      <c r="CC36" s="26"/>
      <c r="CD36" s="302"/>
      <c r="CE36" s="302"/>
      <c r="CF36" s="302"/>
      <c r="CG36" s="302"/>
    </row>
    <row r="37" spans="12:85" ht="16.5" customHeight="1" x14ac:dyDescent="0.25">
      <c r="L37" s="291" t="s">
        <v>71</v>
      </c>
      <c r="M37" s="291"/>
      <c r="N37" s="291"/>
      <c r="O37" s="291"/>
      <c r="P37" s="291"/>
      <c r="Q37" s="291"/>
      <c r="R37" s="291"/>
      <c r="S37" s="291"/>
      <c r="T37" s="291"/>
      <c r="U37" s="291"/>
      <c r="V37" s="291"/>
      <c r="W37" s="291"/>
      <c r="X37" s="291"/>
      <c r="Y37" s="291"/>
      <c r="Z37" s="291"/>
      <c r="AA37" s="291"/>
      <c r="AB37" s="291"/>
      <c r="AC37" s="291"/>
      <c r="AD37" s="291"/>
      <c r="AE37" s="291"/>
      <c r="AF37" s="291"/>
      <c r="AG37" s="291"/>
      <c r="AH37" s="291"/>
      <c r="AI37" s="291"/>
      <c r="AJ37" s="291"/>
      <c r="AK37" s="291"/>
      <c r="AL37" s="291"/>
      <c r="AM37" s="61"/>
      <c r="AN37" s="63"/>
      <c r="AO37" s="54"/>
      <c r="AP37" s="52"/>
      <c r="AQ37" s="55"/>
      <c r="AR37" s="52"/>
      <c r="AS37" s="50"/>
      <c r="AT37" s="50"/>
      <c r="AU37" s="53"/>
      <c r="AV37" s="63"/>
      <c r="AW37" s="58"/>
      <c r="AX37" s="52"/>
      <c r="AY37" s="55"/>
      <c r="AZ37" s="52"/>
      <c r="BA37" s="52"/>
      <c r="BB37" s="50"/>
      <c r="BC37" s="53"/>
      <c r="BD37" s="63"/>
      <c r="BE37" s="58"/>
      <c r="BF37" s="52"/>
      <c r="BG37" s="55"/>
      <c r="BH37" s="52"/>
      <c r="BI37" s="50"/>
      <c r="BJ37" s="50"/>
      <c r="BK37" s="53"/>
      <c r="BL37" s="63"/>
      <c r="BM37" s="54"/>
      <c r="BN37" s="50"/>
      <c r="BO37" s="55"/>
      <c r="BP37" s="50"/>
      <c r="BQ37" s="52"/>
      <c r="BR37" s="60"/>
      <c r="BS37" s="301"/>
      <c r="BT37" s="301"/>
      <c r="BU37" s="301"/>
      <c r="BV37" s="301"/>
      <c r="BW37" s="302"/>
      <c r="BX37" s="302"/>
      <c r="BY37" s="302"/>
      <c r="BZ37" s="302"/>
      <c r="CA37" s="302"/>
      <c r="CB37" s="302"/>
      <c r="CC37" s="26"/>
      <c r="CD37" s="302"/>
      <c r="CE37" s="302"/>
      <c r="CF37" s="302"/>
      <c r="CG37" s="302"/>
    </row>
    <row r="38" spans="12:85" ht="16.5" customHeight="1" x14ac:dyDescent="0.25">
      <c r="L38" s="291" t="s">
        <v>72</v>
      </c>
      <c r="M38" s="291"/>
      <c r="N38" s="291"/>
      <c r="O38" s="291"/>
      <c r="P38" s="291"/>
      <c r="Q38" s="291"/>
      <c r="R38" s="291"/>
      <c r="S38" s="291"/>
      <c r="T38" s="291"/>
      <c r="U38" s="291"/>
      <c r="V38" s="291"/>
      <c r="W38" s="291"/>
      <c r="X38" s="291"/>
      <c r="Y38" s="291"/>
      <c r="Z38" s="291"/>
      <c r="AA38" s="291"/>
      <c r="AB38" s="291"/>
      <c r="AC38" s="291"/>
      <c r="AD38" s="291"/>
      <c r="AE38" s="291"/>
      <c r="AF38" s="291"/>
      <c r="AG38" s="291"/>
      <c r="AH38" s="291"/>
      <c r="AI38" s="291"/>
      <c r="AJ38" s="291"/>
      <c r="AK38" s="291"/>
      <c r="AL38" s="291"/>
      <c r="AM38" s="48"/>
      <c r="AN38" s="50"/>
      <c r="AO38" s="58"/>
      <c r="AP38" s="50"/>
      <c r="AQ38" s="51"/>
      <c r="AR38" s="50"/>
      <c r="AS38" s="50"/>
      <c r="AT38" s="50"/>
      <c r="AU38" s="53"/>
      <c r="AV38" s="50"/>
      <c r="AW38" s="58"/>
      <c r="AX38" s="50"/>
      <c r="AY38" s="51"/>
      <c r="AZ38" s="50"/>
      <c r="BA38" s="50"/>
      <c r="BB38" s="50"/>
      <c r="BC38" s="50"/>
      <c r="BD38" s="50"/>
      <c r="BE38" s="58"/>
      <c r="BF38" s="50"/>
      <c r="BG38" s="51"/>
      <c r="BH38" s="50"/>
      <c r="BI38" s="50"/>
      <c r="BJ38" s="50"/>
      <c r="BK38" s="53"/>
      <c r="BL38" s="50"/>
      <c r="BM38" s="58"/>
      <c r="BN38" s="50"/>
      <c r="BO38" s="51"/>
      <c r="BP38" s="50"/>
      <c r="BQ38" s="50"/>
      <c r="BR38" s="60"/>
      <c r="BS38" s="303" t="s">
        <v>73</v>
      </c>
      <c r="BT38" s="303"/>
      <c r="BU38" s="303"/>
      <c r="BV38" s="303"/>
      <c r="BW38" s="303"/>
      <c r="BX38" s="303"/>
      <c r="BY38" s="303"/>
      <c r="BZ38" s="303"/>
      <c r="CA38" s="303"/>
      <c r="CB38" s="304" t="s">
        <v>74</v>
      </c>
      <c r="CC38" s="304"/>
      <c r="CD38" s="304"/>
      <c r="CE38" s="304"/>
      <c r="CF38" s="304"/>
      <c r="CG38" s="304"/>
    </row>
    <row r="39" spans="12:85" ht="16.5" customHeight="1" x14ac:dyDescent="0.3">
      <c r="L39" s="291" t="s">
        <v>75</v>
      </c>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61"/>
      <c r="AN39" s="63"/>
      <c r="AO39" s="54"/>
      <c r="AP39" s="52"/>
      <c r="AQ39" s="55"/>
      <c r="AR39" s="52"/>
      <c r="AS39" s="50"/>
      <c r="AT39" s="50"/>
      <c r="AU39" s="53"/>
      <c r="AV39" s="63"/>
      <c r="AW39" s="58"/>
      <c r="AX39" s="52"/>
      <c r="AY39" s="55"/>
      <c r="AZ39" s="52"/>
      <c r="BA39" s="52"/>
      <c r="BB39" s="50"/>
      <c r="BC39" s="53"/>
      <c r="BD39" s="63"/>
      <c r="BE39" s="58"/>
      <c r="BF39" s="52"/>
      <c r="BG39" s="55"/>
      <c r="BH39" s="52"/>
      <c r="BI39" s="50"/>
      <c r="BJ39" s="50"/>
      <c r="BK39" s="53"/>
      <c r="BL39" s="63"/>
      <c r="BM39" s="54"/>
      <c r="BN39" s="50"/>
      <c r="BO39" s="55"/>
      <c r="BP39" s="50"/>
      <c r="BQ39" s="50"/>
      <c r="BR39" s="60"/>
      <c r="BS39" s="303"/>
      <c r="BT39" s="303"/>
      <c r="BU39" s="303"/>
      <c r="BV39" s="303"/>
      <c r="BW39" s="303"/>
      <c r="BX39" s="303"/>
      <c r="BY39" s="303"/>
      <c r="BZ39" s="303"/>
      <c r="CA39" s="303"/>
      <c r="CB39" s="304"/>
      <c r="CC39" s="304"/>
      <c r="CD39" s="304"/>
      <c r="CE39" s="304"/>
      <c r="CF39" s="304"/>
      <c r="CG39" s="304"/>
    </row>
    <row r="40" spans="12:85" ht="16.5" customHeight="1" x14ac:dyDescent="0.25">
      <c r="L40" s="291" t="s">
        <v>76</v>
      </c>
      <c r="M40" s="291"/>
      <c r="N40" s="291"/>
      <c r="O40" s="291"/>
      <c r="P40" s="291"/>
      <c r="Q40" s="291"/>
      <c r="R40" s="291"/>
      <c r="S40" s="291"/>
      <c r="T40" s="291"/>
      <c r="U40" s="291"/>
      <c r="V40" s="291"/>
      <c r="W40" s="291"/>
      <c r="X40" s="291"/>
      <c r="Y40" s="291"/>
      <c r="Z40" s="291"/>
      <c r="AA40" s="291"/>
      <c r="AB40" s="291"/>
      <c r="AC40" s="291"/>
      <c r="AD40" s="291"/>
      <c r="AE40" s="291"/>
      <c r="AF40" s="291"/>
      <c r="AG40" s="291"/>
      <c r="AH40" s="291"/>
      <c r="AI40" s="291"/>
      <c r="AJ40" s="291"/>
      <c r="AK40" s="291"/>
      <c r="AL40" s="291"/>
      <c r="AM40" s="48"/>
      <c r="AN40" s="52"/>
      <c r="AO40" s="58"/>
      <c r="AP40" s="50"/>
      <c r="AQ40" s="59"/>
      <c r="AR40" s="52"/>
      <c r="AS40" s="52"/>
      <c r="AT40" s="50"/>
      <c r="AU40" s="50"/>
      <c r="AV40" s="52"/>
      <c r="AW40" s="58"/>
      <c r="AX40" s="50"/>
      <c r="AY40" s="59"/>
      <c r="AZ40" s="52"/>
      <c r="BA40" s="52"/>
      <c r="BB40" s="50"/>
      <c r="BC40" s="50"/>
      <c r="BD40" s="52"/>
      <c r="BE40" s="58"/>
      <c r="BF40" s="50"/>
      <c r="BG40" s="59"/>
      <c r="BH40" s="52"/>
      <c r="BI40" s="52"/>
      <c r="BJ40" s="50"/>
      <c r="BK40" s="50"/>
      <c r="BL40" s="52"/>
      <c r="BM40" s="58"/>
      <c r="BN40" s="50"/>
      <c r="BO40" s="59"/>
      <c r="BP40" s="52"/>
      <c r="BQ40" s="52"/>
      <c r="BR40" s="60"/>
      <c r="BS40" s="295" t="s">
        <v>77</v>
      </c>
      <c r="BT40" s="295"/>
      <c r="BU40" s="295"/>
      <c r="BV40" s="295"/>
      <c r="BW40" s="295"/>
      <c r="BX40" s="295"/>
      <c r="BY40" s="295"/>
      <c r="BZ40" s="295"/>
      <c r="CA40" s="295"/>
      <c r="CB40" s="296" t="str">
        <f>Памятка!L5</f>
        <v>-</v>
      </c>
      <c r="CC40" s="296"/>
      <c r="CD40" s="296"/>
      <c r="CE40" s="296"/>
      <c r="CF40" s="296"/>
      <c r="CG40" s="296"/>
    </row>
    <row r="41" spans="12:85" ht="16.5" customHeight="1" x14ac:dyDescent="0.25">
      <c r="L41" s="291" t="s">
        <v>78</v>
      </c>
      <c r="M41" s="291"/>
      <c r="N41" s="291"/>
      <c r="O41" s="291"/>
      <c r="P41" s="291"/>
      <c r="Q41" s="291"/>
      <c r="R41" s="291"/>
      <c r="S41" s="291"/>
      <c r="T41" s="291"/>
      <c r="U41" s="291"/>
      <c r="V41" s="291"/>
      <c r="W41" s="291"/>
      <c r="X41" s="291"/>
      <c r="Y41" s="291"/>
      <c r="Z41" s="291"/>
      <c r="AA41" s="291"/>
      <c r="AB41" s="291"/>
      <c r="AC41" s="291"/>
      <c r="AD41" s="291"/>
      <c r="AE41" s="291"/>
      <c r="AF41" s="291"/>
      <c r="AG41" s="291"/>
      <c r="AH41" s="291"/>
      <c r="AI41" s="291"/>
      <c r="AJ41" s="291"/>
      <c r="AK41" s="291"/>
      <c r="AL41" s="291"/>
      <c r="AM41" s="48"/>
      <c r="AN41" s="50"/>
      <c r="AO41" s="58"/>
      <c r="AP41" s="50"/>
      <c r="AQ41" s="51"/>
      <c r="AR41" s="50"/>
      <c r="AS41" s="50"/>
      <c r="AT41" s="50"/>
      <c r="AU41" s="50"/>
      <c r="AV41" s="50"/>
      <c r="AW41" s="58"/>
      <c r="AX41" s="50"/>
      <c r="AY41" s="51"/>
      <c r="AZ41" s="50"/>
      <c r="BA41" s="50"/>
      <c r="BB41" s="50"/>
      <c r="BC41" s="50"/>
      <c r="BD41" s="50"/>
      <c r="BE41" s="58"/>
      <c r="BF41" s="50"/>
      <c r="BG41" s="51"/>
      <c r="BH41" s="50"/>
      <c r="BI41" s="50"/>
      <c r="BJ41" s="50"/>
      <c r="BK41" s="50"/>
      <c r="BL41" s="50"/>
      <c r="BM41" s="58"/>
      <c r="BN41" s="50"/>
      <c r="BO41" s="51"/>
      <c r="BP41" s="50"/>
      <c r="BQ41" s="50"/>
      <c r="BR41" s="60"/>
      <c r="BS41" s="295" t="s">
        <v>79</v>
      </c>
      <c r="BT41" s="295"/>
      <c r="BU41" s="295"/>
      <c r="BV41" s="295"/>
      <c r="BW41" s="295"/>
      <c r="BX41" s="295"/>
      <c r="BY41" s="295"/>
      <c r="BZ41" s="295"/>
      <c r="CA41" s="295"/>
      <c r="CB41" s="296" t="str">
        <f>Памятка!L6</f>
        <v>-</v>
      </c>
      <c r="CC41" s="296"/>
      <c r="CD41" s="296"/>
      <c r="CE41" s="296"/>
      <c r="CF41" s="296"/>
      <c r="CG41" s="296"/>
    </row>
    <row r="42" spans="12:85" ht="16.5" customHeight="1" x14ac:dyDescent="0.25">
      <c r="L42" s="291" t="s">
        <v>80</v>
      </c>
      <c r="M42" s="291"/>
      <c r="N42" s="291"/>
      <c r="O42" s="291"/>
      <c r="P42" s="291"/>
      <c r="Q42" s="291"/>
      <c r="R42" s="291"/>
      <c r="S42" s="291"/>
      <c r="T42" s="291"/>
      <c r="U42" s="291"/>
      <c r="V42" s="291"/>
      <c r="W42" s="291"/>
      <c r="X42" s="291"/>
      <c r="Y42" s="291"/>
      <c r="Z42" s="291"/>
      <c r="AA42" s="291"/>
      <c r="AB42" s="291"/>
      <c r="AC42" s="291"/>
      <c r="AD42" s="291"/>
      <c r="AE42" s="291"/>
      <c r="AF42" s="291"/>
      <c r="AG42" s="291"/>
      <c r="AH42" s="291"/>
      <c r="AI42" s="291"/>
      <c r="AJ42" s="291"/>
      <c r="AK42" s="291"/>
      <c r="AL42" s="291"/>
      <c r="AM42" s="48"/>
      <c r="AN42" s="50"/>
      <c r="AO42" s="58"/>
      <c r="AP42" s="50"/>
      <c r="AQ42" s="59"/>
      <c r="AR42" s="52"/>
      <c r="AS42" s="50"/>
      <c r="AT42" s="50"/>
      <c r="AU42" s="50"/>
      <c r="AV42" s="50"/>
      <c r="AW42" s="58"/>
      <c r="AX42" s="50"/>
      <c r="AY42" s="59"/>
      <c r="AZ42" s="52"/>
      <c r="BA42" s="50"/>
      <c r="BB42" s="50"/>
      <c r="BC42" s="50"/>
      <c r="BD42" s="50"/>
      <c r="BE42" s="58"/>
      <c r="BF42" s="50"/>
      <c r="BG42" s="59"/>
      <c r="BH42" s="52"/>
      <c r="BI42" s="50"/>
      <c r="BJ42" s="50"/>
      <c r="BK42" s="50"/>
      <c r="BL42" s="50"/>
      <c r="BM42" s="58"/>
      <c r="BN42" s="50"/>
      <c r="BO42" s="59"/>
      <c r="BP42" s="52"/>
      <c r="BQ42" s="50"/>
      <c r="BR42" s="60"/>
      <c r="BS42" s="295" t="s">
        <v>81</v>
      </c>
      <c r="BT42" s="295"/>
      <c r="BU42" s="295"/>
      <c r="BV42" s="295"/>
      <c r="BW42" s="295"/>
      <c r="BX42" s="295"/>
      <c r="BY42" s="295"/>
      <c r="BZ42" s="295"/>
      <c r="CA42" s="295"/>
      <c r="CB42" s="296" t="str">
        <f>Памятка!L7</f>
        <v>-</v>
      </c>
      <c r="CC42" s="296"/>
      <c r="CD42" s="296"/>
      <c r="CE42" s="296"/>
      <c r="CF42" s="296"/>
      <c r="CG42" s="296"/>
    </row>
    <row r="43" spans="12:85" ht="16.5" customHeight="1" x14ac:dyDescent="0.25">
      <c r="L43" s="291" t="s">
        <v>82</v>
      </c>
      <c r="M43" s="291"/>
      <c r="N43" s="291"/>
      <c r="O43" s="291"/>
      <c r="P43" s="291"/>
      <c r="Q43" s="291"/>
      <c r="R43" s="291"/>
      <c r="S43" s="291"/>
      <c r="T43" s="291"/>
      <c r="U43" s="291"/>
      <c r="V43" s="291"/>
      <c r="W43" s="291"/>
      <c r="X43" s="291"/>
      <c r="Y43" s="291"/>
      <c r="Z43" s="291"/>
      <c r="AA43" s="291"/>
      <c r="AB43" s="291"/>
      <c r="AC43" s="291"/>
      <c r="AD43" s="291"/>
      <c r="AE43" s="291"/>
      <c r="AF43" s="291"/>
      <c r="AG43" s="291"/>
      <c r="AH43" s="291"/>
      <c r="AI43" s="291"/>
      <c r="AJ43" s="291"/>
      <c r="AK43" s="291"/>
      <c r="AL43" s="291"/>
      <c r="AM43" s="48"/>
      <c r="AN43" s="50"/>
      <c r="AO43" s="58"/>
      <c r="AP43" s="50"/>
      <c r="AQ43" s="51"/>
      <c r="AR43" s="50"/>
      <c r="AS43" s="50"/>
      <c r="AT43" s="50"/>
      <c r="AU43" s="50"/>
      <c r="AV43" s="50"/>
      <c r="AW43" s="58"/>
      <c r="AX43" s="50"/>
      <c r="AY43" s="51"/>
      <c r="AZ43" s="50"/>
      <c r="BA43" s="50"/>
      <c r="BB43" s="50"/>
      <c r="BC43" s="50"/>
      <c r="BD43" s="50"/>
      <c r="BE43" s="58"/>
      <c r="BF43" s="50"/>
      <c r="BG43" s="51"/>
      <c r="BH43" s="50"/>
      <c r="BI43" s="50"/>
      <c r="BJ43" s="50"/>
      <c r="BK43" s="50"/>
      <c r="BL43" s="50"/>
      <c r="BM43" s="58"/>
      <c r="BN43" s="50"/>
      <c r="BO43" s="51"/>
      <c r="BP43" s="50"/>
      <c r="BQ43" s="50"/>
      <c r="BR43" s="60"/>
      <c r="BS43" s="295" t="s">
        <v>83</v>
      </c>
      <c r="BT43" s="295"/>
      <c r="BU43" s="295"/>
      <c r="BV43" s="295"/>
      <c r="BW43" s="295"/>
      <c r="BX43" s="295"/>
      <c r="BY43" s="295"/>
      <c r="BZ43" s="295"/>
      <c r="CA43" s="295"/>
      <c r="CB43" s="296" t="str">
        <f>Памятка!L11</f>
        <v>-</v>
      </c>
      <c r="CC43" s="296"/>
      <c r="CD43" s="296"/>
      <c r="CE43" s="296"/>
      <c r="CF43" s="296"/>
      <c r="CG43" s="296"/>
    </row>
    <row r="44" spans="12:85" ht="16.5" customHeight="1" x14ac:dyDescent="0.25">
      <c r="L44" s="291" t="s">
        <v>84</v>
      </c>
      <c r="M44" s="291"/>
      <c r="N44" s="291"/>
      <c r="O44" s="291"/>
      <c r="P44" s="291"/>
      <c r="Q44" s="291"/>
      <c r="R44" s="291"/>
      <c r="S44" s="291"/>
      <c r="T44" s="291"/>
      <c r="U44" s="291"/>
      <c r="V44" s="291"/>
      <c r="W44" s="291"/>
      <c r="X44" s="291"/>
      <c r="Y44" s="291"/>
      <c r="Z44" s="291"/>
      <c r="AA44" s="291"/>
      <c r="AB44" s="291"/>
      <c r="AC44" s="291"/>
      <c r="AD44" s="291"/>
      <c r="AE44" s="291"/>
      <c r="AF44" s="291"/>
      <c r="AG44" s="291"/>
      <c r="AH44" s="291"/>
      <c r="AI44" s="291"/>
      <c r="AJ44" s="291"/>
      <c r="AK44" s="291"/>
      <c r="AL44" s="291"/>
      <c r="AM44" s="48"/>
      <c r="AN44" s="50"/>
      <c r="AO44" s="58"/>
      <c r="AP44" s="50"/>
      <c r="AQ44" s="51"/>
      <c r="AR44" s="50"/>
      <c r="AS44" s="50"/>
      <c r="AT44" s="50"/>
      <c r="AU44" s="50"/>
      <c r="AV44" s="50"/>
      <c r="AW44" s="58"/>
      <c r="AX44" s="50"/>
      <c r="AY44" s="51"/>
      <c r="AZ44" s="50"/>
      <c r="BA44" s="50"/>
      <c r="BB44" s="50"/>
      <c r="BC44" s="50"/>
      <c r="BD44" s="50"/>
      <c r="BE44" s="58"/>
      <c r="BF44" s="50"/>
      <c r="BG44" s="51"/>
      <c r="BH44" s="50"/>
      <c r="BI44" s="50"/>
      <c r="BJ44" s="50"/>
      <c r="BK44" s="50"/>
      <c r="BL44" s="50"/>
      <c r="BM44" s="58"/>
      <c r="BN44" s="50"/>
      <c r="BO44" s="51"/>
      <c r="BP44" s="50"/>
      <c r="BQ44" s="50"/>
      <c r="BR44" s="60"/>
      <c r="BS44" s="299" t="s">
        <v>85</v>
      </c>
      <c r="BT44" s="299"/>
      <c r="BU44" s="299"/>
      <c r="BV44" s="299"/>
      <c r="BW44" s="299"/>
      <c r="BX44" s="299"/>
      <c r="BY44" s="299"/>
      <c r="BZ44" s="299"/>
      <c r="CA44" s="299"/>
      <c r="CB44" s="296" t="str">
        <f>Памятка!L8</f>
        <v>-</v>
      </c>
      <c r="CC44" s="296"/>
      <c r="CD44" s="296"/>
      <c r="CE44" s="296"/>
      <c r="CF44" s="296"/>
      <c r="CG44" s="296"/>
    </row>
    <row r="45" spans="12:85" ht="16.5" customHeight="1" x14ac:dyDescent="0.3">
      <c r="L45" s="291" t="s">
        <v>86</v>
      </c>
      <c r="M45" s="291"/>
      <c r="N45" s="291"/>
      <c r="O45" s="291"/>
      <c r="P45" s="291"/>
      <c r="Q45" s="291"/>
      <c r="R45" s="291"/>
      <c r="S45" s="291"/>
      <c r="T45" s="291"/>
      <c r="U45" s="291"/>
      <c r="V45" s="291"/>
      <c r="W45" s="291"/>
      <c r="X45" s="291"/>
      <c r="Y45" s="291"/>
      <c r="Z45" s="291"/>
      <c r="AA45" s="291"/>
      <c r="AB45" s="291"/>
      <c r="AC45" s="291"/>
      <c r="AD45" s="291"/>
      <c r="AE45" s="291"/>
      <c r="AF45" s="291"/>
      <c r="AG45" s="291"/>
      <c r="AH45" s="291"/>
      <c r="AI45" s="291"/>
      <c r="AJ45" s="291"/>
      <c r="AK45" s="291"/>
      <c r="AL45" s="291"/>
      <c r="AM45" s="61"/>
      <c r="AN45" s="50"/>
      <c r="AO45" s="58"/>
      <c r="AP45" s="50"/>
      <c r="AQ45" s="51"/>
      <c r="AR45" s="50"/>
      <c r="AS45" s="50"/>
      <c r="AT45" s="50"/>
      <c r="AU45" s="50"/>
      <c r="AV45" s="50"/>
      <c r="AW45" s="58"/>
      <c r="AX45" s="50"/>
      <c r="AY45" s="51"/>
      <c r="AZ45" s="50"/>
      <c r="BA45" s="50"/>
      <c r="BB45" s="50"/>
      <c r="BC45" s="50"/>
      <c r="BD45" s="50"/>
      <c r="BE45" s="58"/>
      <c r="BF45" s="50"/>
      <c r="BG45" s="51"/>
      <c r="BH45" s="50"/>
      <c r="BI45" s="50"/>
      <c r="BJ45" s="50"/>
      <c r="BK45" s="50"/>
      <c r="BL45" s="50"/>
      <c r="BM45" s="58"/>
      <c r="BN45" s="50"/>
      <c r="BO45" s="51"/>
      <c r="BP45" s="50"/>
      <c r="BQ45" s="50"/>
      <c r="BR45" s="60"/>
      <c r="BS45" s="295" t="s">
        <v>87</v>
      </c>
      <c r="BT45" s="295"/>
      <c r="BU45" s="295"/>
      <c r="BV45" s="295"/>
      <c r="BW45" s="295"/>
      <c r="BX45" s="295"/>
      <c r="BY45" s="295"/>
      <c r="BZ45" s="295"/>
      <c r="CA45" s="295"/>
      <c r="CB45" s="296" t="str">
        <f>Памятка!L9</f>
        <v>-</v>
      </c>
      <c r="CC45" s="296"/>
      <c r="CD45" s="296"/>
      <c r="CE45" s="296"/>
      <c r="CF45" s="296"/>
      <c r="CG45" s="296"/>
    </row>
    <row r="46" spans="12:85" ht="16.5" customHeight="1" x14ac:dyDescent="0.25">
      <c r="L46" s="291" t="s">
        <v>88</v>
      </c>
      <c r="M46" s="291"/>
      <c r="N46" s="291"/>
      <c r="O46" s="291"/>
      <c r="P46" s="291"/>
      <c r="Q46" s="291"/>
      <c r="R46" s="291"/>
      <c r="S46" s="291"/>
      <c r="T46" s="291"/>
      <c r="U46" s="291"/>
      <c r="V46" s="291"/>
      <c r="W46" s="291"/>
      <c r="X46" s="291"/>
      <c r="Y46" s="291"/>
      <c r="Z46" s="291"/>
      <c r="AA46" s="291"/>
      <c r="AB46" s="291"/>
      <c r="AC46" s="291"/>
      <c r="AD46" s="291"/>
      <c r="AE46" s="291"/>
      <c r="AF46" s="291"/>
      <c r="AG46" s="291"/>
      <c r="AH46" s="291"/>
      <c r="AI46" s="291"/>
      <c r="AJ46" s="291"/>
      <c r="AK46" s="291"/>
      <c r="AL46" s="291"/>
      <c r="AM46" s="48"/>
      <c r="AN46" s="50"/>
      <c r="AO46" s="58"/>
      <c r="AP46" s="50"/>
      <c r="AQ46" s="51"/>
      <c r="AR46" s="50"/>
      <c r="AS46" s="50"/>
      <c r="AT46" s="50"/>
      <c r="AU46" s="50"/>
      <c r="AV46" s="50"/>
      <c r="AW46" s="58"/>
      <c r="AX46" s="50"/>
      <c r="AY46" s="51"/>
      <c r="AZ46" s="50"/>
      <c r="BA46" s="50"/>
      <c r="BB46" s="50"/>
      <c r="BC46" s="50"/>
      <c r="BD46" s="50"/>
      <c r="BE46" s="58"/>
      <c r="BF46" s="50"/>
      <c r="BG46" s="51"/>
      <c r="BH46" s="50"/>
      <c r="BI46" s="50"/>
      <c r="BJ46" s="50"/>
      <c r="BK46" s="50"/>
      <c r="BL46" s="50"/>
      <c r="BM46" s="58"/>
      <c r="BN46" s="50"/>
      <c r="BO46" s="51"/>
      <c r="BP46" s="50"/>
      <c r="BQ46" s="50"/>
      <c r="BR46" s="60"/>
      <c r="BS46" s="295" t="s">
        <v>89</v>
      </c>
      <c r="BT46" s="295"/>
      <c r="BU46" s="295"/>
      <c r="BV46" s="295"/>
      <c r="BW46" s="295"/>
      <c r="BX46" s="295"/>
      <c r="BY46" s="295"/>
      <c r="BZ46" s="295"/>
      <c r="CA46" s="295"/>
      <c r="CB46" s="296" t="str">
        <f>Памятка!L10</f>
        <v>-</v>
      </c>
      <c r="CC46" s="296"/>
      <c r="CD46" s="296"/>
      <c r="CE46" s="296"/>
      <c r="CF46" s="296"/>
      <c r="CG46" s="296"/>
    </row>
    <row r="47" spans="12:85" ht="16.5" customHeight="1" x14ac:dyDescent="0.25">
      <c r="L47" s="291" t="s">
        <v>90</v>
      </c>
      <c r="M47" s="291"/>
      <c r="N47" s="291"/>
      <c r="O47" s="291"/>
      <c r="P47" s="291"/>
      <c r="Q47" s="291"/>
      <c r="R47" s="291"/>
      <c r="S47" s="291"/>
      <c r="T47" s="291"/>
      <c r="U47" s="291"/>
      <c r="V47" s="291"/>
      <c r="W47" s="291"/>
      <c r="X47" s="291"/>
      <c r="Y47" s="291"/>
      <c r="Z47" s="291"/>
      <c r="AA47" s="291"/>
      <c r="AB47" s="291"/>
      <c r="AC47" s="291"/>
      <c r="AD47" s="291"/>
      <c r="AE47" s="291"/>
      <c r="AF47" s="291"/>
      <c r="AG47" s="291"/>
      <c r="AH47" s="291"/>
      <c r="AI47" s="291"/>
      <c r="AJ47" s="291"/>
      <c r="AK47" s="291"/>
      <c r="AL47" s="291"/>
      <c r="AM47" s="48"/>
      <c r="AN47" s="50"/>
      <c r="AO47" s="58"/>
      <c r="AP47" s="50"/>
      <c r="AQ47" s="51"/>
      <c r="AR47" s="50"/>
      <c r="AS47" s="50"/>
      <c r="AT47" s="50"/>
      <c r="AU47" s="50"/>
      <c r="AV47" s="50"/>
      <c r="AW47" s="58"/>
      <c r="AX47" s="50"/>
      <c r="AY47" s="51"/>
      <c r="AZ47" s="50"/>
      <c r="BA47" s="50"/>
      <c r="BB47" s="50"/>
      <c r="BC47" s="50"/>
      <c r="BD47" s="50"/>
      <c r="BE47" s="58"/>
      <c r="BF47" s="50"/>
      <c r="BG47" s="51"/>
      <c r="BH47" s="50"/>
      <c r="BI47" s="50"/>
      <c r="BJ47" s="50"/>
      <c r="BK47" s="50"/>
      <c r="BL47" s="50"/>
      <c r="BM47" s="58"/>
      <c r="BN47" s="50"/>
      <c r="BO47" s="51"/>
      <c r="BP47" s="50"/>
      <c r="BQ47" s="50"/>
      <c r="BR47" s="60"/>
      <c r="BS47" s="295" t="s">
        <v>19</v>
      </c>
      <c r="BT47" s="295"/>
      <c r="BU47" s="295"/>
      <c r="BV47" s="295"/>
      <c r="BW47" s="295"/>
      <c r="BX47" s="295"/>
      <c r="BY47" s="295"/>
      <c r="BZ47" s="295"/>
      <c r="CA47" s="295"/>
      <c r="CB47" s="296" t="str">
        <f>Памятка!L12</f>
        <v>-</v>
      </c>
      <c r="CC47" s="296"/>
      <c r="CD47" s="296"/>
      <c r="CE47" s="296"/>
      <c r="CF47" s="296"/>
      <c r="CG47" s="296"/>
    </row>
    <row r="48" spans="12:85" ht="16.5" customHeight="1" x14ac:dyDescent="0.25">
      <c r="L48" s="291" t="s">
        <v>91</v>
      </c>
      <c r="M48" s="291"/>
      <c r="N48" s="291"/>
      <c r="O48" s="291"/>
      <c r="P48" s="291"/>
      <c r="Q48" s="291"/>
      <c r="R48" s="291"/>
      <c r="S48" s="291"/>
      <c r="T48" s="291"/>
      <c r="U48" s="291"/>
      <c r="V48" s="291"/>
      <c r="W48" s="291"/>
      <c r="X48" s="291"/>
      <c r="Y48" s="291"/>
      <c r="Z48" s="291"/>
      <c r="AA48" s="291"/>
      <c r="AB48" s="291"/>
      <c r="AC48" s="291"/>
      <c r="AD48" s="291"/>
      <c r="AE48" s="291"/>
      <c r="AF48" s="291"/>
      <c r="AG48" s="291"/>
      <c r="AH48" s="291"/>
      <c r="AI48" s="291"/>
      <c r="AJ48" s="291"/>
      <c r="AK48" s="291"/>
      <c r="AL48" s="291"/>
      <c r="AM48" s="48"/>
      <c r="AN48" s="63"/>
      <c r="AO48" s="58"/>
      <c r="AP48" s="63"/>
      <c r="AQ48" s="51"/>
      <c r="AR48" s="63"/>
      <c r="AS48" s="50"/>
      <c r="AT48" s="63"/>
      <c r="AU48" s="50"/>
      <c r="AV48" s="63"/>
      <c r="AW48" s="58"/>
      <c r="AX48" s="63"/>
      <c r="AY48" s="51"/>
      <c r="AZ48" s="63"/>
      <c r="BA48" s="50"/>
      <c r="BB48" s="63"/>
      <c r="BC48" s="50"/>
      <c r="BD48" s="63"/>
      <c r="BE48" s="58"/>
      <c r="BF48" s="63"/>
      <c r="BG48" s="51"/>
      <c r="BH48" s="63"/>
      <c r="BI48" s="50"/>
      <c r="BJ48" s="63"/>
      <c r="BK48" s="50"/>
      <c r="BL48" s="63"/>
      <c r="BM48" s="58"/>
      <c r="BN48" s="63"/>
      <c r="BO48" s="51"/>
      <c r="BP48" s="63"/>
      <c r="BQ48" s="50"/>
      <c r="BR48" s="111"/>
      <c r="BS48" s="297" t="s">
        <v>92</v>
      </c>
      <c r="BT48" s="297"/>
      <c r="BU48" s="297"/>
      <c r="BV48" s="297"/>
      <c r="BW48" s="297"/>
      <c r="BX48" s="298" t="s">
        <v>93</v>
      </c>
      <c r="BY48" s="298"/>
      <c r="BZ48" s="298"/>
      <c r="CA48" s="298"/>
      <c r="CB48" s="298"/>
      <c r="CC48" s="112"/>
      <c r="CD48" s="298" t="s">
        <v>33</v>
      </c>
      <c r="CE48" s="298"/>
      <c r="CF48" s="298"/>
      <c r="CG48" s="298"/>
    </row>
    <row r="49" spans="12:85" ht="16.5" customHeight="1" x14ac:dyDescent="0.25">
      <c r="L49" s="291" t="s">
        <v>94</v>
      </c>
      <c r="M49" s="291"/>
      <c r="N49" s="291"/>
      <c r="O49" s="291"/>
      <c r="P49" s="291"/>
      <c r="Q49" s="291"/>
      <c r="R49" s="291"/>
      <c r="S49" s="291"/>
      <c r="T49" s="291"/>
      <c r="U49" s="291"/>
      <c r="V49" s="291"/>
      <c r="W49" s="291"/>
      <c r="X49" s="291"/>
      <c r="Y49" s="291"/>
      <c r="Z49" s="291"/>
      <c r="AA49" s="291"/>
      <c r="AB49" s="291"/>
      <c r="AC49" s="291"/>
      <c r="AD49" s="291"/>
      <c r="AE49" s="291"/>
      <c r="AF49" s="291"/>
      <c r="AG49" s="291"/>
      <c r="AH49" s="291"/>
      <c r="AI49" s="291"/>
      <c r="AJ49" s="291"/>
      <c r="AK49" s="291"/>
      <c r="AL49" s="291"/>
      <c r="AM49" s="48"/>
      <c r="AN49" s="50"/>
      <c r="AO49" s="58"/>
      <c r="AP49" s="50"/>
      <c r="AQ49" s="51"/>
      <c r="AR49" s="50"/>
      <c r="AS49" s="50"/>
      <c r="AT49" s="50"/>
      <c r="AU49" s="50"/>
      <c r="AV49" s="50"/>
      <c r="AW49" s="58"/>
      <c r="AX49" s="50"/>
      <c r="AY49" s="51"/>
      <c r="AZ49" s="50"/>
      <c r="BA49" s="50"/>
      <c r="BB49" s="50"/>
      <c r="BC49" s="50"/>
      <c r="BD49" s="50"/>
      <c r="BE49" s="58"/>
      <c r="BF49" s="50"/>
      <c r="BG49" s="51"/>
      <c r="BH49" s="50"/>
      <c r="BI49" s="50"/>
      <c r="BJ49" s="50"/>
      <c r="BK49" s="50"/>
      <c r="BL49" s="50"/>
      <c r="BM49" s="58"/>
      <c r="BN49" s="50"/>
      <c r="BO49" s="51"/>
      <c r="BP49" s="50"/>
      <c r="BQ49" s="50"/>
      <c r="BR49" s="60"/>
      <c r="BS49" s="292"/>
      <c r="BT49" s="292"/>
      <c r="BU49" s="292"/>
      <c r="BV49" s="292"/>
      <c r="BW49" s="292"/>
      <c r="BX49" s="293"/>
      <c r="BY49" s="293"/>
      <c r="BZ49" s="293"/>
      <c r="CA49" s="293"/>
      <c r="CB49" s="293"/>
      <c r="CC49" s="64"/>
      <c r="CD49" s="293"/>
      <c r="CE49" s="293"/>
      <c r="CF49" s="293"/>
      <c r="CG49" s="293"/>
    </row>
    <row r="50" spans="12:85" ht="16.5" customHeight="1" x14ac:dyDescent="0.25">
      <c r="L50" s="291" t="s">
        <v>95</v>
      </c>
      <c r="M50" s="291"/>
      <c r="N50" s="291"/>
      <c r="O50" s="291"/>
      <c r="P50" s="291"/>
      <c r="Q50" s="291"/>
      <c r="R50" s="291"/>
      <c r="S50" s="291"/>
      <c r="T50" s="291"/>
      <c r="U50" s="291"/>
      <c r="V50" s="291"/>
      <c r="W50" s="291"/>
      <c r="X50" s="291"/>
      <c r="Y50" s="291"/>
      <c r="Z50" s="291"/>
      <c r="AA50" s="291"/>
      <c r="AB50" s="291"/>
      <c r="AC50" s="291"/>
      <c r="AD50" s="291"/>
      <c r="AE50" s="291"/>
      <c r="AF50" s="291"/>
      <c r="AG50" s="291"/>
      <c r="AH50" s="291"/>
      <c r="AI50" s="291"/>
      <c r="AJ50" s="291"/>
      <c r="AK50" s="291"/>
      <c r="AL50" s="291"/>
      <c r="AM50" s="48"/>
      <c r="AN50" s="50"/>
      <c r="AO50" s="58"/>
      <c r="AP50" s="50"/>
      <c r="AQ50" s="51"/>
      <c r="AR50" s="50"/>
      <c r="AS50" s="50"/>
      <c r="AT50" s="50"/>
      <c r="AU50" s="50"/>
      <c r="AV50" s="50"/>
      <c r="AW50" s="58"/>
      <c r="AX50" s="50"/>
      <c r="AY50" s="51"/>
      <c r="AZ50" s="50"/>
      <c r="BA50" s="50"/>
      <c r="BB50" s="50"/>
      <c r="BC50" s="50"/>
      <c r="BD50" s="50"/>
      <c r="BE50" s="58"/>
      <c r="BF50" s="50"/>
      <c r="BG50" s="51"/>
      <c r="BH50" s="50"/>
      <c r="BI50" s="50"/>
      <c r="BJ50" s="50"/>
      <c r="BK50" s="50"/>
      <c r="BL50" s="50"/>
      <c r="BM50" s="58"/>
      <c r="BN50" s="50"/>
      <c r="BO50" s="51"/>
      <c r="BP50" s="50"/>
      <c r="BQ50" s="50"/>
      <c r="BR50" s="60"/>
      <c r="BS50" s="287"/>
      <c r="BT50" s="287"/>
      <c r="BU50" s="287"/>
      <c r="BV50" s="287"/>
      <c r="BW50" s="287"/>
      <c r="BX50" s="288"/>
      <c r="BY50" s="288"/>
      <c r="BZ50" s="288"/>
      <c r="CA50" s="288"/>
      <c r="CB50" s="288"/>
      <c r="CC50" s="69"/>
      <c r="CD50" s="294"/>
      <c r="CE50" s="294"/>
      <c r="CF50" s="294"/>
      <c r="CG50" s="294"/>
    </row>
    <row r="51" spans="12:85" ht="16.5" customHeight="1" x14ac:dyDescent="0.2">
      <c r="L51" s="286"/>
      <c r="M51" s="286"/>
      <c r="N51" s="286"/>
      <c r="O51" s="286"/>
      <c r="P51" s="286"/>
      <c r="Q51" s="286"/>
      <c r="R51" s="286"/>
      <c r="S51" s="286"/>
      <c r="T51" s="286"/>
      <c r="U51" s="286"/>
      <c r="V51" s="286"/>
      <c r="W51" s="286"/>
      <c r="X51" s="286"/>
      <c r="Y51" s="286"/>
      <c r="Z51" s="286"/>
      <c r="AA51" s="286"/>
      <c r="AB51" s="286"/>
      <c r="AC51" s="286"/>
      <c r="AD51" s="286"/>
      <c r="AE51" s="286"/>
      <c r="AF51" s="286"/>
      <c r="AG51" s="286"/>
      <c r="AH51" s="286"/>
      <c r="AI51" s="286"/>
      <c r="AJ51" s="286"/>
      <c r="AK51" s="286"/>
      <c r="AL51" s="286"/>
      <c r="AM51" s="48"/>
      <c r="AN51" s="50"/>
      <c r="AO51" s="58"/>
      <c r="AP51" s="50"/>
      <c r="AQ51" s="51"/>
      <c r="AR51" s="50"/>
      <c r="AS51" s="50"/>
      <c r="AT51" s="50"/>
      <c r="AU51" s="50"/>
      <c r="AV51" s="50"/>
      <c r="AW51" s="58"/>
      <c r="AX51" s="50"/>
      <c r="AY51" s="51"/>
      <c r="AZ51" s="50"/>
      <c r="BA51" s="50"/>
      <c r="BB51" s="50"/>
      <c r="BC51" s="50"/>
      <c r="BD51" s="50"/>
      <c r="BE51" s="58"/>
      <c r="BF51" s="50"/>
      <c r="BG51" s="51"/>
      <c r="BH51" s="50"/>
      <c r="BI51" s="50"/>
      <c r="BJ51" s="50"/>
      <c r="BK51" s="50"/>
      <c r="BL51" s="50"/>
      <c r="BM51" s="58"/>
      <c r="BN51" s="50"/>
      <c r="BO51" s="51"/>
      <c r="BP51" s="50"/>
      <c r="BQ51" s="50"/>
      <c r="BR51" s="60"/>
      <c r="BS51" s="287"/>
      <c r="BT51" s="287"/>
      <c r="BU51" s="287"/>
      <c r="BV51" s="287"/>
      <c r="BW51" s="287"/>
      <c r="BX51" s="288"/>
      <c r="BY51" s="288"/>
      <c r="BZ51" s="288"/>
      <c r="CA51" s="288"/>
      <c r="CB51" s="288"/>
      <c r="CC51" s="69"/>
      <c r="CD51" s="288"/>
      <c r="CE51" s="288"/>
      <c r="CF51" s="288"/>
      <c r="CG51" s="288"/>
    </row>
    <row r="52" spans="12:85" ht="16.5" customHeight="1" x14ac:dyDescent="0.2">
      <c r="L52" s="286"/>
      <c r="M52" s="286"/>
      <c r="N52" s="286"/>
      <c r="O52" s="286"/>
      <c r="P52" s="286"/>
      <c r="Q52" s="286"/>
      <c r="R52" s="286"/>
      <c r="S52" s="286"/>
      <c r="T52" s="286"/>
      <c r="U52" s="286"/>
      <c r="V52" s="286"/>
      <c r="W52" s="286"/>
      <c r="X52" s="286"/>
      <c r="Y52" s="286"/>
      <c r="Z52" s="286"/>
      <c r="AA52" s="286"/>
      <c r="AB52" s="286"/>
      <c r="AC52" s="286"/>
      <c r="AD52" s="286"/>
      <c r="AE52" s="286"/>
      <c r="AF52" s="286"/>
      <c r="AG52" s="286"/>
      <c r="AH52" s="286"/>
      <c r="AI52" s="286"/>
      <c r="AJ52" s="286"/>
      <c r="AK52" s="286"/>
      <c r="AL52" s="286"/>
      <c r="AM52" s="48"/>
      <c r="AN52" s="50"/>
      <c r="AO52" s="58"/>
      <c r="AP52" s="50"/>
      <c r="AQ52" s="51"/>
      <c r="AR52" s="50"/>
      <c r="AS52" s="50"/>
      <c r="AT52" s="50"/>
      <c r="AU52" s="50"/>
      <c r="AV52" s="50"/>
      <c r="AW52" s="58"/>
      <c r="AX52" s="50"/>
      <c r="AY52" s="51"/>
      <c r="AZ52" s="50"/>
      <c r="BA52" s="50"/>
      <c r="BB52" s="50"/>
      <c r="BC52" s="50"/>
      <c r="BD52" s="50"/>
      <c r="BE52" s="58"/>
      <c r="BF52" s="50"/>
      <c r="BG52" s="51"/>
      <c r="BH52" s="50"/>
      <c r="BI52" s="50"/>
      <c r="BJ52" s="50"/>
      <c r="BK52" s="50"/>
      <c r="BL52" s="50"/>
      <c r="BM52" s="58"/>
      <c r="BN52" s="50"/>
      <c r="BO52" s="51"/>
      <c r="BP52" s="50"/>
      <c r="BQ52" s="50"/>
      <c r="BR52" s="60"/>
      <c r="BS52" s="287"/>
      <c r="BT52" s="287"/>
      <c r="BU52" s="287"/>
      <c r="BV52" s="287"/>
      <c r="BW52" s="287"/>
      <c r="BX52" s="288"/>
      <c r="BY52" s="288"/>
      <c r="BZ52" s="288"/>
      <c r="CA52" s="288"/>
      <c r="CB52" s="288"/>
      <c r="CC52" s="69"/>
      <c r="CD52" s="288"/>
      <c r="CE52" s="288"/>
      <c r="CF52" s="288"/>
      <c r="CG52" s="288"/>
    </row>
    <row r="53" spans="12:85" ht="16.5" customHeight="1" x14ac:dyDescent="0.2">
      <c r="L53" s="286"/>
      <c r="M53" s="286"/>
      <c r="N53" s="286"/>
      <c r="O53" s="286"/>
      <c r="P53" s="286"/>
      <c r="Q53" s="286"/>
      <c r="R53" s="286"/>
      <c r="S53" s="286"/>
      <c r="T53" s="286"/>
      <c r="U53" s="286"/>
      <c r="V53" s="286"/>
      <c r="W53" s="286"/>
      <c r="X53" s="286"/>
      <c r="Y53" s="286"/>
      <c r="Z53" s="286"/>
      <c r="AA53" s="286"/>
      <c r="AB53" s="286"/>
      <c r="AC53" s="286"/>
      <c r="AD53" s="286"/>
      <c r="AE53" s="286"/>
      <c r="AF53" s="286"/>
      <c r="AG53" s="286"/>
      <c r="AH53" s="286"/>
      <c r="AI53" s="286"/>
      <c r="AJ53" s="286"/>
      <c r="AK53" s="286"/>
      <c r="AL53" s="286"/>
      <c r="AM53" s="48"/>
      <c r="AN53" s="50"/>
      <c r="AO53" s="58"/>
      <c r="AP53" s="50"/>
      <c r="AQ53" s="51"/>
      <c r="AR53" s="50"/>
      <c r="AS53" s="50"/>
      <c r="AT53" s="50"/>
      <c r="AU53" s="50"/>
      <c r="AV53" s="50"/>
      <c r="AW53" s="58"/>
      <c r="AX53" s="50"/>
      <c r="AY53" s="51"/>
      <c r="AZ53" s="50"/>
      <c r="BA53" s="50"/>
      <c r="BB53" s="50"/>
      <c r="BC53" s="50"/>
      <c r="BD53" s="50"/>
      <c r="BE53" s="58"/>
      <c r="BF53" s="50"/>
      <c r="BG53" s="51"/>
      <c r="BH53" s="50"/>
      <c r="BI53" s="50"/>
      <c r="BJ53" s="50"/>
      <c r="BK53" s="50"/>
      <c r="BL53" s="50"/>
      <c r="BM53" s="58"/>
      <c r="BN53" s="50"/>
      <c r="BO53" s="51"/>
      <c r="BP53" s="50"/>
      <c r="BQ53" s="50"/>
      <c r="BR53" s="60"/>
      <c r="BS53" s="289"/>
      <c r="BT53" s="289"/>
      <c r="BU53" s="289"/>
      <c r="BV53" s="289"/>
      <c r="BW53" s="289"/>
      <c r="BX53" s="288"/>
      <c r="BY53" s="288"/>
      <c r="BZ53" s="288"/>
      <c r="CA53" s="288"/>
      <c r="CB53" s="288"/>
      <c r="CC53" s="69"/>
      <c r="CD53" s="288"/>
      <c r="CE53" s="288"/>
      <c r="CF53" s="288"/>
      <c r="CG53" s="288"/>
    </row>
    <row r="54" spans="12:85" ht="16.5" customHeight="1" x14ac:dyDescent="0.2">
      <c r="L54" s="290" t="s">
        <v>96</v>
      </c>
      <c r="M54" s="290"/>
      <c r="N54" s="290"/>
      <c r="O54" s="290"/>
      <c r="P54" s="290"/>
      <c r="Q54" s="290"/>
      <c r="R54" s="290"/>
      <c r="S54" s="290"/>
      <c r="T54" s="290"/>
      <c r="U54" s="290"/>
      <c r="V54" s="290"/>
      <c r="W54" s="290"/>
      <c r="X54" s="290"/>
      <c r="Y54" s="290"/>
      <c r="Z54" s="290"/>
      <c r="AA54" s="290"/>
      <c r="AB54" s="290"/>
      <c r="AC54" s="290"/>
      <c r="AD54" s="290"/>
      <c r="AE54" s="290"/>
      <c r="AF54" s="290"/>
      <c r="AG54" s="290"/>
      <c r="AH54" s="290"/>
      <c r="AI54" s="290"/>
      <c r="AJ54" s="290"/>
      <c r="AK54" s="290"/>
      <c r="AL54" s="290"/>
      <c r="AM54" s="113"/>
      <c r="AN54" s="114"/>
      <c r="AO54" s="115"/>
      <c r="AP54" s="114"/>
      <c r="AQ54" s="116"/>
      <c r="AR54" s="114"/>
      <c r="AS54" s="114"/>
      <c r="AT54" s="114"/>
      <c r="AU54" s="114"/>
      <c r="AV54" s="114"/>
      <c r="AW54" s="115"/>
      <c r="AX54" s="114"/>
      <c r="AY54" s="116"/>
      <c r="AZ54" s="114"/>
      <c r="BA54" s="114"/>
      <c r="BB54" s="114"/>
      <c r="BC54" s="114"/>
      <c r="BD54" s="114"/>
      <c r="BE54" s="115"/>
      <c r="BF54" s="114"/>
      <c r="BG54" s="116"/>
      <c r="BH54" s="114"/>
      <c r="BI54" s="114"/>
      <c r="BJ54" s="114"/>
      <c r="BK54" s="114"/>
      <c r="BL54" s="114"/>
      <c r="BM54" s="115"/>
      <c r="BN54" s="114"/>
      <c r="BO54" s="116"/>
      <c r="BP54" s="114"/>
      <c r="BQ54" s="114"/>
      <c r="BR54" s="117"/>
      <c r="BS54" s="289" t="s">
        <v>97</v>
      </c>
      <c r="BT54" s="289"/>
      <c r="BU54" s="289"/>
      <c r="BV54" s="289"/>
      <c r="BW54" s="289"/>
      <c r="BX54" s="288"/>
      <c r="BY54" s="288"/>
      <c r="BZ54" s="288"/>
      <c r="CA54" s="288"/>
      <c r="CB54" s="288"/>
      <c r="CC54" s="288"/>
      <c r="CD54" s="288"/>
      <c r="CE54" s="288"/>
      <c r="CF54" s="288"/>
      <c r="CG54" s="288"/>
    </row>
    <row r="55" spans="12:85" ht="16.5" customHeight="1" x14ac:dyDescent="0.2">
      <c r="AM55" s="118">
        <f t="shared" ref="AM55:BR55" si="1">AM6</f>
        <v>15</v>
      </c>
      <c r="AN55" s="118">
        <f t="shared" si="1"/>
        <v>16</v>
      </c>
      <c r="AO55" s="118">
        <f t="shared" si="1"/>
        <v>17</v>
      </c>
      <c r="AP55" s="118">
        <f t="shared" si="1"/>
        <v>18</v>
      </c>
      <c r="AQ55" s="118">
        <f t="shared" si="1"/>
        <v>19</v>
      </c>
      <c r="AR55" s="118">
        <f t="shared" si="1"/>
        <v>20</v>
      </c>
      <c r="AS55" s="118">
        <f t="shared" si="1"/>
        <v>21</v>
      </c>
      <c r="AT55" s="118">
        <f t="shared" si="1"/>
        <v>22</v>
      </c>
      <c r="AU55" s="118">
        <f t="shared" si="1"/>
        <v>23</v>
      </c>
      <c r="AV55" s="118">
        <f t="shared" si="1"/>
        <v>24</v>
      </c>
      <c r="AW55" s="118">
        <f t="shared" si="1"/>
        <v>1</v>
      </c>
      <c r="AX55" s="118">
        <f t="shared" si="1"/>
        <v>2</v>
      </c>
      <c r="AY55" s="118">
        <f t="shared" si="1"/>
        <v>3</v>
      </c>
      <c r="AZ55" s="118">
        <f t="shared" si="1"/>
        <v>4</v>
      </c>
      <c r="BA55" s="118">
        <f t="shared" si="1"/>
        <v>5</v>
      </c>
      <c r="BB55" s="118">
        <f t="shared" si="1"/>
        <v>6</v>
      </c>
      <c r="BC55" s="118">
        <f t="shared" si="1"/>
        <v>7</v>
      </c>
      <c r="BD55" s="118">
        <f t="shared" si="1"/>
        <v>8</v>
      </c>
      <c r="BE55" s="118">
        <f t="shared" si="1"/>
        <v>9</v>
      </c>
      <c r="BF55" s="118">
        <f t="shared" si="1"/>
        <v>10</v>
      </c>
      <c r="BG55" s="118">
        <f t="shared" si="1"/>
        <v>11</v>
      </c>
      <c r="BH55" s="118">
        <f t="shared" si="1"/>
        <v>12</v>
      </c>
      <c r="BI55" s="118">
        <f t="shared" si="1"/>
        <v>13</v>
      </c>
      <c r="BJ55" s="118">
        <f t="shared" si="1"/>
        <v>14</v>
      </c>
      <c r="BK55" s="118">
        <f t="shared" si="1"/>
        <v>15</v>
      </c>
      <c r="BL55" s="118">
        <f t="shared" si="1"/>
        <v>16</v>
      </c>
      <c r="BM55" s="118">
        <f t="shared" si="1"/>
        <v>17</v>
      </c>
      <c r="BN55" s="118">
        <f t="shared" si="1"/>
        <v>18</v>
      </c>
      <c r="BO55" s="118">
        <f t="shared" si="1"/>
        <v>19</v>
      </c>
      <c r="BP55" s="118">
        <f t="shared" si="1"/>
        <v>20</v>
      </c>
      <c r="BQ55" s="118">
        <f t="shared" si="1"/>
        <v>21</v>
      </c>
      <c r="BR55" s="118">
        <f t="shared" si="1"/>
        <v>22</v>
      </c>
    </row>
    <row r="58" spans="12:85" ht="16.5" customHeight="1" x14ac:dyDescent="0.2">
      <c r="L58" s="22" t="s">
        <v>98</v>
      </c>
    </row>
  </sheetData>
  <sheetProtection selectLockedCells="1" selectUnlockedCells="1"/>
  <mergeCells count="196">
    <mergeCell ref="T1:AY1"/>
    <mergeCell ref="BA1:CG1"/>
    <mergeCell ref="L2:X2"/>
    <mergeCell ref="Y2:AD2"/>
    <mergeCell ref="AE2:AI2"/>
    <mergeCell ref="AJ2:AV2"/>
    <mergeCell ref="AW2:BB2"/>
    <mergeCell ref="BC2:BI2"/>
    <mergeCell ref="BJ2:CG2"/>
    <mergeCell ref="L3:X3"/>
    <mergeCell ref="Y3:AD3"/>
    <mergeCell ref="AE3:AI3"/>
    <mergeCell ref="AJ3:AV3"/>
    <mergeCell ref="AW3:BB3"/>
    <mergeCell ref="BC3:BI3"/>
    <mergeCell ref="BJ3:CG3"/>
    <mergeCell ref="BC4:BI4"/>
    <mergeCell ref="BJ4:CG4"/>
    <mergeCell ref="BJ5:CG5"/>
    <mergeCell ref="L4:X4"/>
    <mergeCell ref="Y4:Z4"/>
    <mergeCell ref="AB4:AD4"/>
    <mergeCell ref="AE4:AI4"/>
    <mergeCell ref="AJ4:AV4"/>
    <mergeCell ref="AW4:BB4"/>
    <mergeCell ref="BS7:BW7"/>
    <mergeCell ref="BX7:BZ7"/>
    <mergeCell ref="CA7:CB7"/>
    <mergeCell ref="CD7:CG7"/>
    <mergeCell ref="Y5:AD5"/>
    <mergeCell ref="AE5:AI5"/>
    <mergeCell ref="AJ5:AV5"/>
    <mergeCell ref="AW5:BB5"/>
    <mergeCell ref="BC5:BI5"/>
    <mergeCell ref="L5:X5"/>
    <mergeCell ref="T8:AL8"/>
    <mergeCell ref="BS8:BW8"/>
    <mergeCell ref="BX8:BZ8"/>
    <mergeCell ref="CA8:CB8"/>
    <mergeCell ref="CD8:CG8"/>
    <mergeCell ref="T6:AL6"/>
    <mergeCell ref="BS6:BW6"/>
    <mergeCell ref="CD6:CG6"/>
    <mergeCell ref="T7:AL7"/>
    <mergeCell ref="T9:AL9"/>
    <mergeCell ref="BS9:BW9"/>
    <mergeCell ref="BX9:BZ9"/>
    <mergeCell ref="CA9:CB9"/>
    <mergeCell ref="CD9:CG9"/>
    <mergeCell ref="T10:AL10"/>
    <mergeCell ref="BS10:BW10"/>
    <mergeCell ref="BX10:BZ10"/>
    <mergeCell ref="CA10:CB10"/>
    <mergeCell ref="CD10:CG10"/>
    <mergeCell ref="T11:AL11"/>
    <mergeCell ref="BS11:BW11"/>
    <mergeCell ref="BX11:BZ11"/>
    <mergeCell ref="CA11:CB11"/>
    <mergeCell ref="CD11:CG11"/>
    <mergeCell ref="T12:AL12"/>
    <mergeCell ref="BS12:BW12"/>
    <mergeCell ref="BX12:CG12"/>
    <mergeCell ref="T13:AL13"/>
    <mergeCell ref="BS13:BW13"/>
    <mergeCell ref="BX13:CG13"/>
    <mergeCell ref="T14:AL14"/>
    <mergeCell ref="BS14:CA15"/>
    <mergeCell ref="CB14:CG15"/>
    <mergeCell ref="T15:AL15"/>
    <mergeCell ref="T16:AL16"/>
    <mergeCell ref="BS16:CA16"/>
    <mergeCell ref="CB16:CE16"/>
    <mergeCell ref="CF16:CG16"/>
    <mergeCell ref="T17:AL17"/>
    <mergeCell ref="BS17:CA17"/>
    <mergeCell ref="CB17:CE17"/>
    <mergeCell ref="CF17:CG17"/>
    <mergeCell ref="T18:AL18"/>
    <mergeCell ref="BS18:CA18"/>
    <mergeCell ref="CB18:CE18"/>
    <mergeCell ref="CF18:CG18"/>
    <mergeCell ref="T19:AL19"/>
    <mergeCell ref="BS19:CA19"/>
    <mergeCell ref="CB19:CE19"/>
    <mergeCell ref="CF19:CG19"/>
    <mergeCell ref="T20:AL20"/>
    <mergeCell ref="BS20:CA20"/>
    <mergeCell ref="CB20:CG20"/>
    <mergeCell ref="T21:AL21"/>
    <mergeCell ref="BS21:CA21"/>
    <mergeCell ref="CB21:CG21"/>
    <mergeCell ref="T22:AL22"/>
    <mergeCell ref="BS22:CG22"/>
    <mergeCell ref="T23:AL23"/>
    <mergeCell ref="BS23:BV23"/>
    <mergeCell ref="BW23:CB23"/>
    <mergeCell ref="CD23:CG23"/>
    <mergeCell ref="T24:AL24"/>
    <mergeCell ref="BS24:BV25"/>
    <mergeCell ref="BW24:CB24"/>
    <mergeCell ref="CD24:CG24"/>
    <mergeCell ref="T25:AL25"/>
    <mergeCell ref="BW25:CB25"/>
    <mergeCell ref="CD25:CG25"/>
    <mergeCell ref="T26:AL26"/>
    <mergeCell ref="BS26:BV27"/>
    <mergeCell ref="BW26:CB26"/>
    <mergeCell ref="CD26:CG26"/>
    <mergeCell ref="T27:AL27"/>
    <mergeCell ref="BW27:CB27"/>
    <mergeCell ref="CD27:CG27"/>
    <mergeCell ref="T28:AL28"/>
    <mergeCell ref="BS28:BV32"/>
    <mergeCell ref="BW28:CB28"/>
    <mergeCell ref="CD28:CG28"/>
    <mergeCell ref="T29:AL29"/>
    <mergeCell ref="BW29:CB29"/>
    <mergeCell ref="CD29:CG29"/>
    <mergeCell ref="T30:AL30"/>
    <mergeCell ref="T31:AL31"/>
    <mergeCell ref="L32:AL32"/>
    <mergeCell ref="BW32:CB32"/>
    <mergeCell ref="CD32:CG32"/>
    <mergeCell ref="L33:AL33"/>
    <mergeCell ref="BS33:BV33"/>
    <mergeCell ref="BW33:CB33"/>
    <mergeCell ref="CD33:CG33"/>
    <mergeCell ref="L34:AL34"/>
    <mergeCell ref="BS34:BV35"/>
    <mergeCell ref="BW34:CB34"/>
    <mergeCell ref="CD34:CG34"/>
    <mergeCell ref="L35:AL35"/>
    <mergeCell ref="BW35:CB35"/>
    <mergeCell ref="CD35:CG35"/>
    <mergeCell ref="L36:AL36"/>
    <mergeCell ref="BS36:BV37"/>
    <mergeCell ref="BW36:CB36"/>
    <mergeCell ref="CD36:CG36"/>
    <mergeCell ref="L37:AL37"/>
    <mergeCell ref="BW37:CB37"/>
    <mergeCell ref="CD37:CG37"/>
    <mergeCell ref="L38:AL38"/>
    <mergeCell ref="BS38:CA39"/>
    <mergeCell ref="CB38:CG39"/>
    <mergeCell ref="L39:AL39"/>
    <mergeCell ref="L40:AL40"/>
    <mergeCell ref="BS40:CA40"/>
    <mergeCell ref="CB40:CG40"/>
    <mergeCell ref="L41:AL41"/>
    <mergeCell ref="BS41:CA41"/>
    <mergeCell ref="CB41:CG41"/>
    <mergeCell ref="L42:AL42"/>
    <mergeCell ref="BS42:CA42"/>
    <mergeCell ref="CB42:CG42"/>
    <mergeCell ref="L43:AL43"/>
    <mergeCell ref="BS43:CA43"/>
    <mergeCell ref="CB43:CG43"/>
    <mergeCell ref="L44:AL44"/>
    <mergeCell ref="BS44:CA44"/>
    <mergeCell ref="CB44:CG44"/>
    <mergeCell ref="L45:AL45"/>
    <mergeCell ref="BS45:CA45"/>
    <mergeCell ref="CB45:CG45"/>
    <mergeCell ref="L46:AL46"/>
    <mergeCell ref="BS46:CA46"/>
    <mergeCell ref="CB46:CG46"/>
    <mergeCell ref="L47:AL47"/>
    <mergeCell ref="BS47:CA47"/>
    <mergeCell ref="CB47:CG47"/>
    <mergeCell ref="L48:AL48"/>
    <mergeCell ref="BS48:BW48"/>
    <mergeCell ref="BX48:CB48"/>
    <mergeCell ref="CD48:CG48"/>
    <mergeCell ref="L49:AL49"/>
    <mergeCell ref="BS49:BW49"/>
    <mergeCell ref="BX49:CB49"/>
    <mergeCell ref="CD49:CG49"/>
    <mergeCell ref="L50:AL50"/>
    <mergeCell ref="BS50:BW50"/>
    <mergeCell ref="BX50:CB50"/>
    <mergeCell ref="CD50:CG50"/>
    <mergeCell ref="L51:AL51"/>
    <mergeCell ref="BS51:BW51"/>
    <mergeCell ref="BX51:CB51"/>
    <mergeCell ref="CD51:CG51"/>
    <mergeCell ref="L52:AL52"/>
    <mergeCell ref="BS52:BW52"/>
    <mergeCell ref="BX52:CB52"/>
    <mergeCell ref="CD52:CG52"/>
    <mergeCell ref="L53:AL53"/>
    <mergeCell ref="BS53:BW53"/>
    <mergeCell ref="BX53:CB53"/>
    <mergeCell ref="CD53:CG53"/>
    <mergeCell ref="L54:AL54"/>
    <mergeCell ref="BS54:BW54"/>
    <mergeCell ref="BX54:CG54"/>
  </mergeCells>
  <dataValidations count="2">
    <dataValidation type="list" allowBlank="1" sqref="BC4:BI4">
      <formula1>"O (I), A (II), B (III), AB (IV), A2 (II), A2B (IV)"</formula1>
    </dataValidation>
    <dataValidation type="list" allowBlank="1" sqref="BC5:BI5">
      <mc:AlternateContent xmlns:x12ac="http://schemas.microsoft.com/office/spreadsheetml/2011/1/ac" xmlns:mc="http://schemas.openxmlformats.org/markup-compatibility/2006">
        <mc:Choice Requires="x12ac">
          <x12ac:list>Положительный, Отрицательный," D ""u"""</x12ac:list>
        </mc:Choice>
        <mc:Fallback>
          <formula1>"Положительный, Отрицательный, D ""u"""</formula1>
        </mc:Fallback>
      </mc:AlternateContent>
    </dataValidation>
  </dataValidations>
  <pageMargins left="0" right="0" top="0" bottom="0" header="0.51180555555555551" footer="0.51180555555555551"/>
  <pageSetup paperSize="9" firstPageNumber="0" orientation="portrait" horizontalDpi="300" verticalDpi="300" r:id="rId1"/>
  <headerFooter alignWithMargins="0"/>
  <drawing r:id="rId2"/>
  <legacyDrawing r:id="rId3"/>
  <controls>
    <mc:AlternateContent xmlns:mc="http://schemas.openxmlformats.org/markup-compatibility/2006">
      <mc:Choice Requires="x14">
        <control shapeId="2051" r:id="rId4" name="CheckBox32">
          <controlPr defaultSize="0" autoFill="0" autoLine="0" autoPict="0" r:id="rId5">
            <anchor moveWithCells="1" sizeWithCells="1">
              <from>
                <xdr:col>69</xdr:col>
                <xdr:colOff>47625</xdr:colOff>
                <xdr:row>55</xdr:row>
                <xdr:rowOff>66675</xdr:rowOff>
              </from>
              <to>
                <xdr:col>69</xdr:col>
                <xdr:colOff>161925</xdr:colOff>
                <xdr:row>55</xdr:row>
                <xdr:rowOff>171450</xdr:rowOff>
              </to>
            </anchor>
          </controlPr>
        </control>
      </mc:Choice>
      <mc:Fallback>
        <control shapeId="2088" r:id="rId4" name="CheckBox32"/>
      </mc:Fallback>
    </mc:AlternateContent>
    <mc:AlternateContent xmlns:mc="http://schemas.openxmlformats.org/markup-compatibility/2006">
      <mc:Choice Requires="x14">
        <control shapeId="2050" r:id="rId6" name="CheckBox31">
          <controlPr defaultSize="0" autoFill="0" autoLine="0" autoPict="0" r:id="rId7">
            <anchor moveWithCells="1" sizeWithCells="1">
              <from>
                <xdr:col>68</xdr:col>
                <xdr:colOff>47625</xdr:colOff>
                <xdr:row>55</xdr:row>
                <xdr:rowOff>66675</xdr:rowOff>
              </from>
              <to>
                <xdr:col>68</xdr:col>
                <xdr:colOff>161925</xdr:colOff>
                <xdr:row>55</xdr:row>
                <xdr:rowOff>171450</xdr:rowOff>
              </to>
            </anchor>
          </controlPr>
        </control>
      </mc:Choice>
      <mc:Fallback>
        <control shapeId="2087" r:id="rId6" name="CheckBox31"/>
      </mc:Fallback>
    </mc:AlternateContent>
    <mc:AlternateContent xmlns:mc="http://schemas.openxmlformats.org/markup-compatibility/2006">
      <mc:Choice Requires="x14">
        <control shapeId="2049" r:id="rId8" name="CheckBox30">
          <controlPr defaultSize="0" autoFill="0" autoLine="0" autoPict="0" r:id="rId9">
            <anchor moveWithCells="1" sizeWithCells="1">
              <from>
                <xdr:col>67</xdr:col>
                <xdr:colOff>47625</xdr:colOff>
                <xdr:row>55</xdr:row>
                <xdr:rowOff>66675</xdr:rowOff>
              </from>
              <to>
                <xdr:col>67</xdr:col>
                <xdr:colOff>161925</xdr:colOff>
                <xdr:row>55</xdr:row>
                <xdr:rowOff>171450</xdr:rowOff>
              </to>
            </anchor>
          </controlPr>
        </control>
      </mc:Choice>
      <mc:Fallback>
        <control shapeId="2086" r:id="rId8" name="CheckBox30"/>
      </mc:Fallback>
    </mc:AlternateContent>
    <mc:AlternateContent xmlns:mc="http://schemas.openxmlformats.org/markup-compatibility/2006">
      <mc:Choice Requires="x14">
        <control shapeId="2048" r:id="rId10" name="CheckBox29">
          <controlPr defaultSize="0" autoFill="0" autoLine="0" autoPict="0" r:id="rId11">
            <anchor moveWithCells="1" sizeWithCells="1">
              <from>
                <xdr:col>66</xdr:col>
                <xdr:colOff>47625</xdr:colOff>
                <xdr:row>55</xdr:row>
                <xdr:rowOff>66675</xdr:rowOff>
              </from>
              <to>
                <xdr:col>66</xdr:col>
                <xdr:colOff>161925</xdr:colOff>
                <xdr:row>55</xdr:row>
                <xdr:rowOff>171450</xdr:rowOff>
              </to>
            </anchor>
          </controlPr>
        </control>
      </mc:Choice>
      <mc:Fallback>
        <control shapeId="2085" r:id="rId10" name="CheckBox29"/>
      </mc:Fallback>
    </mc:AlternateContent>
    <mc:AlternateContent xmlns:mc="http://schemas.openxmlformats.org/markup-compatibility/2006">
      <mc:Choice Requires="x14">
        <control shapeId="31" r:id="rId12" name="CheckBox28">
          <controlPr defaultSize="0" autoFill="0" autoLine="0" autoPict="0" r:id="rId13">
            <anchor moveWithCells="1" sizeWithCells="1">
              <from>
                <xdr:col>65</xdr:col>
                <xdr:colOff>47625</xdr:colOff>
                <xdr:row>55</xdr:row>
                <xdr:rowOff>66675</xdr:rowOff>
              </from>
              <to>
                <xdr:col>65</xdr:col>
                <xdr:colOff>161925</xdr:colOff>
                <xdr:row>55</xdr:row>
                <xdr:rowOff>171450</xdr:rowOff>
              </to>
            </anchor>
          </controlPr>
        </control>
      </mc:Choice>
      <mc:Fallback>
        <control shapeId="2084" r:id="rId12" name="CheckBox28"/>
      </mc:Fallback>
    </mc:AlternateContent>
    <mc:AlternateContent xmlns:mc="http://schemas.openxmlformats.org/markup-compatibility/2006">
      <mc:Choice Requires="x14">
        <control shapeId="30" r:id="rId14" name="CheckBox27">
          <controlPr defaultSize="0" autoFill="0" autoLine="0" autoPict="0" r:id="rId15">
            <anchor moveWithCells="1" sizeWithCells="1">
              <from>
                <xdr:col>64</xdr:col>
                <xdr:colOff>47625</xdr:colOff>
                <xdr:row>55</xdr:row>
                <xdr:rowOff>66675</xdr:rowOff>
              </from>
              <to>
                <xdr:col>64</xdr:col>
                <xdr:colOff>161925</xdr:colOff>
                <xdr:row>55</xdr:row>
                <xdr:rowOff>171450</xdr:rowOff>
              </to>
            </anchor>
          </controlPr>
        </control>
      </mc:Choice>
      <mc:Fallback>
        <control shapeId="2083" r:id="rId14" name="CheckBox27"/>
      </mc:Fallback>
    </mc:AlternateContent>
    <mc:AlternateContent xmlns:mc="http://schemas.openxmlformats.org/markup-compatibility/2006">
      <mc:Choice Requires="x14">
        <control shapeId="29" r:id="rId16" name="CheckBox26">
          <controlPr defaultSize="0" autoFill="0" autoLine="0" autoPict="0" r:id="rId17">
            <anchor moveWithCells="1" sizeWithCells="1">
              <from>
                <xdr:col>63</xdr:col>
                <xdr:colOff>47625</xdr:colOff>
                <xdr:row>55</xdr:row>
                <xdr:rowOff>66675</xdr:rowOff>
              </from>
              <to>
                <xdr:col>63</xdr:col>
                <xdr:colOff>161925</xdr:colOff>
                <xdr:row>55</xdr:row>
                <xdr:rowOff>171450</xdr:rowOff>
              </to>
            </anchor>
          </controlPr>
        </control>
      </mc:Choice>
      <mc:Fallback>
        <control shapeId="2082" r:id="rId16" name="CheckBox26"/>
      </mc:Fallback>
    </mc:AlternateContent>
    <mc:AlternateContent xmlns:mc="http://schemas.openxmlformats.org/markup-compatibility/2006">
      <mc:Choice Requires="x14">
        <control shapeId="28" r:id="rId18" name="CheckBox25">
          <controlPr defaultSize="0" autoFill="0" autoLine="0" autoPict="0" r:id="rId19">
            <anchor moveWithCells="1" sizeWithCells="1">
              <from>
                <xdr:col>62</xdr:col>
                <xdr:colOff>47625</xdr:colOff>
                <xdr:row>55</xdr:row>
                <xdr:rowOff>66675</xdr:rowOff>
              </from>
              <to>
                <xdr:col>62</xdr:col>
                <xdr:colOff>161925</xdr:colOff>
                <xdr:row>55</xdr:row>
                <xdr:rowOff>171450</xdr:rowOff>
              </to>
            </anchor>
          </controlPr>
        </control>
      </mc:Choice>
      <mc:Fallback>
        <control shapeId="2081" r:id="rId18" name="CheckBox25"/>
      </mc:Fallback>
    </mc:AlternateContent>
    <mc:AlternateContent xmlns:mc="http://schemas.openxmlformats.org/markup-compatibility/2006">
      <mc:Choice Requires="x14">
        <control shapeId="27" r:id="rId20" name="CheckBox24">
          <controlPr defaultSize="0" autoFill="0" autoLine="0" autoPict="0" r:id="rId21">
            <anchor moveWithCells="1" sizeWithCells="1">
              <from>
                <xdr:col>61</xdr:col>
                <xdr:colOff>47625</xdr:colOff>
                <xdr:row>55</xdr:row>
                <xdr:rowOff>66675</xdr:rowOff>
              </from>
              <to>
                <xdr:col>61</xdr:col>
                <xdr:colOff>161925</xdr:colOff>
                <xdr:row>55</xdr:row>
                <xdr:rowOff>171450</xdr:rowOff>
              </to>
            </anchor>
          </controlPr>
        </control>
      </mc:Choice>
      <mc:Fallback>
        <control shapeId="2080" r:id="rId20" name="CheckBox24"/>
      </mc:Fallback>
    </mc:AlternateContent>
    <mc:AlternateContent xmlns:mc="http://schemas.openxmlformats.org/markup-compatibility/2006">
      <mc:Choice Requires="x14">
        <control shapeId="26" r:id="rId22" name="CheckBox23">
          <controlPr defaultSize="0" autoFill="0" autoLine="0" autoPict="0" r:id="rId23">
            <anchor moveWithCells="1" sizeWithCells="1">
              <from>
                <xdr:col>60</xdr:col>
                <xdr:colOff>47625</xdr:colOff>
                <xdr:row>55</xdr:row>
                <xdr:rowOff>66675</xdr:rowOff>
              </from>
              <to>
                <xdr:col>60</xdr:col>
                <xdr:colOff>161925</xdr:colOff>
                <xdr:row>55</xdr:row>
                <xdr:rowOff>171450</xdr:rowOff>
              </to>
            </anchor>
          </controlPr>
        </control>
      </mc:Choice>
      <mc:Fallback>
        <control shapeId="2079" r:id="rId22" name="CheckBox23"/>
      </mc:Fallback>
    </mc:AlternateContent>
    <mc:AlternateContent xmlns:mc="http://schemas.openxmlformats.org/markup-compatibility/2006">
      <mc:Choice Requires="x14">
        <control shapeId="25" r:id="rId24" name="CheckBox22">
          <controlPr defaultSize="0" autoFill="0" autoLine="0" autoPict="0" r:id="rId25">
            <anchor moveWithCells="1" sizeWithCells="1">
              <from>
                <xdr:col>59</xdr:col>
                <xdr:colOff>47625</xdr:colOff>
                <xdr:row>55</xdr:row>
                <xdr:rowOff>66675</xdr:rowOff>
              </from>
              <to>
                <xdr:col>59</xdr:col>
                <xdr:colOff>161925</xdr:colOff>
                <xdr:row>55</xdr:row>
                <xdr:rowOff>171450</xdr:rowOff>
              </to>
            </anchor>
          </controlPr>
        </control>
      </mc:Choice>
      <mc:Fallback>
        <control shapeId="2078" r:id="rId24" name="CheckBox22"/>
      </mc:Fallback>
    </mc:AlternateContent>
    <mc:AlternateContent xmlns:mc="http://schemas.openxmlformats.org/markup-compatibility/2006">
      <mc:Choice Requires="x14">
        <control shapeId="24" r:id="rId26" name="CheckBox21">
          <controlPr defaultSize="0" autoFill="0" autoLine="0" autoPict="0" r:id="rId27">
            <anchor moveWithCells="1" sizeWithCells="1">
              <from>
                <xdr:col>58</xdr:col>
                <xdr:colOff>47625</xdr:colOff>
                <xdr:row>55</xdr:row>
                <xdr:rowOff>66675</xdr:rowOff>
              </from>
              <to>
                <xdr:col>58</xdr:col>
                <xdr:colOff>161925</xdr:colOff>
                <xdr:row>55</xdr:row>
                <xdr:rowOff>171450</xdr:rowOff>
              </to>
            </anchor>
          </controlPr>
        </control>
      </mc:Choice>
      <mc:Fallback>
        <control shapeId="2077" r:id="rId26" name="CheckBox21"/>
      </mc:Fallback>
    </mc:AlternateContent>
    <mc:AlternateContent xmlns:mc="http://schemas.openxmlformats.org/markup-compatibility/2006">
      <mc:Choice Requires="x14">
        <control shapeId="23" r:id="rId28" name="CheckBox20">
          <controlPr defaultSize="0" autoFill="0" autoLine="0" autoPict="0" r:id="rId29">
            <anchor moveWithCells="1" sizeWithCells="1">
              <from>
                <xdr:col>57</xdr:col>
                <xdr:colOff>47625</xdr:colOff>
                <xdr:row>55</xdr:row>
                <xdr:rowOff>66675</xdr:rowOff>
              </from>
              <to>
                <xdr:col>57</xdr:col>
                <xdr:colOff>161925</xdr:colOff>
                <xdr:row>55</xdr:row>
                <xdr:rowOff>171450</xdr:rowOff>
              </to>
            </anchor>
          </controlPr>
        </control>
      </mc:Choice>
      <mc:Fallback>
        <control shapeId="2076" r:id="rId28" name="CheckBox20"/>
      </mc:Fallback>
    </mc:AlternateContent>
    <mc:AlternateContent xmlns:mc="http://schemas.openxmlformats.org/markup-compatibility/2006">
      <mc:Choice Requires="x14">
        <control shapeId="22" r:id="rId30" name="CheckBox19">
          <controlPr defaultSize="0" autoFill="0" autoLine="0" autoPict="0" r:id="rId31">
            <anchor moveWithCells="1" sizeWithCells="1">
              <from>
                <xdr:col>56</xdr:col>
                <xdr:colOff>47625</xdr:colOff>
                <xdr:row>55</xdr:row>
                <xdr:rowOff>66675</xdr:rowOff>
              </from>
              <to>
                <xdr:col>56</xdr:col>
                <xdr:colOff>161925</xdr:colOff>
                <xdr:row>55</xdr:row>
                <xdr:rowOff>171450</xdr:rowOff>
              </to>
            </anchor>
          </controlPr>
        </control>
      </mc:Choice>
      <mc:Fallback>
        <control shapeId="2075" r:id="rId30" name="CheckBox19"/>
      </mc:Fallback>
    </mc:AlternateContent>
    <mc:AlternateContent xmlns:mc="http://schemas.openxmlformats.org/markup-compatibility/2006">
      <mc:Choice Requires="x14">
        <control shapeId="21" r:id="rId32" name="CheckBox18">
          <controlPr defaultSize="0" autoFill="0" autoLine="0" autoPict="0" r:id="rId33">
            <anchor moveWithCells="1" sizeWithCells="1">
              <from>
                <xdr:col>55</xdr:col>
                <xdr:colOff>47625</xdr:colOff>
                <xdr:row>55</xdr:row>
                <xdr:rowOff>66675</xdr:rowOff>
              </from>
              <to>
                <xdr:col>55</xdr:col>
                <xdr:colOff>161925</xdr:colOff>
                <xdr:row>55</xdr:row>
                <xdr:rowOff>171450</xdr:rowOff>
              </to>
            </anchor>
          </controlPr>
        </control>
      </mc:Choice>
      <mc:Fallback>
        <control shapeId="2074" r:id="rId32" name="CheckBox18"/>
      </mc:Fallback>
    </mc:AlternateContent>
    <mc:AlternateContent xmlns:mc="http://schemas.openxmlformats.org/markup-compatibility/2006">
      <mc:Choice Requires="x14">
        <control shapeId="20" r:id="rId34" name="CheckBox17">
          <controlPr defaultSize="0" autoFill="0" autoLine="0" autoPict="0" r:id="rId35">
            <anchor moveWithCells="1" sizeWithCells="1">
              <from>
                <xdr:col>54</xdr:col>
                <xdr:colOff>47625</xdr:colOff>
                <xdr:row>55</xdr:row>
                <xdr:rowOff>66675</xdr:rowOff>
              </from>
              <to>
                <xdr:col>54</xdr:col>
                <xdr:colOff>161925</xdr:colOff>
                <xdr:row>55</xdr:row>
                <xdr:rowOff>171450</xdr:rowOff>
              </to>
            </anchor>
          </controlPr>
        </control>
      </mc:Choice>
      <mc:Fallback>
        <control shapeId="2073" r:id="rId34" name="CheckBox17"/>
      </mc:Fallback>
    </mc:AlternateContent>
    <mc:AlternateContent xmlns:mc="http://schemas.openxmlformats.org/markup-compatibility/2006">
      <mc:Choice Requires="x14">
        <control shapeId="19" r:id="rId36" name="CheckBox16">
          <controlPr defaultSize="0" autoFill="0" autoLine="0" autoPict="0" r:id="rId37">
            <anchor moveWithCells="1" sizeWithCells="1">
              <from>
                <xdr:col>53</xdr:col>
                <xdr:colOff>47625</xdr:colOff>
                <xdr:row>55</xdr:row>
                <xdr:rowOff>66675</xdr:rowOff>
              </from>
              <to>
                <xdr:col>53</xdr:col>
                <xdr:colOff>161925</xdr:colOff>
                <xdr:row>55</xdr:row>
                <xdr:rowOff>171450</xdr:rowOff>
              </to>
            </anchor>
          </controlPr>
        </control>
      </mc:Choice>
      <mc:Fallback>
        <control shapeId="2072" r:id="rId36" name="CheckBox16"/>
      </mc:Fallback>
    </mc:AlternateContent>
    <mc:AlternateContent xmlns:mc="http://schemas.openxmlformats.org/markup-compatibility/2006">
      <mc:Choice Requires="x14">
        <control shapeId="18" r:id="rId38" name="CheckBox15">
          <controlPr defaultSize="0" autoFill="0" autoLine="0" autoPict="0" r:id="rId39">
            <anchor moveWithCells="1" sizeWithCells="1">
              <from>
                <xdr:col>52</xdr:col>
                <xdr:colOff>47625</xdr:colOff>
                <xdr:row>55</xdr:row>
                <xdr:rowOff>66675</xdr:rowOff>
              </from>
              <to>
                <xdr:col>52</xdr:col>
                <xdr:colOff>161925</xdr:colOff>
                <xdr:row>55</xdr:row>
                <xdr:rowOff>171450</xdr:rowOff>
              </to>
            </anchor>
          </controlPr>
        </control>
      </mc:Choice>
      <mc:Fallback>
        <control shapeId="2071" r:id="rId38" name="CheckBox15"/>
      </mc:Fallback>
    </mc:AlternateContent>
    <mc:AlternateContent xmlns:mc="http://schemas.openxmlformats.org/markup-compatibility/2006">
      <mc:Choice Requires="x14">
        <control shapeId="17" r:id="rId40" name="CheckBox14">
          <controlPr defaultSize="0" autoFill="0" autoLine="0" autoPict="0" r:id="rId41">
            <anchor moveWithCells="1" sizeWithCells="1">
              <from>
                <xdr:col>51</xdr:col>
                <xdr:colOff>47625</xdr:colOff>
                <xdr:row>55</xdr:row>
                <xdr:rowOff>66675</xdr:rowOff>
              </from>
              <to>
                <xdr:col>51</xdr:col>
                <xdr:colOff>161925</xdr:colOff>
                <xdr:row>55</xdr:row>
                <xdr:rowOff>171450</xdr:rowOff>
              </to>
            </anchor>
          </controlPr>
        </control>
      </mc:Choice>
      <mc:Fallback>
        <control shapeId="2070" r:id="rId40" name="CheckBox14"/>
      </mc:Fallback>
    </mc:AlternateContent>
    <mc:AlternateContent xmlns:mc="http://schemas.openxmlformats.org/markup-compatibility/2006">
      <mc:Choice Requires="x14">
        <control shapeId="16" r:id="rId42" name="CheckBox13">
          <controlPr defaultSize="0" autoFill="0" autoLine="0" autoPict="0" r:id="rId43">
            <anchor moveWithCells="1" sizeWithCells="1">
              <from>
                <xdr:col>50</xdr:col>
                <xdr:colOff>47625</xdr:colOff>
                <xdr:row>55</xdr:row>
                <xdr:rowOff>66675</xdr:rowOff>
              </from>
              <to>
                <xdr:col>50</xdr:col>
                <xdr:colOff>161925</xdr:colOff>
                <xdr:row>55</xdr:row>
                <xdr:rowOff>171450</xdr:rowOff>
              </to>
            </anchor>
          </controlPr>
        </control>
      </mc:Choice>
      <mc:Fallback>
        <control shapeId="2069" r:id="rId42" name="CheckBox13"/>
      </mc:Fallback>
    </mc:AlternateContent>
    <mc:AlternateContent xmlns:mc="http://schemas.openxmlformats.org/markup-compatibility/2006">
      <mc:Choice Requires="x14">
        <control shapeId="15" r:id="rId44" name="CheckBox12">
          <controlPr defaultSize="0" autoFill="0" autoLine="0" autoPict="0" r:id="rId45">
            <anchor moveWithCells="1" sizeWithCells="1">
              <from>
                <xdr:col>49</xdr:col>
                <xdr:colOff>47625</xdr:colOff>
                <xdr:row>55</xdr:row>
                <xdr:rowOff>66675</xdr:rowOff>
              </from>
              <to>
                <xdr:col>49</xdr:col>
                <xdr:colOff>161925</xdr:colOff>
                <xdr:row>55</xdr:row>
                <xdr:rowOff>171450</xdr:rowOff>
              </to>
            </anchor>
          </controlPr>
        </control>
      </mc:Choice>
      <mc:Fallback>
        <control shapeId="2068" r:id="rId44" name="CheckBox12"/>
      </mc:Fallback>
    </mc:AlternateContent>
    <mc:AlternateContent xmlns:mc="http://schemas.openxmlformats.org/markup-compatibility/2006">
      <mc:Choice Requires="x14">
        <control shapeId="14" r:id="rId46" name="CheckBox11">
          <controlPr defaultSize="0" autoFill="0" autoLine="0" autoPict="0" r:id="rId47">
            <anchor moveWithCells="1" sizeWithCells="1">
              <from>
                <xdr:col>48</xdr:col>
                <xdr:colOff>47625</xdr:colOff>
                <xdr:row>55</xdr:row>
                <xdr:rowOff>66675</xdr:rowOff>
              </from>
              <to>
                <xdr:col>48</xdr:col>
                <xdr:colOff>161925</xdr:colOff>
                <xdr:row>55</xdr:row>
                <xdr:rowOff>171450</xdr:rowOff>
              </to>
            </anchor>
          </controlPr>
        </control>
      </mc:Choice>
      <mc:Fallback>
        <control shapeId="2067" r:id="rId46" name="CheckBox11"/>
      </mc:Fallback>
    </mc:AlternateContent>
    <mc:AlternateContent xmlns:mc="http://schemas.openxmlformats.org/markup-compatibility/2006">
      <mc:Choice Requires="x14">
        <control shapeId="13" r:id="rId48" name="CheckBox10">
          <controlPr defaultSize="0" autoFill="0" autoLine="0" autoPict="0" r:id="rId49">
            <anchor moveWithCells="1" sizeWithCells="1">
              <from>
                <xdr:col>47</xdr:col>
                <xdr:colOff>47625</xdr:colOff>
                <xdr:row>55</xdr:row>
                <xdr:rowOff>66675</xdr:rowOff>
              </from>
              <to>
                <xdr:col>47</xdr:col>
                <xdr:colOff>161925</xdr:colOff>
                <xdr:row>55</xdr:row>
                <xdr:rowOff>171450</xdr:rowOff>
              </to>
            </anchor>
          </controlPr>
        </control>
      </mc:Choice>
      <mc:Fallback>
        <control shapeId="2066" r:id="rId48" name="CheckBox10"/>
      </mc:Fallback>
    </mc:AlternateContent>
    <mc:AlternateContent xmlns:mc="http://schemas.openxmlformats.org/markup-compatibility/2006">
      <mc:Choice Requires="x14">
        <control shapeId="12" r:id="rId50" name="CheckBox9">
          <controlPr defaultSize="0" autoFill="0" autoLine="0" autoPict="0" r:id="rId51">
            <anchor moveWithCells="1" sizeWithCells="1">
              <from>
                <xdr:col>46</xdr:col>
                <xdr:colOff>47625</xdr:colOff>
                <xdr:row>55</xdr:row>
                <xdr:rowOff>66675</xdr:rowOff>
              </from>
              <to>
                <xdr:col>46</xdr:col>
                <xdr:colOff>161925</xdr:colOff>
                <xdr:row>55</xdr:row>
                <xdr:rowOff>171450</xdr:rowOff>
              </to>
            </anchor>
          </controlPr>
        </control>
      </mc:Choice>
      <mc:Fallback>
        <control shapeId="2065" r:id="rId50" name="CheckBox9"/>
      </mc:Fallback>
    </mc:AlternateContent>
    <mc:AlternateContent xmlns:mc="http://schemas.openxmlformats.org/markup-compatibility/2006">
      <mc:Choice Requires="x14">
        <control shapeId="11" r:id="rId52" name="CheckBox8">
          <controlPr defaultSize="0" autoFill="0" autoLine="0" autoPict="0" r:id="rId53">
            <anchor moveWithCells="1" sizeWithCells="1">
              <from>
                <xdr:col>45</xdr:col>
                <xdr:colOff>47625</xdr:colOff>
                <xdr:row>55</xdr:row>
                <xdr:rowOff>66675</xdr:rowOff>
              </from>
              <to>
                <xdr:col>45</xdr:col>
                <xdr:colOff>161925</xdr:colOff>
                <xdr:row>55</xdr:row>
                <xdr:rowOff>171450</xdr:rowOff>
              </to>
            </anchor>
          </controlPr>
        </control>
      </mc:Choice>
      <mc:Fallback>
        <control shapeId="2064" r:id="rId52" name="CheckBox8"/>
      </mc:Fallback>
    </mc:AlternateContent>
    <mc:AlternateContent xmlns:mc="http://schemas.openxmlformats.org/markup-compatibility/2006">
      <mc:Choice Requires="x14">
        <control shapeId="10" r:id="rId54" name="CheckBox7">
          <controlPr defaultSize="0" autoFill="0" autoLine="0" autoPict="0" r:id="rId55">
            <anchor moveWithCells="1" sizeWithCells="1">
              <from>
                <xdr:col>44</xdr:col>
                <xdr:colOff>47625</xdr:colOff>
                <xdr:row>55</xdr:row>
                <xdr:rowOff>66675</xdr:rowOff>
              </from>
              <to>
                <xdr:col>44</xdr:col>
                <xdr:colOff>161925</xdr:colOff>
                <xdr:row>55</xdr:row>
                <xdr:rowOff>171450</xdr:rowOff>
              </to>
            </anchor>
          </controlPr>
        </control>
      </mc:Choice>
      <mc:Fallback>
        <control shapeId="2063" r:id="rId54" name="CheckBox7"/>
      </mc:Fallback>
    </mc:AlternateContent>
    <mc:AlternateContent xmlns:mc="http://schemas.openxmlformats.org/markup-compatibility/2006">
      <mc:Choice Requires="x14">
        <control shapeId="9" r:id="rId56" name="CheckBox6">
          <controlPr defaultSize="0" autoFill="0" autoLine="0" autoPict="0" r:id="rId57">
            <anchor moveWithCells="1" sizeWithCells="1">
              <from>
                <xdr:col>43</xdr:col>
                <xdr:colOff>47625</xdr:colOff>
                <xdr:row>55</xdr:row>
                <xdr:rowOff>66675</xdr:rowOff>
              </from>
              <to>
                <xdr:col>43</xdr:col>
                <xdr:colOff>161925</xdr:colOff>
                <xdr:row>55</xdr:row>
                <xdr:rowOff>171450</xdr:rowOff>
              </to>
            </anchor>
          </controlPr>
        </control>
      </mc:Choice>
      <mc:Fallback>
        <control shapeId="2062" r:id="rId56" name="CheckBox6"/>
      </mc:Fallback>
    </mc:AlternateContent>
    <mc:AlternateContent xmlns:mc="http://schemas.openxmlformats.org/markup-compatibility/2006">
      <mc:Choice Requires="x14">
        <control shapeId="8" r:id="rId58" name="CheckBox5">
          <controlPr defaultSize="0" autoFill="0" autoLine="0" autoPict="0" r:id="rId59">
            <anchor moveWithCells="1" sizeWithCells="1">
              <from>
                <xdr:col>42</xdr:col>
                <xdr:colOff>47625</xdr:colOff>
                <xdr:row>55</xdr:row>
                <xdr:rowOff>66675</xdr:rowOff>
              </from>
              <to>
                <xdr:col>42</xdr:col>
                <xdr:colOff>161925</xdr:colOff>
                <xdr:row>55</xdr:row>
                <xdr:rowOff>171450</xdr:rowOff>
              </to>
            </anchor>
          </controlPr>
        </control>
      </mc:Choice>
      <mc:Fallback>
        <control shapeId="2061" r:id="rId58" name="CheckBox5"/>
      </mc:Fallback>
    </mc:AlternateContent>
    <mc:AlternateContent xmlns:mc="http://schemas.openxmlformats.org/markup-compatibility/2006">
      <mc:Choice Requires="x14">
        <control shapeId="7" r:id="rId60" name="CheckBox4">
          <controlPr defaultSize="0" autoFill="0" autoLine="0" autoPict="0" r:id="rId61">
            <anchor moveWithCells="1" sizeWithCells="1">
              <from>
                <xdr:col>41</xdr:col>
                <xdr:colOff>66675</xdr:colOff>
                <xdr:row>55</xdr:row>
                <xdr:rowOff>66675</xdr:rowOff>
              </from>
              <to>
                <xdr:col>41</xdr:col>
                <xdr:colOff>180975</xdr:colOff>
                <xdr:row>55</xdr:row>
                <xdr:rowOff>171450</xdr:rowOff>
              </to>
            </anchor>
          </controlPr>
        </control>
      </mc:Choice>
      <mc:Fallback>
        <control shapeId="2060" r:id="rId60" name="CheckBox4"/>
      </mc:Fallback>
    </mc:AlternateContent>
    <mc:AlternateContent xmlns:mc="http://schemas.openxmlformats.org/markup-compatibility/2006">
      <mc:Choice Requires="x14">
        <control shapeId="6" r:id="rId62" name="CheckBox3">
          <controlPr defaultSize="0" autoFill="0" autoLine="0" autoPict="0" r:id="rId63">
            <anchor moveWithCells="1" sizeWithCells="1">
              <from>
                <xdr:col>40</xdr:col>
                <xdr:colOff>47625</xdr:colOff>
                <xdr:row>55</xdr:row>
                <xdr:rowOff>66675</xdr:rowOff>
              </from>
              <to>
                <xdr:col>40</xdr:col>
                <xdr:colOff>161925</xdr:colOff>
                <xdr:row>55</xdr:row>
                <xdr:rowOff>171450</xdr:rowOff>
              </to>
            </anchor>
          </controlPr>
        </control>
      </mc:Choice>
      <mc:Fallback>
        <control shapeId="2059" r:id="rId62" name="CheckBox3"/>
      </mc:Fallback>
    </mc:AlternateContent>
    <mc:AlternateContent xmlns:mc="http://schemas.openxmlformats.org/markup-compatibility/2006">
      <mc:Choice Requires="x14">
        <control shapeId="5" r:id="rId64" name="CheckBox2">
          <controlPr defaultSize="0" autoFill="0" autoLine="0" autoPict="0" r:id="rId65">
            <anchor moveWithCells="1" sizeWithCells="1">
              <from>
                <xdr:col>39</xdr:col>
                <xdr:colOff>47625</xdr:colOff>
                <xdr:row>55</xdr:row>
                <xdr:rowOff>66675</xdr:rowOff>
              </from>
              <to>
                <xdr:col>39</xdr:col>
                <xdr:colOff>161925</xdr:colOff>
                <xdr:row>55</xdr:row>
                <xdr:rowOff>171450</xdr:rowOff>
              </to>
            </anchor>
          </controlPr>
        </control>
      </mc:Choice>
      <mc:Fallback>
        <control shapeId="2058" r:id="rId64" name="CheckBox2"/>
      </mc:Fallback>
    </mc:AlternateContent>
    <mc:AlternateContent xmlns:mc="http://schemas.openxmlformats.org/markup-compatibility/2006">
      <mc:Choice Requires="x14">
        <control shapeId="4" r:id="rId66" name="CheckBox1">
          <controlPr defaultSize="0" autoFill="0" autoLine="0" autoPict="0" r:id="rId67">
            <anchor moveWithCells="1" sizeWithCells="1">
              <from>
                <xdr:col>38</xdr:col>
                <xdr:colOff>47625</xdr:colOff>
                <xdr:row>55</xdr:row>
                <xdr:rowOff>66675</xdr:rowOff>
              </from>
              <to>
                <xdr:col>38</xdr:col>
                <xdr:colOff>161925</xdr:colOff>
                <xdr:row>55</xdr:row>
                <xdr:rowOff>171450</xdr:rowOff>
              </to>
            </anchor>
          </controlPr>
        </control>
      </mc:Choice>
      <mc:Fallback>
        <control shapeId="2057" r:id="rId66" name="CheckBox1"/>
      </mc:Fallback>
    </mc:AlternateContent>
    <mc:AlternateContent xmlns:mc="http://schemas.openxmlformats.org/markup-compatibility/2006">
      <mc:Choice Requires="x14">
        <control shapeId="3" r:id="rId68" name="CommandButton2">
          <controlPr defaultSize="0" autoFill="0" autoLine="0" autoPict="0" r:id="rId69">
            <anchor moveWithCells="1" sizeWithCells="1">
              <from>
                <xdr:col>11</xdr:col>
                <xdr:colOff>114300</xdr:colOff>
                <xdr:row>59</xdr:row>
                <xdr:rowOff>19050</xdr:rowOff>
              </from>
              <to>
                <xdr:col>25</xdr:col>
                <xdr:colOff>142875</xdr:colOff>
                <xdr:row>60</xdr:row>
                <xdr:rowOff>180975</xdr:rowOff>
              </to>
            </anchor>
          </controlPr>
        </control>
      </mc:Choice>
      <mc:Fallback>
        <control shapeId="2056" r:id="rId68" name="CommandButton2"/>
      </mc:Fallback>
    </mc:AlternateContent>
    <mc:AlternateContent xmlns:mc="http://schemas.openxmlformats.org/markup-compatibility/2006">
      <mc:Choice Requires="x14">
        <control shapeId="2" r:id="rId70" name="CommandButton1">
          <controlPr defaultSize="0" autoFill="0" autoLine="0" autoPict="0" r:id="rId71">
            <anchor moveWithCells="1" sizeWithCells="1">
              <from>
                <xdr:col>11</xdr:col>
                <xdr:colOff>219075</xdr:colOff>
                <xdr:row>56</xdr:row>
                <xdr:rowOff>0</xdr:rowOff>
              </from>
              <to>
                <xdr:col>25</xdr:col>
                <xdr:colOff>152400</xdr:colOff>
                <xdr:row>57</xdr:row>
                <xdr:rowOff>142875</xdr:rowOff>
              </to>
            </anchor>
          </controlPr>
        </control>
      </mc:Choice>
      <mc:Fallback>
        <control shapeId="2055" r:id="rId70" name="CommandButton1"/>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tabColor indexed="54"/>
  </sheetPr>
  <dimension ref="A1:AK54"/>
  <sheetViews>
    <sheetView workbookViewId="0">
      <selection activeCell="L18" sqref="L18"/>
    </sheetView>
  </sheetViews>
  <sheetFormatPr defaultRowHeight="12.75" x14ac:dyDescent="0.2"/>
  <cols>
    <col min="1" max="4" width="3.28515625" style="119" customWidth="1"/>
    <col min="5" max="5" width="1.7109375" style="119" customWidth="1"/>
    <col min="6" max="6" width="14.85546875" style="119" customWidth="1"/>
    <col min="7" max="7" width="5" style="119" customWidth="1"/>
    <col min="8" max="9" width="3.28515625" style="119" customWidth="1"/>
    <col min="10" max="10" width="3.5703125" style="119" customWidth="1"/>
    <col min="11" max="13" width="3.28515625" style="119" customWidth="1"/>
    <col min="14" max="61" width="1.85546875" style="119" customWidth="1"/>
    <col min="62" max="82" width="3.28515625" style="119" customWidth="1"/>
    <col min="83" max="16384" width="9.140625" style="119"/>
  </cols>
  <sheetData>
    <row r="1" spans="1:37" ht="27.75" customHeight="1" x14ac:dyDescent="0.2">
      <c r="A1" s="348" t="s">
        <v>99</v>
      </c>
      <c r="B1" s="348"/>
      <c r="C1" s="348"/>
      <c r="D1" s="348"/>
      <c r="E1" s="348"/>
      <c r="F1" s="348"/>
      <c r="G1" s="348"/>
      <c r="H1" s="348"/>
      <c r="I1" s="348"/>
      <c r="J1" s="348"/>
      <c r="K1" s="348"/>
      <c r="L1" s="348"/>
      <c r="M1" s="348"/>
      <c r="N1" s="348"/>
      <c r="O1" s="348"/>
      <c r="P1" s="348"/>
      <c r="Q1" s="348"/>
      <c r="R1" s="348"/>
      <c r="S1" s="348"/>
      <c r="T1" s="348"/>
      <c r="U1" s="348"/>
      <c r="V1" s="348"/>
      <c r="W1" s="348"/>
      <c r="X1" s="348"/>
      <c r="Y1" s="348"/>
      <c r="Z1" s="348"/>
      <c r="AA1" s="348"/>
      <c r="AB1" s="348"/>
      <c r="AC1" s="348"/>
      <c r="AD1" s="348"/>
      <c r="AE1" s="348"/>
      <c r="AF1" s="348"/>
      <c r="AG1" s="348"/>
      <c r="AH1" s="348"/>
      <c r="AI1" s="348"/>
      <c r="AJ1" s="348"/>
      <c r="AK1" s="348"/>
    </row>
    <row r="2" spans="1:37" s="121" customFormat="1" ht="25.5" customHeight="1" x14ac:dyDescent="0.25">
      <c r="A2" s="349" t="s">
        <v>33</v>
      </c>
      <c r="B2" s="349"/>
      <c r="C2" s="349"/>
      <c r="D2" s="349"/>
      <c r="E2" s="349"/>
      <c r="F2" s="120" t="s">
        <v>100</v>
      </c>
      <c r="G2" s="350" t="s">
        <v>43</v>
      </c>
      <c r="H2" s="350"/>
      <c r="I2" s="350"/>
      <c r="J2" s="350"/>
      <c r="K2" s="350"/>
      <c r="L2" s="350"/>
      <c r="M2" s="350"/>
      <c r="N2" s="350"/>
      <c r="O2" s="350"/>
      <c r="P2" s="350"/>
      <c r="Q2" s="350"/>
      <c r="R2" s="351" t="s">
        <v>101</v>
      </c>
      <c r="S2" s="351"/>
      <c r="T2" s="351"/>
      <c r="U2" s="351"/>
      <c r="V2" s="351"/>
      <c r="W2" s="351"/>
      <c r="X2" s="351"/>
      <c r="Y2" s="351"/>
      <c r="Z2" s="351"/>
      <c r="AA2" s="351"/>
      <c r="AB2" s="351" t="s">
        <v>102</v>
      </c>
      <c r="AC2" s="351"/>
      <c r="AD2" s="351"/>
      <c r="AE2" s="351"/>
      <c r="AF2" s="351"/>
      <c r="AG2" s="351"/>
      <c r="AH2" s="351"/>
      <c r="AI2" s="351"/>
      <c r="AJ2" s="351"/>
      <c r="AK2" s="351"/>
    </row>
    <row r="3" spans="1:37" ht="20.100000000000001" customHeight="1" x14ac:dyDescent="0.2">
      <c r="A3" s="122"/>
      <c r="B3" s="123"/>
      <c r="C3" s="123"/>
      <c r="D3" s="124"/>
      <c r="E3" s="125"/>
      <c r="F3" s="126"/>
      <c r="G3" s="127"/>
      <c r="H3" s="124"/>
      <c r="I3" s="124"/>
      <c r="J3" s="124"/>
      <c r="K3" s="124"/>
      <c r="L3" s="124"/>
      <c r="M3" s="124"/>
      <c r="N3" s="124"/>
      <c r="O3" s="124"/>
      <c r="P3" s="124"/>
      <c r="Q3" s="125"/>
      <c r="R3" s="124"/>
      <c r="S3" s="124"/>
      <c r="T3" s="124"/>
      <c r="U3" s="124"/>
      <c r="V3" s="124"/>
      <c r="W3" s="124"/>
      <c r="X3" s="124"/>
      <c r="Y3" s="124"/>
      <c r="Z3" s="124"/>
      <c r="AA3" s="125"/>
      <c r="AB3" s="127"/>
      <c r="AC3" s="124"/>
      <c r="AD3" s="124"/>
      <c r="AE3" s="124"/>
      <c r="AF3" s="124"/>
      <c r="AG3" s="124"/>
      <c r="AH3" s="124"/>
      <c r="AI3" s="124"/>
      <c r="AJ3" s="124"/>
      <c r="AK3" s="125"/>
    </row>
    <row r="4" spans="1:37" ht="20.100000000000001" customHeight="1" x14ac:dyDescent="0.2">
      <c r="A4" s="122"/>
      <c r="B4" s="123"/>
      <c r="C4" s="123"/>
      <c r="D4" s="124"/>
      <c r="E4" s="125"/>
      <c r="F4" s="126"/>
      <c r="G4" s="127"/>
      <c r="H4" s="124"/>
      <c r="I4" s="124"/>
      <c r="J4" s="124"/>
      <c r="K4" s="124"/>
      <c r="L4" s="124"/>
      <c r="M4" s="124"/>
      <c r="N4" s="124"/>
      <c r="O4" s="124"/>
      <c r="P4" s="124"/>
      <c r="Q4" s="125"/>
      <c r="R4" s="124"/>
      <c r="S4" s="124"/>
      <c r="T4" s="124"/>
      <c r="U4" s="124"/>
      <c r="V4" s="124"/>
      <c r="W4" s="124"/>
      <c r="X4" s="124"/>
      <c r="Y4" s="124"/>
      <c r="Z4" s="124"/>
      <c r="AA4" s="125"/>
      <c r="AB4" s="127"/>
      <c r="AC4" s="124"/>
      <c r="AD4" s="124"/>
      <c r="AE4" s="124"/>
      <c r="AF4" s="124"/>
      <c r="AG4" s="124"/>
      <c r="AH4" s="124"/>
      <c r="AI4" s="124"/>
      <c r="AJ4" s="124"/>
      <c r="AK4" s="125"/>
    </row>
    <row r="5" spans="1:37" ht="20.100000000000001" customHeight="1" x14ac:dyDescent="0.2">
      <c r="A5" s="122"/>
      <c r="B5" s="123"/>
      <c r="C5" s="123"/>
      <c r="D5" s="124"/>
      <c r="E5" s="125"/>
      <c r="F5" s="126"/>
      <c r="G5" s="127"/>
      <c r="H5" s="124"/>
      <c r="I5" s="124"/>
      <c r="J5" s="124"/>
      <c r="K5" s="124"/>
      <c r="L5" s="124"/>
      <c r="M5" s="124"/>
      <c r="N5" s="124"/>
      <c r="O5" s="124"/>
      <c r="P5" s="124"/>
      <c r="Q5" s="125"/>
      <c r="R5" s="124"/>
      <c r="S5" s="124"/>
      <c r="T5" s="124"/>
      <c r="U5" s="124"/>
      <c r="V5" s="124"/>
      <c r="W5" s="124"/>
      <c r="X5" s="124"/>
      <c r="Y5" s="124"/>
      <c r="Z5" s="124"/>
      <c r="AA5" s="125"/>
      <c r="AB5" s="127"/>
      <c r="AC5" s="124"/>
      <c r="AD5" s="124"/>
      <c r="AE5" s="124"/>
      <c r="AF5" s="124"/>
      <c r="AG5" s="124"/>
      <c r="AH5" s="124"/>
      <c r="AI5" s="124"/>
      <c r="AJ5" s="124"/>
      <c r="AK5" s="125"/>
    </row>
    <row r="6" spans="1:37" ht="20.100000000000001" customHeight="1" x14ac:dyDescent="0.2">
      <c r="A6" s="122"/>
      <c r="B6" s="123"/>
      <c r="C6" s="123"/>
      <c r="D6" s="124"/>
      <c r="E6" s="125"/>
      <c r="F6" s="126"/>
      <c r="G6" s="127"/>
      <c r="H6" s="124"/>
      <c r="I6" s="124"/>
      <c r="J6" s="124"/>
      <c r="K6" s="124"/>
      <c r="L6" s="124"/>
      <c r="M6" s="124"/>
      <c r="N6" s="124"/>
      <c r="O6" s="124"/>
      <c r="P6" s="124"/>
      <c r="Q6" s="125"/>
      <c r="R6" s="124"/>
      <c r="S6" s="124"/>
      <c r="T6" s="124"/>
      <c r="U6" s="124"/>
      <c r="V6" s="124"/>
      <c r="W6" s="124"/>
      <c r="X6" s="124"/>
      <c r="Y6" s="124"/>
      <c r="Z6" s="124"/>
      <c r="AA6" s="125"/>
      <c r="AB6" s="127"/>
      <c r="AC6" s="124"/>
      <c r="AD6" s="124"/>
      <c r="AE6" s="124"/>
      <c r="AF6" s="124"/>
      <c r="AG6" s="124"/>
      <c r="AH6" s="124"/>
      <c r="AI6" s="124"/>
      <c r="AJ6" s="124"/>
      <c r="AK6" s="125"/>
    </row>
    <row r="7" spans="1:37" ht="20.100000000000001" customHeight="1" x14ac:dyDescent="0.2">
      <c r="A7" s="122"/>
      <c r="B7" s="123"/>
      <c r="C7" s="123"/>
      <c r="D7" s="124"/>
      <c r="E7" s="125"/>
      <c r="F7" s="126"/>
      <c r="G7" s="127"/>
      <c r="H7" s="124"/>
      <c r="I7" s="124"/>
      <c r="J7" s="124"/>
      <c r="K7" s="124"/>
      <c r="L7" s="124"/>
      <c r="M7" s="124"/>
      <c r="N7" s="124"/>
      <c r="O7" s="124"/>
      <c r="P7" s="124"/>
      <c r="Q7" s="125"/>
      <c r="R7" s="124"/>
      <c r="S7" s="124"/>
      <c r="T7" s="124"/>
      <c r="U7" s="124"/>
      <c r="V7" s="124"/>
      <c r="W7" s="124"/>
      <c r="X7" s="124"/>
      <c r="Y7" s="124"/>
      <c r="Z7" s="124"/>
      <c r="AA7" s="125"/>
      <c r="AB7" s="127"/>
      <c r="AC7" s="124"/>
      <c r="AD7" s="124"/>
      <c r="AE7" s="124"/>
      <c r="AF7" s="124"/>
      <c r="AG7" s="124"/>
      <c r="AH7" s="124"/>
      <c r="AI7" s="124"/>
      <c r="AJ7" s="124"/>
      <c r="AK7" s="125"/>
    </row>
    <row r="8" spans="1:37" ht="20.100000000000001" customHeight="1" x14ac:dyDescent="0.2">
      <c r="A8" s="122"/>
      <c r="B8" s="123"/>
      <c r="C8" s="123"/>
      <c r="D8" s="124"/>
      <c r="E8" s="125"/>
      <c r="F8" s="126"/>
      <c r="G8" s="127"/>
      <c r="H8" s="124"/>
      <c r="I8" s="124"/>
      <c r="J8" s="124"/>
      <c r="K8" s="124"/>
      <c r="L8" s="124"/>
      <c r="M8" s="124"/>
      <c r="N8" s="124"/>
      <c r="O8" s="124"/>
      <c r="P8" s="124"/>
      <c r="Q8" s="125"/>
      <c r="R8" s="124"/>
      <c r="S8" s="124"/>
      <c r="T8" s="124"/>
      <c r="U8" s="124"/>
      <c r="V8" s="124"/>
      <c r="W8" s="124"/>
      <c r="X8" s="124"/>
      <c r="Y8" s="124"/>
      <c r="Z8" s="124"/>
      <c r="AA8" s="125"/>
      <c r="AB8" s="127"/>
      <c r="AC8" s="124"/>
      <c r="AD8" s="124"/>
      <c r="AE8" s="124"/>
      <c r="AF8" s="124"/>
      <c r="AG8" s="124"/>
      <c r="AH8" s="124"/>
      <c r="AI8" s="124"/>
      <c r="AJ8" s="124"/>
      <c r="AK8" s="125"/>
    </row>
    <row r="9" spans="1:37" ht="20.100000000000001" customHeight="1" x14ac:dyDescent="0.2">
      <c r="A9" s="122"/>
      <c r="B9" s="123"/>
      <c r="C9" s="123"/>
      <c r="D9" s="124"/>
      <c r="E9" s="125"/>
      <c r="F9" s="126"/>
      <c r="G9" s="127"/>
      <c r="H9" s="124"/>
      <c r="I9" s="124"/>
      <c r="J9" s="124"/>
      <c r="K9" s="124"/>
      <c r="L9" s="124"/>
      <c r="M9" s="124"/>
      <c r="N9" s="124"/>
      <c r="O9" s="124"/>
      <c r="P9" s="124"/>
      <c r="Q9" s="125"/>
      <c r="R9" s="124"/>
      <c r="S9" s="124"/>
      <c r="T9" s="124"/>
      <c r="U9" s="124"/>
      <c r="V9" s="124"/>
      <c r="W9" s="124"/>
      <c r="X9" s="124"/>
      <c r="Y9" s="124"/>
      <c r="Z9" s="124"/>
      <c r="AA9" s="125"/>
      <c r="AB9" s="127"/>
      <c r="AC9" s="124"/>
      <c r="AD9" s="124"/>
      <c r="AE9" s="124"/>
      <c r="AF9" s="124"/>
      <c r="AG9" s="124"/>
      <c r="AH9" s="124"/>
      <c r="AI9" s="124"/>
      <c r="AJ9" s="124"/>
      <c r="AK9" s="125"/>
    </row>
    <row r="10" spans="1:37" ht="20.100000000000001" customHeight="1" x14ac:dyDescent="0.2">
      <c r="A10" s="122"/>
      <c r="B10" s="123"/>
      <c r="C10" s="123"/>
      <c r="D10" s="124"/>
      <c r="E10" s="125"/>
      <c r="F10" s="126"/>
      <c r="G10" s="127"/>
      <c r="H10" s="124"/>
      <c r="I10" s="124"/>
      <c r="J10" s="124"/>
      <c r="K10" s="124"/>
      <c r="L10" s="124"/>
      <c r="M10" s="124"/>
      <c r="N10" s="124"/>
      <c r="O10" s="124"/>
      <c r="P10" s="124"/>
      <c r="Q10" s="125"/>
      <c r="R10" s="124"/>
      <c r="S10" s="124"/>
      <c r="T10" s="124"/>
      <c r="U10" s="124"/>
      <c r="V10" s="124"/>
      <c r="W10" s="124"/>
      <c r="X10" s="124"/>
      <c r="Y10" s="124"/>
      <c r="Z10" s="124"/>
      <c r="AA10" s="125"/>
      <c r="AB10" s="127"/>
      <c r="AC10" s="124"/>
      <c r="AD10" s="124"/>
      <c r="AE10" s="124"/>
      <c r="AF10" s="124"/>
      <c r="AG10" s="124"/>
      <c r="AH10" s="124"/>
      <c r="AI10" s="124"/>
      <c r="AJ10" s="124"/>
      <c r="AK10" s="125"/>
    </row>
    <row r="11" spans="1:37" ht="20.100000000000001" customHeight="1" x14ac:dyDescent="0.2">
      <c r="A11" s="122"/>
      <c r="B11" s="123"/>
      <c r="C11" s="123"/>
      <c r="D11" s="124"/>
      <c r="E11" s="125"/>
      <c r="F11" s="126"/>
      <c r="G11" s="127"/>
      <c r="H11" s="124"/>
      <c r="I11" s="124"/>
      <c r="J11" s="124"/>
      <c r="K11" s="124"/>
      <c r="L11" s="124"/>
      <c r="M11" s="124"/>
      <c r="N11" s="124"/>
      <c r="O11" s="124"/>
      <c r="P11" s="124"/>
      <c r="Q11" s="125"/>
      <c r="R11" s="124"/>
      <c r="S11" s="124"/>
      <c r="T11" s="124"/>
      <c r="U11" s="124"/>
      <c r="V11" s="124"/>
      <c r="W11" s="124"/>
      <c r="X11" s="124"/>
      <c r="Y11" s="124"/>
      <c r="Z11" s="124"/>
      <c r="AA11" s="125"/>
      <c r="AB11" s="127"/>
      <c r="AC11" s="124"/>
      <c r="AD11" s="124"/>
      <c r="AE11" s="124"/>
      <c r="AF11" s="124"/>
      <c r="AG11" s="124"/>
      <c r="AH11" s="124"/>
      <c r="AI11" s="124"/>
      <c r="AJ11" s="124"/>
      <c r="AK11" s="125"/>
    </row>
    <row r="12" spans="1:37" ht="20.100000000000001" customHeight="1" x14ac:dyDescent="0.2">
      <c r="A12" s="122"/>
      <c r="B12" s="123"/>
      <c r="C12" s="123"/>
      <c r="D12" s="124"/>
      <c r="E12" s="125"/>
      <c r="F12" s="126"/>
      <c r="G12" s="127"/>
      <c r="H12" s="124"/>
      <c r="I12" s="124"/>
      <c r="J12" s="124"/>
      <c r="K12" s="124"/>
      <c r="L12" s="124"/>
      <c r="M12" s="124"/>
      <c r="N12" s="124"/>
      <c r="O12" s="124"/>
      <c r="P12" s="124"/>
      <c r="Q12" s="125"/>
      <c r="R12" s="124"/>
      <c r="S12" s="124"/>
      <c r="T12" s="124"/>
      <c r="U12" s="124"/>
      <c r="V12" s="124"/>
      <c r="W12" s="124"/>
      <c r="X12" s="124"/>
      <c r="Y12" s="124"/>
      <c r="Z12" s="124"/>
      <c r="AA12" s="125"/>
      <c r="AB12" s="127"/>
      <c r="AC12" s="124"/>
      <c r="AD12" s="124"/>
      <c r="AE12" s="124"/>
      <c r="AF12" s="124"/>
      <c r="AG12" s="124"/>
      <c r="AH12" s="124"/>
      <c r="AI12" s="124"/>
      <c r="AJ12" s="124"/>
      <c r="AK12" s="125"/>
    </row>
    <row r="13" spans="1:37" ht="20.100000000000001" customHeight="1" x14ac:dyDescent="0.2">
      <c r="A13" s="122"/>
      <c r="B13" s="123"/>
      <c r="C13" s="123"/>
      <c r="D13" s="124"/>
      <c r="E13" s="125"/>
      <c r="F13" s="126"/>
      <c r="G13" s="127"/>
      <c r="H13" s="124"/>
      <c r="I13" s="124"/>
      <c r="J13" s="124"/>
      <c r="K13" s="124"/>
      <c r="L13" s="124"/>
      <c r="M13" s="124"/>
      <c r="N13" s="124"/>
      <c r="O13" s="124"/>
      <c r="P13" s="124"/>
      <c r="Q13" s="125"/>
      <c r="R13" s="124"/>
      <c r="S13" s="124"/>
      <c r="T13" s="124"/>
      <c r="U13" s="124"/>
      <c r="V13" s="124"/>
      <c r="W13" s="124"/>
      <c r="X13" s="124"/>
      <c r="Y13" s="124"/>
      <c r="Z13" s="124"/>
      <c r="AA13" s="125"/>
      <c r="AB13" s="127"/>
      <c r="AC13" s="124"/>
      <c r="AD13" s="124"/>
      <c r="AE13" s="124"/>
      <c r="AF13" s="124"/>
      <c r="AG13" s="124"/>
      <c r="AH13" s="124"/>
      <c r="AI13" s="124"/>
      <c r="AJ13" s="124"/>
      <c r="AK13" s="125"/>
    </row>
    <row r="14" spans="1:37" ht="20.100000000000001" customHeight="1" x14ac:dyDescent="0.2">
      <c r="A14" s="122"/>
      <c r="B14" s="123"/>
      <c r="C14" s="123"/>
      <c r="D14" s="124"/>
      <c r="E14" s="125"/>
      <c r="F14" s="126"/>
      <c r="G14" s="127"/>
      <c r="H14" s="124"/>
      <c r="I14" s="124"/>
      <c r="J14" s="124"/>
      <c r="K14" s="124"/>
      <c r="L14" s="124"/>
      <c r="M14" s="124"/>
      <c r="N14" s="124"/>
      <c r="O14" s="124"/>
      <c r="P14" s="124"/>
      <c r="Q14" s="125"/>
      <c r="R14" s="124"/>
      <c r="S14" s="124"/>
      <c r="T14" s="124"/>
      <c r="U14" s="124"/>
      <c r="V14" s="124"/>
      <c r="W14" s="124"/>
      <c r="X14" s="124"/>
      <c r="Y14" s="124"/>
      <c r="Z14" s="124"/>
      <c r="AA14" s="125"/>
      <c r="AB14" s="127"/>
      <c r="AC14" s="124"/>
      <c r="AD14" s="124"/>
      <c r="AE14" s="124"/>
      <c r="AF14" s="124"/>
      <c r="AG14" s="124"/>
      <c r="AH14" s="124"/>
      <c r="AI14" s="124"/>
      <c r="AJ14" s="124"/>
      <c r="AK14" s="125"/>
    </row>
    <row r="15" spans="1:37" ht="20.100000000000001" customHeight="1" x14ac:dyDescent="0.2">
      <c r="A15" s="122"/>
      <c r="B15" s="123"/>
      <c r="C15" s="123"/>
      <c r="D15" s="124"/>
      <c r="E15" s="125"/>
      <c r="F15" s="126"/>
      <c r="G15" s="127"/>
      <c r="H15" s="124"/>
      <c r="I15" s="124"/>
      <c r="J15" s="124"/>
      <c r="K15" s="124"/>
      <c r="L15" s="124"/>
      <c r="M15" s="124"/>
      <c r="N15" s="124"/>
      <c r="O15" s="124"/>
      <c r="P15" s="124"/>
      <c r="Q15" s="125"/>
      <c r="R15" s="124"/>
      <c r="S15" s="124"/>
      <c r="T15" s="124"/>
      <c r="U15" s="124"/>
      <c r="V15" s="124"/>
      <c r="W15" s="124"/>
      <c r="X15" s="124"/>
      <c r="Y15" s="124"/>
      <c r="Z15" s="124"/>
      <c r="AA15" s="125"/>
      <c r="AB15" s="127"/>
      <c r="AC15" s="124"/>
      <c r="AD15" s="124"/>
      <c r="AE15" s="124"/>
      <c r="AF15" s="124"/>
      <c r="AG15" s="124"/>
      <c r="AH15" s="124"/>
      <c r="AI15" s="124"/>
      <c r="AJ15" s="124"/>
      <c r="AK15" s="125"/>
    </row>
    <row r="16" spans="1:37" ht="20.100000000000001" customHeight="1" x14ac:dyDescent="0.2">
      <c r="A16" s="122"/>
      <c r="B16" s="123"/>
      <c r="C16" s="123"/>
      <c r="D16" s="124"/>
      <c r="E16" s="125"/>
      <c r="F16" s="126"/>
      <c r="G16" s="127"/>
      <c r="H16" s="124"/>
      <c r="I16" s="124"/>
      <c r="J16" s="124"/>
      <c r="K16" s="124"/>
      <c r="L16" s="124"/>
      <c r="M16" s="124"/>
      <c r="N16" s="124"/>
      <c r="O16" s="124"/>
      <c r="P16" s="124"/>
      <c r="Q16" s="125"/>
      <c r="R16" s="124"/>
      <c r="S16" s="124"/>
      <c r="T16" s="124"/>
      <c r="U16" s="124"/>
      <c r="V16" s="124"/>
      <c r="W16" s="124"/>
      <c r="X16" s="124"/>
      <c r="Y16" s="124"/>
      <c r="Z16" s="124"/>
      <c r="AA16" s="125"/>
      <c r="AB16" s="127"/>
      <c r="AC16" s="124"/>
      <c r="AD16" s="124"/>
      <c r="AE16" s="124"/>
      <c r="AF16" s="124"/>
      <c r="AG16" s="124"/>
      <c r="AH16" s="124"/>
      <c r="AI16" s="124"/>
      <c r="AJ16" s="124"/>
      <c r="AK16" s="125"/>
    </row>
    <row r="17" spans="1:37" ht="20.100000000000001" customHeight="1" x14ac:dyDescent="0.2">
      <c r="A17" s="122"/>
      <c r="B17" s="123"/>
      <c r="C17" s="123"/>
      <c r="D17" s="124"/>
      <c r="E17" s="125"/>
      <c r="F17" s="126"/>
      <c r="G17" s="127"/>
      <c r="H17" s="124"/>
      <c r="I17" s="124"/>
      <c r="J17" s="124"/>
      <c r="K17" s="124"/>
      <c r="L17" s="124"/>
      <c r="M17" s="124"/>
      <c r="N17" s="124"/>
      <c r="O17" s="124"/>
      <c r="P17" s="124"/>
      <c r="Q17" s="125"/>
      <c r="R17" s="124"/>
      <c r="S17" s="124"/>
      <c r="T17" s="124"/>
      <c r="U17" s="124"/>
      <c r="V17" s="124"/>
      <c r="W17" s="124"/>
      <c r="X17" s="124"/>
      <c r="Y17" s="124"/>
      <c r="Z17" s="124"/>
      <c r="AA17" s="125"/>
      <c r="AB17" s="127"/>
      <c r="AC17" s="124"/>
      <c r="AD17" s="124"/>
      <c r="AE17" s="124"/>
      <c r="AF17" s="124"/>
      <c r="AG17" s="124"/>
      <c r="AH17" s="124"/>
      <c r="AI17" s="124"/>
      <c r="AJ17" s="124"/>
      <c r="AK17" s="125"/>
    </row>
    <row r="18" spans="1:37" ht="20.100000000000001" customHeight="1" x14ac:dyDescent="0.2">
      <c r="A18" s="122"/>
      <c r="B18" s="123"/>
      <c r="C18" s="123"/>
      <c r="D18" s="124"/>
      <c r="E18" s="125"/>
      <c r="F18" s="126"/>
      <c r="G18" s="127"/>
      <c r="H18" s="124"/>
      <c r="I18" s="124"/>
      <c r="J18" s="124"/>
      <c r="K18" s="124"/>
      <c r="L18" s="124"/>
      <c r="M18" s="124"/>
      <c r="N18" s="124"/>
      <c r="O18" s="124"/>
      <c r="P18" s="124"/>
      <c r="Q18" s="125"/>
      <c r="R18" s="124"/>
      <c r="S18" s="124"/>
      <c r="T18" s="124"/>
      <c r="U18" s="124"/>
      <c r="V18" s="124"/>
      <c r="W18" s="124"/>
      <c r="X18" s="124"/>
      <c r="Y18" s="124"/>
      <c r="Z18" s="124"/>
      <c r="AA18" s="125"/>
      <c r="AB18" s="127"/>
      <c r="AC18" s="124"/>
      <c r="AD18" s="124"/>
      <c r="AE18" s="124"/>
      <c r="AF18" s="124"/>
      <c r="AG18" s="124"/>
      <c r="AH18" s="124"/>
      <c r="AI18" s="124"/>
      <c r="AJ18" s="124"/>
      <c r="AK18" s="125"/>
    </row>
    <row r="19" spans="1:37" ht="20.100000000000001" customHeight="1" x14ac:dyDescent="0.2">
      <c r="A19" s="122"/>
      <c r="B19" s="123"/>
      <c r="C19" s="123"/>
      <c r="D19" s="124"/>
      <c r="E19" s="125"/>
      <c r="F19" s="126"/>
      <c r="G19" s="127"/>
      <c r="H19" s="124"/>
      <c r="I19" s="124"/>
      <c r="J19" s="124"/>
      <c r="K19" s="124"/>
      <c r="L19" s="124"/>
      <c r="M19" s="124"/>
      <c r="N19" s="124"/>
      <c r="O19" s="124"/>
      <c r="P19" s="124"/>
      <c r="Q19" s="125"/>
      <c r="R19" s="124"/>
      <c r="S19" s="124"/>
      <c r="T19" s="124"/>
      <c r="U19" s="124"/>
      <c r="V19" s="124"/>
      <c r="W19" s="124"/>
      <c r="X19" s="124"/>
      <c r="Y19" s="124"/>
      <c r="Z19" s="124"/>
      <c r="AA19" s="125"/>
      <c r="AB19" s="127"/>
      <c r="AC19" s="124"/>
      <c r="AD19" s="124"/>
      <c r="AE19" s="124"/>
      <c r="AF19" s="124"/>
      <c r="AG19" s="124"/>
      <c r="AH19" s="124"/>
      <c r="AI19" s="124"/>
      <c r="AJ19" s="124"/>
      <c r="AK19" s="125"/>
    </row>
    <row r="20" spans="1:37" ht="20.100000000000001" customHeight="1" x14ac:dyDescent="0.2">
      <c r="A20" s="122"/>
      <c r="B20" s="123"/>
      <c r="C20" s="123"/>
      <c r="D20" s="124"/>
      <c r="E20" s="125"/>
      <c r="F20" s="126"/>
      <c r="G20" s="127"/>
      <c r="H20" s="124"/>
      <c r="I20" s="124"/>
      <c r="J20" s="124"/>
      <c r="K20" s="124"/>
      <c r="L20" s="124"/>
      <c r="M20" s="124"/>
      <c r="N20" s="124"/>
      <c r="O20" s="124"/>
      <c r="P20" s="124"/>
      <c r="Q20" s="125"/>
      <c r="R20" s="124"/>
      <c r="S20" s="124"/>
      <c r="T20" s="124"/>
      <c r="U20" s="124"/>
      <c r="V20" s="124"/>
      <c r="W20" s="124"/>
      <c r="X20" s="124"/>
      <c r="Y20" s="124"/>
      <c r="Z20" s="124"/>
      <c r="AA20" s="125"/>
      <c r="AB20" s="127"/>
      <c r="AC20" s="124"/>
      <c r="AD20" s="124"/>
      <c r="AE20" s="124"/>
      <c r="AF20" s="124"/>
      <c r="AG20" s="124"/>
      <c r="AH20" s="124"/>
      <c r="AI20" s="124"/>
      <c r="AJ20" s="124"/>
      <c r="AK20" s="125"/>
    </row>
    <row r="21" spans="1:37" ht="20.100000000000001" customHeight="1" x14ac:dyDescent="0.2">
      <c r="A21" s="122"/>
      <c r="B21" s="123"/>
      <c r="C21" s="123"/>
      <c r="D21" s="124"/>
      <c r="E21" s="125"/>
      <c r="F21" s="126"/>
      <c r="G21" s="127"/>
      <c r="H21" s="124"/>
      <c r="I21" s="124"/>
      <c r="J21" s="124"/>
      <c r="K21" s="124"/>
      <c r="L21" s="124"/>
      <c r="M21" s="124"/>
      <c r="N21" s="124"/>
      <c r="O21" s="124"/>
      <c r="P21" s="124"/>
      <c r="Q21" s="125"/>
      <c r="R21" s="124"/>
      <c r="S21" s="124"/>
      <c r="T21" s="124"/>
      <c r="U21" s="124"/>
      <c r="V21" s="124"/>
      <c r="W21" s="124"/>
      <c r="X21" s="124"/>
      <c r="Y21" s="124"/>
      <c r="Z21" s="124"/>
      <c r="AA21" s="125"/>
      <c r="AB21" s="127"/>
      <c r="AC21" s="124"/>
      <c r="AD21" s="124"/>
      <c r="AE21" s="124"/>
      <c r="AF21" s="124"/>
      <c r="AG21" s="124"/>
      <c r="AH21" s="124"/>
      <c r="AI21" s="124"/>
      <c r="AJ21" s="124"/>
      <c r="AK21" s="125"/>
    </row>
    <row r="22" spans="1:37" ht="20.100000000000001" customHeight="1" x14ac:dyDescent="0.2">
      <c r="A22" s="122"/>
      <c r="B22" s="123"/>
      <c r="C22" s="123"/>
      <c r="D22" s="124"/>
      <c r="E22" s="125"/>
      <c r="F22" s="126"/>
      <c r="G22" s="127"/>
      <c r="H22" s="124"/>
      <c r="I22" s="124"/>
      <c r="J22" s="124"/>
      <c r="K22" s="124"/>
      <c r="L22" s="124"/>
      <c r="M22" s="124"/>
      <c r="N22" s="124"/>
      <c r="O22" s="124"/>
      <c r="P22" s="124"/>
      <c r="Q22" s="125"/>
      <c r="R22" s="124"/>
      <c r="S22" s="124"/>
      <c r="T22" s="124"/>
      <c r="U22" s="124"/>
      <c r="V22" s="124"/>
      <c r="W22" s="124"/>
      <c r="X22" s="124"/>
      <c r="Y22" s="124"/>
      <c r="Z22" s="124"/>
      <c r="AA22" s="125"/>
      <c r="AB22" s="127"/>
      <c r="AC22" s="124"/>
      <c r="AD22" s="124"/>
      <c r="AE22" s="124"/>
      <c r="AF22" s="124"/>
      <c r="AG22" s="124"/>
      <c r="AH22" s="124"/>
      <c r="AI22" s="124"/>
      <c r="AJ22" s="124"/>
      <c r="AK22" s="125"/>
    </row>
    <row r="23" spans="1:37" ht="20.100000000000001" customHeight="1" x14ac:dyDescent="0.2">
      <c r="A23" s="122"/>
      <c r="B23" s="123"/>
      <c r="C23" s="123"/>
      <c r="D23" s="124"/>
      <c r="E23" s="125"/>
      <c r="F23" s="126"/>
      <c r="G23" s="127"/>
      <c r="H23" s="124"/>
      <c r="I23" s="124"/>
      <c r="J23" s="124"/>
      <c r="K23" s="124"/>
      <c r="L23" s="124"/>
      <c r="M23" s="124"/>
      <c r="N23" s="124"/>
      <c r="O23" s="124"/>
      <c r="P23" s="124"/>
      <c r="Q23" s="125"/>
      <c r="R23" s="124"/>
      <c r="S23" s="124"/>
      <c r="T23" s="124"/>
      <c r="U23" s="124"/>
      <c r="V23" s="124"/>
      <c r="W23" s="124"/>
      <c r="X23" s="124"/>
      <c r="Y23" s="124"/>
      <c r="Z23" s="124"/>
      <c r="AA23" s="125"/>
      <c r="AB23" s="127"/>
      <c r="AC23" s="124"/>
      <c r="AD23" s="124"/>
      <c r="AE23" s="124"/>
      <c r="AF23" s="124"/>
      <c r="AG23" s="124"/>
      <c r="AH23" s="124"/>
      <c r="AI23" s="124"/>
      <c r="AJ23" s="124"/>
      <c r="AK23" s="125"/>
    </row>
    <row r="24" spans="1:37" ht="20.100000000000001" customHeight="1" x14ac:dyDescent="0.2">
      <c r="A24" s="122"/>
      <c r="B24" s="123"/>
      <c r="C24" s="123"/>
      <c r="D24" s="124"/>
      <c r="E24" s="125"/>
      <c r="F24" s="126"/>
      <c r="G24" s="127"/>
      <c r="H24" s="124"/>
      <c r="I24" s="124"/>
      <c r="J24" s="124"/>
      <c r="K24" s="124"/>
      <c r="L24" s="124"/>
      <c r="M24" s="124"/>
      <c r="N24" s="124"/>
      <c r="O24" s="124"/>
      <c r="P24" s="124"/>
      <c r="Q24" s="125"/>
      <c r="R24" s="124"/>
      <c r="S24" s="124"/>
      <c r="T24" s="124"/>
      <c r="U24" s="124"/>
      <c r="V24" s="124"/>
      <c r="W24" s="124"/>
      <c r="X24" s="124"/>
      <c r="Y24" s="124"/>
      <c r="Z24" s="124"/>
      <c r="AA24" s="125"/>
      <c r="AB24" s="127"/>
      <c r="AC24" s="124"/>
      <c r="AD24" s="124"/>
      <c r="AE24" s="124"/>
      <c r="AF24" s="124"/>
      <c r="AG24" s="124"/>
      <c r="AH24" s="124"/>
      <c r="AI24" s="124"/>
      <c r="AJ24" s="124"/>
      <c r="AK24" s="125"/>
    </row>
    <row r="25" spans="1:37" ht="20.100000000000001" customHeight="1" x14ac:dyDescent="0.2">
      <c r="A25" s="122"/>
      <c r="B25" s="123"/>
      <c r="C25" s="123"/>
      <c r="D25" s="124"/>
      <c r="E25" s="125"/>
      <c r="F25" s="126"/>
      <c r="G25" s="127"/>
      <c r="H25" s="124"/>
      <c r="I25" s="124"/>
      <c r="J25" s="124"/>
      <c r="K25" s="124"/>
      <c r="L25" s="124"/>
      <c r="M25" s="124"/>
      <c r="N25" s="124"/>
      <c r="O25" s="124"/>
      <c r="P25" s="124"/>
      <c r="Q25" s="125"/>
      <c r="R25" s="124"/>
      <c r="S25" s="124"/>
      <c r="T25" s="124"/>
      <c r="U25" s="124"/>
      <c r="V25" s="124"/>
      <c r="W25" s="124"/>
      <c r="X25" s="124"/>
      <c r="Y25" s="124"/>
      <c r="Z25" s="124"/>
      <c r="AA25" s="125"/>
      <c r="AB25" s="127"/>
      <c r="AC25" s="124"/>
      <c r="AD25" s="124"/>
      <c r="AE25" s="124"/>
      <c r="AF25" s="124"/>
      <c r="AG25" s="124"/>
      <c r="AH25" s="124"/>
      <c r="AI25" s="124"/>
      <c r="AJ25" s="124"/>
      <c r="AK25" s="125"/>
    </row>
    <row r="26" spans="1:37" ht="20.100000000000001" customHeight="1" x14ac:dyDescent="0.2">
      <c r="A26" s="122"/>
      <c r="B26" s="123"/>
      <c r="C26" s="123"/>
      <c r="D26" s="124"/>
      <c r="E26" s="125"/>
      <c r="F26" s="126"/>
      <c r="G26" s="127"/>
      <c r="H26" s="124"/>
      <c r="I26" s="124"/>
      <c r="J26" s="124"/>
      <c r="K26" s="124"/>
      <c r="L26" s="124"/>
      <c r="M26" s="124"/>
      <c r="N26" s="124"/>
      <c r="O26" s="124"/>
      <c r="P26" s="124"/>
      <c r="Q26" s="125"/>
      <c r="R26" s="124"/>
      <c r="S26" s="124"/>
      <c r="T26" s="124"/>
      <c r="U26" s="124"/>
      <c r="V26" s="124"/>
      <c r="W26" s="124"/>
      <c r="X26" s="124"/>
      <c r="Y26" s="124"/>
      <c r="Z26" s="124"/>
      <c r="AA26" s="125"/>
      <c r="AB26" s="127"/>
      <c r="AC26" s="124"/>
      <c r="AD26" s="124"/>
      <c r="AE26" s="124"/>
      <c r="AF26" s="124"/>
      <c r="AG26" s="124"/>
      <c r="AH26" s="124"/>
      <c r="AI26" s="124"/>
      <c r="AJ26" s="124"/>
      <c r="AK26" s="125"/>
    </row>
    <row r="27" spans="1:37" ht="20.100000000000001" customHeight="1" x14ac:dyDescent="0.2">
      <c r="A27" s="122"/>
      <c r="B27" s="123"/>
      <c r="C27" s="123"/>
      <c r="D27" s="124"/>
      <c r="E27" s="125"/>
      <c r="F27" s="126"/>
      <c r="G27" s="127"/>
      <c r="H27" s="124"/>
      <c r="I27" s="124"/>
      <c r="J27" s="124"/>
      <c r="K27" s="124"/>
      <c r="L27" s="124"/>
      <c r="M27" s="124"/>
      <c r="N27" s="124"/>
      <c r="O27" s="124"/>
      <c r="P27" s="124"/>
      <c r="Q27" s="125"/>
      <c r="R27" s="124"/>
      <c r="S27" s="124"/>
      <c r="T27" s="124"/>
      <c r="U27" s="124"/>
      <c r="V27" s="124"/>
      <c r="W27" s="124"/>
      <c r="X27" s="124"/>
      <c r="Y27" s="124"/>
      <c r="Z27" s="124"/>
      <c r="AA27" s="125"/>
      <c r="AB27" s="127"/>
      <c r="AC27" s="124"/>
      <c r="AD27" s="124"/>
      <c r="AE27" s="124"/>
      <c r="AF27" s="124"/>
      <c r="AG27" s="124"/>
      <c r="AH27" s="124"/>
      <c r="AI27" s="124"/>
      <c r="AJ27" s="124"/>
      <c r="AK27" s="125"/>
    </row>
    <row r="28" spans="1:37" ht="20.100000000000001" customHeight="1" x14ac:dyDescent="0.2">
      <c r="A28" s="122"/>
      <c r="B28" s="123"/>
      <c r="C28" s="123"/>
      <c r="D28" s="124"/>
      <c r="E28" s="125"/>
      <c r="F28" s="126"/>
      <c r="G28" s="127"/>
      <c r="H28" s="124"/>
      <c r="I28" s="124"/>
      <c r="J28" s="124"/>
      <c r="K28" s="124"/>
      <c r="L28" s="124"/>
      <c r="M28" s="124"/>
      <c r="N28" s="124"/>
      <c r="O28" s="124"/>
      <c r="P28" s="124"/>
      <c r="Q28" s="125"/>
      <c r="R28" s="124"/>
      <c r="S28" s="124"/>
      <c r="T28" s="124"/>
      <c r="U28" s="124"/>
      <c r="V28" s="124"/>
      <c r="W28" s="124"/>
      <c r="X28" s="124"/>
      <c r="Y28" s="124"/>
      <c r="Z28" s="124"/>
      <c r="AA28" s="125"/>
      <c r="AB28" s="127"/>
      <c r="AC28" s="124"/>
      <c r="AD28" s="124"/>
      <c r="AE28" s="124"/>
      <c r="AF28" s="124"/>
      <c r="AG28" s="124"/>
      <c r="AH28" s="124"/>
      <c r="AI28" s="124"/>
      <c r="AJ28" s="124"/>
      <c r="AK28" s="125"/>
    </row>
    <row r="29" spans="1:37" ht="20.100000000000001" customHeight="1" x14ac:dyDescent="0.2">
      <c r="A29" s="122"/>
      <c r="B29" s="123"/>
      <c r="C29" s="123"/>
      <c r="D29" s="124"/>
      <c r="E29" s="125"/>
      <c r="F29" s="126"/>
      <c r="G29" s="127"/>
      <c r="H29" s="124"/>
      <c r="I29" s="124"/>
      <c r="J29" s="124"/>
      <c r="K29" s="124"/>
      <c r="L29" s="124"/>
      <c r="M29" s="124"/>
      <c r="N29" s="124"/>
      <c r="O29" s="124"/>
      <c r="P29" s="124"/>
      <c r="Q29" s="125"/>
      <c r="R29" s="124"/>
      <c r="S29" s="124"/>
      <c r="T29" s="124"/>
      <c r="U29" s="124"/>
      <c r="V29" s="124"/>
      <c r="W29" s="124"/>
      <c r="X29" s="124"/>
      <c r="Y29" s="124"/>
      <c r="Z29" s="124"/>
      <c r="AA29" s="125"/>
      <c r="AB29" s="127"/>
      <c r="AC29" s="124"/>
      <c r="AD29" s="124"/>
      <c r="AE29" s="124"/>
      <c r="AF29" s="124"/>
      <c r="AG29" s="124"/>
      <c r="AH29" s="124"/>
      <c r="AI29" s="124"/>
      <c r="AJ29" s="124"/>
      <c r="AK29" s="125"/>
    </row>
    <row r="30" spans="1:37" ht="20.100000000000001" customHeight="1" x14ac:dyDescent="0.2">
      <c r="A30" s="122"/>
      <c r="B30" s="123"/>
      <c r="C30" s="123"/>
      <c r="D30" s="124"/>
      <c r="E30" s="125"/>
      <c r="F30" s="126"/>
      <c r="G30" s="127"/>
      <c r="H30" s="124"/>
      <c r="I30" s="124"/>
      <c r="J30" s="124"/>
      <c r="K30" s="124"/>
      <c r="L30" s="124"/>
      <c r="M30" s="124"/>
      <c r="N30" s="124"/>
      <c r="O30" s="124"/>
      <c r="P30" s="124"/>
      <c r="Q30" s="125"/>
      <c r="R30" s="124"/>
      <c r="S30" s="124"/>
      <c r="T30" s="124"/>
      <c r="U30" s="124"/>
      <c r="V30" s="124"/>
      <c r="W30" s="124"/>
      <c r="X30" s="124"/>
      <c r="Y30" s="124"/>
      <c r="Z30" s="124"/>
      <c r="AA30" s="125"/>
      <c r="AB30" s="127"/>
      <c r="AC30" s="124"/>
      <c r="AD30" s="124"/>
      <c r="AE30" s="124"/>
      <c r="AF30" s="124"/>
      <c r="AG30" s="124"/>
      <c r="AH30" s="124"/>
      <c r="AI30" s="124"/>
      <c r="AJ30" s="124"/>
      <c r="AK30" s="125"/>
    </row>
    <row r="31" spans="1:37" ht="20.100000000000001" customHeight="1" x14ac:dyDescent="0.2">
      <c r="A31" s="122"/>
      <c r="B31" s="123"/>
      <c r="C31" s="123"/>
      <c r="D31" s="124"/>
      <c r="E31" s="125"/>
      <c r="F31" s="126"/>
      <c r="G31" s="127"/>
      <c r="H31" s="124"/>
      <c r="I31" s="124"/>
      <c r="J31" s="124"/>
      <c r="K31" s="124"/>
      <c r="L31" s="124"/>
      <c r="M31" s="124"/>
      <c r="N31" s="124"/>
      <c r="O31" s="124"/>
      <c r="P31" s="124"/>
      <c r="Q31" s="125"/>
      <c r="R31" s="124"/>
      <c r="S31" s="124"/>
      <c r="T31" s="124"/>
      <c r="U31" s="124"/>
      <c r="V31" s="124"/>
      <c r="W31" s="124"/>
      <c r="X31" s="124"/>
      <c r="Y31" s="124"/>
      <c r="Z31" s="124"/>
      <c r="AA31" s="125"/>
      <c r="AB31" s="127"/>
      <c r="AC31" s="124"/>
      <c r="AD31" s="124"/>
      <c r="AE31" s="124"/>
      <c r="AF31" s="124"/>
      <c r="AG31" s="124"/>
      <c r="AH31" s="124"/>
      <c r="AI31" s="124"/>
      <c r="AJ31" s="124"/>
      <c r="AK31" s="125"/>
    </row>
    <row r="32" spans="1:37" ht="20.100000000000001" customHeight="1" x14ac:dyDescent="0.2">
      <c r="A32" s="122"/>
      <c r="B32" s="123"/>
      <c r="C32" s="123"/>
      <c r="D32" s="124"/>
      <c r="E32" s="125"/>
      <c r="F32" s="126"/>
      <c r="G32" s="127"/>
      <c r="H32" s="124"/>
      <c r="I32" s="124"/>
      <c r="J32" s="124"/>
      <c r="K32" s="124"/>
      <c r="L32" s="124"/>
      <c r="M32" s="124"/>
      <c r="N32" s="124"/>
      <c r="O32" s="124"/>
      <c r="P32" s="124"/>
      <c r="Q32" s="125"/>
      <c r="R32" s="124"/>
      <c r="S32" s="124"/>
      <c r="T32" s="124"/>
      <c r="U32" s="124"/>
      <c r="V32" s="124"/>
      <c r="W32" s="124"/>
      <c r="X32" s="124"/>
      <c r="Y32" s="124"/>
      <c r="Z32" s="124"/>
      <c r="AA32" s="125"/>
      <c r="AB32" s="127"/>
      <c r="AC32" s="124"/>
      <c r="AD32" s="124"/>
      <c r="AE32" s="124"/>
      <c r="AF32" s="124"/>
      <c r="AG32" s="124"/>
      <c r="AH32" s="124"/>
      <c r="AI32" s="124"/>
      <c r="AJ32" s="124"/>
      <c r="AK32" s="125"/>
    </row>
    <row r="33" spans="1:37" ht="20.100000000000001" customHeight="1" x14ac:dyDescent="0.2">
      <c r="A33" s="122"/>
      <c r="B33" s="123"/>
      <c r="C33" s="123"/>
      <c r="D33" s="124"/>
      <c r="E33" s="125"/>
      <c r="F33" s="126"/>
      <c r="G33" s="127"/>
      <c r="H33" s="124"/>
      <c r="I33" s="124"/>
      <c r="J33" s="124"/>
      <c r="K33" s="124"/>
      <c r="L33" s="124"/>
      <c r="M33" s="124"/>
      <c r="N33" s="124"/>
      <c r="O33" s="124"/>
      <c r="P33" s="124"/>
      <c r="Q33" s="125"/>
      <c r="R33" s="124"/>
      <c r="S33" s="124"/>
      <c r="T33" s="124"/>
      <c r="U33" s="124"/>
      <c r="V33" s="124"/>
      <c r="W33" s="124"/>
      <c r="X33" s="124"/>
      <c r="Y33" s="124"/>
      <c r="Z33" s="124"/>
      <c r="AA33" s="125"/>
      <c r="AB33" s="127"/>
      <c r="AC33" s="124"/>
      <c r="AD33" s="124"/>
      <c r="AE33" s="124"/>
      <c r="AF33" s="124"/>
      <c r="AG33" s="124"/>
      <c r="AH33" s="124"/>
      <c r="AI33" s="124"/>
      <c r="AJ33" s="124"/>
      <c r="AK33" s="125"/>
    </row>
    <row r="34" spans="1:37" ht="20.100000000000001" customHeight="1" x14ac:dyDescent="0.2">
      <c r="A34" s="122"/>
      <c r="B34" s="123"/>
      <c r="C34" s="123"/>
      <c r="D34" s="124"/>
      <c r="E34" s="125"/>
      <c r="F34" s="126"/>
      <c r="G34" s="127"/>
      <c r="H34" s="124"/>
      <c r="I34" s="124"/>
      <c r="J34" s="124"/>
      <c r="K34" s="124"/>
      <c r="L34" s="124"/>
      <c r="M34" s="124"/>
      <c r="N34" s="124"/>
      <c r="O34" s="124"/>
      <c r="P34" s="124"/>
      <c r="Q34" s="125"/>
      <c r="R34" s="124"/>
      <c r="S34" s="124"/>
      <c r="T34" s="124"/>
      <c r="U34" s="124"/>
      <c r="V34" s="124"/>
      <c r="W34" s="124"/>
      <c r="X34" s="124"/>
      <c r="Y34" s="124"/>
      <c r="Z34" s="124"/>
      <c r="AA34" s="125"/>
      <c r="AB34" s="127"/>
      <c r="AC34" s="124"/>
      <c r="AD34" s="124"/>
      <c r="AE34" s="124"/>
      <c r="AF34" s="124"/>
      <c r="AG34" s="124"/>
      <c r="AH34" s="124"/>
      <c r="AI34" s="124"/>
      <c r="AJ34" s="124"/>
      <c r="AK34" s="125"/>
    </row>
    <row r="35" spans="1:37" ht="20.100000000000001" customHeight="1" x14ac:dyDescent="0.2">
      <c r="A35" s="122"/>
      <c r="B35" s="123"/>
      <c r="C35" s="123"/>
      <c r="D35" s="124"/>
      <c r="E35" s="125"/>
      <c r="F35" s="126"/>
      <c r="G35" s="127"/>
      <c r="H35" s="124"/>
      <c r="I35" s="124"/>
      <c r="J35" s="124"/>
      <c r="K35" s="124"/>
      <c r="L35" s="124"/>
      <c r="M35" s="124"/>
      <c r="N35" s="124"/>
      <c r="O35" s="124"/>
      <c r="P35" s="124"/>
      <c r="Q35" s="125"/>
      <c r="R35" s="124"/>
      <c r="S35" s="124"/>
      <c r="T35" s="124"/>
      <c r="U35" s="124"/>
      <c r="V35" s="124"/>
      <c r="W35" s="124"/>
      <c r="X35" s="124"/>
      <c r="Y35" s="124"/>
      <c r="Z35" s="124"/>
      <c r="AA35" s="125"/>
      <c r="AB35" s="127"/>
      <c r="AC35" s="124"/>
      <c r="AD35" s="124"/>
      <c r="AE35" s="124"/>
      <c r="AF35" s="124"/>
      <c r="AG35" s="124"/>
      <c r="AH35" s="124"/>
      <c r="AI35" s="124"/>
      <c r="AJ35" s="124"/>
      <c r="AK35" s="125"/>
    </row>
    <row r="36" spans="1:37" ht="20.100000000000001" customHeight="1" x14ac:dyDescent="0.2">
      <c r="A36" s="122"/>
      <c r="B36" s="123"/>
      <c r="C36" s="123"/>
      <c r="D36" s="124"/>
      <c r="E36" s="125"/>
      <c r="F36" s="126"/>
      <c r="G36" s="127"/>
      <c r="H36" s="124"/>
      <c r="I36" s="124"/>
      <c r="J36" s="124"/>
      <c r="K36" s="124"/>
      <c r="L36" s="124"/>
      <c r="M36" s="124"/>
      <c r="N36" s="124"/>
      <c r="O36" s="124"/>
      <c r="P36" s="124"/>
      <c r="Q36" s="125"/>
      <c r="R36" s="124"/>
      <c r="S36" s="124"/>
      <c r="T36" s="124"/>
      <c r="U36" s="124"/>
      <c r="V36" s="124"/>
      <c r="W36" s="124"/>
      <c r="X36" s="124"/>
      <c r="Y36" s="124"/>
      <c r="Z36" s="124"/>
      <c r="AA36" s="125"/>
      <c r="AB36" s="127"/>
      <c r="AC36" s="124"/>
      <c r="AD36" s="124"/>
      <c r="AE36" s="124"/>
      <c r="AF36" s="124"/>
      <c r="AG36" s="124"/>
      <c r="AH36" s="124"/>
      <c r="AI36" s="124"/>
      <c r="AJ36" s="124"/>
      <c r="AK36" s="125"/>
    </row>
    <row r="37" spans="1:37" ht="20.100000000000001" customHeight="1" x14ac:dyDescent="0.2">
      <c r="A37" s="122"/>
      <c r="B37" s="123"/>
      <c r="C37" s="123"/>
      <c r="D37" s="124"/>
      <c r="E37" s="125"/>
      <c r="F37" s="126"/>
      <c r="G37" s="127"/>
      <c r="H37" s="124"/>
      <c r="I37" s="124"/>
      <c r="J37" s="124"/>
      <c r="K37" s="124"/>
      <c r="L37" s="124"/>
      <c r="M37" s="124"/>
      <c r="N37" s="124"/>
      <c r="O37" s="124"/>
      <c r="P37" s="124"/>
      <c r="Q37" s="125"/>
      <c r="R37" s="124"/>
      <c r="S37" s="124"/>
      <c r="T37" s="124"/>
      <c r="U37" s="124"/>
      <c r="V37" s="124"/>
      <c r="W37" s="124"/>
      <c r="X37" s="124"/>
      <c r="Y37" s="124"/>
      <c r="Z37" s="124"/>
      <c r="AA37" s="125"/>
      <c r="AB37" s="127"/>
      <c r="AC37" s="124"/>
      <c r="AD37" s="124"/>
      <c r="AE37" s="124"/>
      <c r="AF37" s="124"/>
      <c r="AG37" s="124"/>
      <c r="AH37" s="124"/>
      <c r="AI37" s="124"/>
      <c r="AJ37" s="124"/>
      <c r="AK37" s="125"/>
    </row>
    <row r="38" spans="1:37" ht="20.100000000000001" customHeight="1" x14ac:dyDescent="0.2">
      <c r="A38" s="122"/>
      <c r="B38" s="123"/>
      <c r="C38" s="123"/>
      <c r="D38" s="124"/>
      <c r="E38" s="125"/>
      <c r="F38" s="126"/>
      <c r="G38" s="127"/>
      <c r="H38" s="124"/>
      <c r="I38" s="124"/>
      <c r="J38" s="124"/>
      <c r="K38" s="124"/>
      <c r="L38" s="124"/>
      <c r="M38" s="124"/>
      <c r="N38" s="124"/>
      <c r="O38" s="124"/>
      <c r="P38" s="124"/>
      <c r="Q38" s="125"/>
      <c r="R38" s="124"/>
      <c r="S38" s="124"/>
      <c r="T38" s="124"/>
      <c r="U38" s="124"/>
      <c r="V38" s="124"/>
      <c r="W38" s="124"/>
      <c r="X38" s="124"/>
      <c r="Y38" s="124"/>
      <c r="Z38" s="124"/>
      <c r="AA38" s="125"/>
      <c r="AB38" s="127"/>
      <c r="AC38" s="124"/>
      <c r="AD38" s="124"/>
      <c r="AE38" s="124"/>
      <c r="AF38" s="124"/>
      <c r="AG38" s="124"/>
      <c r="AH38" s="124"/>
      <c r="AI38" s="124"/>
      <c r="AJ38" s="124"/>
      <c r="AK38" s="125"/>
    </row>
    <row r="39" spans="1:37" ht="20.100000000000001" customHeight="1" x14ac:dyDescent="0.2">
      <c r="A39" s="122"/>
      <c r="B39" s="123"/>
      <c r="C39" s="123"/>
      <c r="D39" s="124"/>
      <c r="E39" s="125"/>
      <c r="F39" s="126"/>
      <c r="G39" s="127"/>
      <c r="H39" s="124"/>
      <c r="I39" s="124"/>
      <c r="J39" s="124"/>
      <c r="K39" s="124"/>
      <c r="L39" s="124"/>
      <c r="M39" s="124"/>
      <c r="N39" s="124"/>
      <c r="O39" s="124"/>
      <c r="P39" s="124"/>
      <c r="Q39" s="125"/>
      <c r="R39" s="124"/>
      <c r="S39" s="124"/>
      <c r="T39" s="124"/>
      <c r="U39" s="124"/>
      <c r="V39" s="124"/>
      <c r="W39" s="124"/>
      <c r="X39" s="124"/>
      <c r="Y39" s="124"/>
      <c r="Z39" s="124"/>
      <c r="AA39" s="125"/>
      <c r="AB39" s="127"/>
      <c r="AC39" s="124"/>
      <c r="AD39" s="124"/>
      <c r="AE39" s="124"/>
      <c r="AF39" s="124"/>
      <c r="AG39" s="124"/>
      <c r="AH39" s="124"/>
      <c r="AI39" s="124"/>
      <c r="AJ39" s="124"/>
      <c r="AK39" s="125"/>
    </row>
    <row r="40" spans="1:37" ht="20.100000000000001" customHeight="1" x14ac:dyDescent="0.2">
      <c r="A40" s="122"/>
      <c r="B40" s="123"/>
      <c r="C40" s="123"/>
      <c r="D40" s="124"/>
      <c r="E40" s="125"/>
      <c r="F40" s="126"/>
      <c r="G40" s="127"/>
      <c r="H40" s="124"/>
      <c r="I40" s="124"/>
      <c r="J40" s="124"/>
      <c r="K40" s="124"/>
      <c r="L40" s="124"/>
      <c r="M40" s="124"/>
      <c r="N40" s="124"/>
      <c r="O40" s="124"/>
      <c r="P40" s="124"/>
      <c r="Q40" s="125"/>
      <c r="R40" s="124"/>
      <c r="S40" s="124"/>
      <c r="T40" s="124"/>
      <c r="U40" s="124"/>
      <c r="V40" s="124"/>
      <c r="W40" s="124"/>
      <c r="X40" s="124"/>
      <c r="Y40" s="124"/>
      <c r="Z40" s="124"/>
      <c r="AA40" s="125"/>
      <c r="AB40" s="127"/>
      <c r="AC40" s="124"/>
      <c r="AD40" s="124"/>
      <c r="AE40" s="124"/>
      <c r="AF40" s="124"/>
      <c r="AG40" s="124"/>
      <c r="AH40" s="124"/>
      <c r="AI40" s="124"/>
      <c r="AJ40" s="124"/>
      <c r="AK40" s="125"/>
    </row>
    <row r="41" spans="1:37" ht="20.100000000000001" customHeight="1" x14ac:dyDescent="0.2">
      <c r="A41" s="122"/>
      <c r="B41" s="123"/>
      <c r="C41" s="123"/>
      <c r="D41" s="124"/>
      <c r="E41" s="125"/>
      <c r="F41" s="126"/>
      <c r="G41" s="127"/>
      <c r="H41" s="124"/>
      <c r="I41" s="124"/>
      <c r="J41" s="124"/>
      <c r="K41" s="124"/>
      <c r="L41" s="124"/>
      <c r="M41" s="124"/>
      <c r="N41" s="124"/>
      <c r="O41" s="124"/>
      <c r="P41" s="124"/>
      <c r="Q41" s="125"/>
      <c r="R41" s="124"/>
      <c r="S41" s="124"/>
      <c r="T41" s="124"/>
      <c r="U41" s="124"/>
      <c r="V41" s="124"/>
      <c r="W41" s="124"/>
      <c r="X41" s="124"/>
      <c r="Y41" s="124"/>
      <c r="Z41" s="124"/>
      <c r="AA41" s="125"/>
      <c r="AB41" s="127"/>
      <c r="AC41" s="124"/>
      <c r="AD41" s="124"/>
      <c r="AE41" s="124"/>
      <c r="AF41" s="124"/>
      <c r="AG41" s="124"/>
      <c r="AH41" s="124"/>
      <c r="AI41" s="124"/>
      <c r="AJ41" s="124"/>
      <c r="AK41" s="125"/>
    </row>
    <row r="42" spans="1:37" ht="20.100000000000001" customHeight="1" x14ac:dyDescent="0.2"/>
    <row r="43" spans="1:37" ht="20.100000000000001" customHeight="1" x14ac:dyDescent="0.2"/>
    <row r="44" spans="1:37" ht="20.100000000000001" customHeight="1" x14ac:dyDescent="0.2"/>
    <row r="45" spans="1:37" ht="20.100000000000001" customHeight="1" x14ac:dyDescent="0.2"/>
    <row r="46" spans="1:37" ht="20.100000000000001" customHeight="1" x14ac:dyDescent="0.2"/>
    <row r="47" spans="1:37" ht="20.100000000000001" customHeight="1" x14ac:dyDescent="0.2"/>
    <row r="48" spans="1:37" ht="20.100000000000001" customHeight="1" x14ac:dyDescent="0.2"/>
    <row r="49" ht="20.100000000000001" customHeight="1" x14ac:dyDescent="0.2"/>
    <row r="50" ht="20.100000000000001" customHeight="1" x14ac:dyDescent="0.2"/>
    <row r="51" ht="20.100000000000001" customHeight="1" x14ac:dyDescent="0.2"/>
    <row r="52" ht="15.75" customHeight="1" x14ac:dyDescent="0.2"/>
    <row r="53" ht="15.75" customHeight="1" x14ac:dyDescent="0.2"/>
    <row r="54" ht="15.75" customHeight="1" x14ac:dyDescent="0.2"/>
  </sheetData>
  <sheetProtection sheet="1" objects="1" scenarios="1"/>
  <mergeCells count="5">
    <mergeCell ref="A1:AK1"/>
    <mergeCell ref="A2:E2"/>
    <mergeCell ref="G2:Q2"/>
    <mergeCell ref="R2:AA2"/>
    <mergeCell ref="AB2:AK2"/>
  </mergeCells>
  <pageMargins left="0.40972222222222221" right="0" top="0" bottom="0" header="0.51180555555555551" footer="0.51180555555555551"/>
  <pageSetup paperSize="9" scale="98"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indexed="21"/>
  </sheetPr>
  <dimension ref="A1:J82"/>
  <sheetViews>
    <sheetView workbookViewId="0">
      <pane ySplit="1" topLeftCell="A2" activePane="bottomLeft" state="frozen"/>
      <selection pane="bottomLeft" activeCell="J2" sqref="J2"/>
    </sheetView>
  </sheetViews>
  <sheetFormatPr defaultRowHeight="12.75" x14ac:dyDescent="0.2"/>
  <cols>
    <col min="1" max="1" width="39.28515625" style="128" customWidth="1"/>
    <col min="2" max="3" width="9.140625" style="128" customWidth="1"/>
    <col min="4" max="4" width="12.140625" style="128" customWidth="1"/>
    <col min="5" max="6" width="9.140625" style="128" customWidth="1"/>
    <col min="7" max="7" width="18" style="128" customWidth="1"/>
    <col min="8" max="8" width="16.85546875" style="128" customWidth="1"/>
    <col min="9" max="9" width="15.85546875" style="128" customWidth="1"/>
    <col min="10" max="16384" width="9.140625" style="128"/>
  </cols>
  <sheetData>
    <row r="1" spans="1:10" x14ac:dyDescent="0.2">
      <c r="A1" s="129" t="s">
        <v>103</v>
      </c>
      <c r="B1" s="130" t="s">
        <v>104</v>
      </c>
      <c r="C1" s="130" t="s">
        <v>105</v>
      </c>
      <c r="D1" s="130" t="s">
        <v>106</v>
      </c>
      <c r="E1" s="130" t="s">
        <v>107</v>
      </c>
      <c r="F1" s="130" t="s">
        <v>108</v>
      </c>
      <c r="G1" s="131" t="s">
        <v>109</v>
      </c>
      <c r="H1" s="132" t="s">
        <v>110</v>
      </c>
      <c r="I1" s="133" t="s">
        <v>111</v>
      </c>
      <c r="J1" s="133"/>
    </row>
    <row r="2" spans="1:10" x14ac:dyDescent="0.2">
      <c r="A2" s="134" t="s">
        <v>112</v>
      </c>
      <c r="B2" s="135"/>
      <c r="C2" s="128">
        <f>B2*0.04</f>
        <v>0</v>
      </c>
      <c r="D2" s="128">
        <f>B2*0.123</f>
        <v>0</v>
      </c>
      <c r="E2" s="128">
        <f>B2*0.039</f>
        <v>0</v>
      </c>
      <c r="F2" s="128">
        <f>B2</f>
        <v>0</v>
      </c>
      <c r="G2" s="136">
        <f>(F2/100)*84</f>
        <v>0</v>
      </c>
      <c r="H2" s="137">
        <f>B2*0.215</f>
        <v>0</v>
      </c>
      <c r="I2" s="133" t="s">
        <v>113</v>
      </c>
      <c r="J2" s="138">
        <f>SUM(C2:C66,'энтерально педиатрия'!J3)</f>
        <v>0</v>
      </c>
    </row>
    <row r="3" spans="1:10" x14ac:dyDescent="0.2">
      <c r="A3" s="134" t="s">
        <v>114</v>
      </c>
      <c r="B3" s="135"/>
      <c r="C3" s="128">
        <f>B3*0.06</f>
        <v>0</v>
      </c>
      <c r="D3" s="128">
        <f>B3*0.184</f>
        <v>0</v>
      </c>
      <c r="E3" s="128">
        <f>B3*0.058</f>
        <v>0</v>
      </c>
      <c r="F3" s="128">
        <f>B3*1.5</f>
        <v>0</v>
      </c>
      <c r="G3" s="136">
        <f>((F3/100)*84)</f>
        <v>0</v>
      </c>
      <c r="H3" s="137">
        <f>B3*0.215*1.25</f>
        <v>0</v>
      </c>
      <c r="I3" s="133" t="s">
        <v>115</v>
      </c>
      <c r="J3" s="138">
        <f>SUM(D2:D66,'энтерально педиатрия'!J4)</f>
        <v>0</v>
      </c>
    </row>
    <row r="4" spans="1:10" x14ac:dyDescent="0.2">
      <c r="A4" s="134" t="s">
        <v>116</v>
      </c>
      <c r="B4" s="135"/>
      <c r="C4" s="128">
        <f>B4*0.04</f>
        <v>0</v>
      </c>
      <c r="D4" s="128">
        <f>B4*0.176</f>
        <v>0</v>
      </c>
      <c r="E4" s="128">
        <f>B4*0.017</f>
        <v>0</v>
      </c>
      <c r="F4" s="128">
        <f>B4</f>
        <v>0</v>
      </c>
      <c r="G4" s="136">
        <f>((F4/100)*84)</f>
        <v>0</v>
      </c>
      <c r="H4" s="137">
        <f>B4*0.215*1.5</f>
        <v>0</v>
      </c>
      <c r="I4" s="133" t="s">
        <v>117</v>
      </c>
      <c r="J4" s="138">
        <f>SUM(E2:E66,'энтерально педиатрия'!J5)</f>
        <v>0</v>
      </c>
    </row>
    <row r="5" spans="1:10" x14ac:dyDescent="0.2">
      <c r="A5" s="134" t="s">
        <v>118</v>
      </c>
      <c r="B5" s="135"/>
      <c r="C5" s="128">
        <f>B5*0.06</f>
        <v>0</v>
      </c>
      <c r="D5" s="128">
        <f>B5*0.185</f>
        <v>0</v>
      </c>
      <c r="E5" s="128">
        <f>B5*0.058</f>
        <v>0</v>
      </c>
      <c r="F5" s="128">
        <f>B5*1.5</f>
        <v>0</v>
      </c>
      <c r="G5" s="136">
        <f>(F5/100)*84</f>
        <v>0</v>
      </c>
      <c r="H5" s="137"/>
      <c r="I5" s="133" t="s">
        <v>119</v>
      </c>
      <c r="J5" s="138">
        <f>SUM(F2:F66,'энтерально педиатрия'!J6)</f>
        <v>0</v>
      </c>
    </row>
    <row r="6" spans="1:10" x14ac:dyDescent="0.2">
      <c r="A6" s="134" t="s">
        <v>120</v>
      </c>
      <c r="B6" s="135"/>
      <c r="C6" s="128">
        <f>B6*0.04</f>
        <v>0</v>
      </c>
      <c r="D6" s="128">
        <f>B6*0.123</f>
        <v>0</v>
      </c>
      <c r="E6" s="128">
        <f>B6*0.039</f>
        <v>0</v>
      </c>
      <c r="F6" s="128">
        <f>B6*1.03</f>
        <v>0</v>
      </c>
      <c r="G6" s="136">
        <f>(F6/100)*84.05</f>
        <v>0</v>
      </c>
      <c r="H6" s="137"/>
      <c r="I6" s="133" t="s">
        <v>109</v>
      </c>
      <c r="J6" s="138">
        <f>SUM(G2:G66,'энтерально педиатрия'!J7)</f>
        <v>0</v>
      </c>
    </row>
    <row r="7" spans="1:10" x14ac:dyDescent="0.2">
      <c r="A7" s="134" t="s">
        <v>121</v>
      </c>
      <c r="B7" s="135"/>
      <c r="C7" s="128">
        <f>B7*0.043</f>
        <v>0</v>
      </c>
      <c r="D7" s="128">
        <f>B7*0.113</f>
        <v>0</v>
      </c>
      <c r="E7" s="128">
        <f>B7*0.042</f>
        <v>0</v>
      </c>
      <c r="F7" s="128">
        <f>B7</f>
        <v>0</v>
      </c>
      <c r="G7" s="136">
        <f>(F7/100)*82.8</f>
        <v>0</v>
      </c>
      <c r="H7" s="137"/>
      <c r="I7" s="133" t="s">
        <v>122</v>
      </c>
      <c r="J7" s="138">
        <f>IF(J2=0,0,J6/(J2/6.25))</f>
        <v>0</v>
      </c>
    </row>
    <row r="8" spans="1:10" x14ac:dyDescent="0.2">
      <c r="A8" s="134" t="s">
        <v>123</v>
      </c>
      <c r="B8" s="135"/>
      <c r="C8" s="128">
        <f>B8*0.075</f>
        <v>0</v>
      </c>
      <c r="D8" s="128">
        <f>B8*0.154</f>
        <v>0</v>
      </c>
      <c r="E8" s="128">
        <f>B8*0.037</f>
        <v>0</v>
      </c>
      <c r="F8" s="128">
        <f>B8*1.28</f>
        <v>0</v>
      </c>
      <c r="G8" s="136">
        <f>(F8/100)*74.3</f>
        <v>0</v>
      </c>
      <c r="H8" s="137"/>
    </row>
    <row r="9" spans="1:10" x14ac:dyDescent="0.2">
      <c r="A9" s="134" t="s">
        <v>124</v>
      </c>
      <c r="B9" s="135"/>
      <c r="C9" s="128">
        <f>B9*0.075</f>
        <v>0</v>
      </c>
      <c r="D9" s="128">
        <f>B9*0.145</f>
        <v>0</v>
      </c>
      <c r="E9" s="128">
        <f>B9*0.042</f>
        <v>0</v>
      </c>
      <c r="F9" s="128">
        <f>B9*1.25</f>
        <v>0</v>
      </c>
      <c r="G9" s="136">
        <f>(F9/100)*76</f>
        <v>0</v>
      </c>
      <c r="H9" s="137" t="e">
        <f>#REF!*0.2185</f>
        <v>#REF!</v>
      </c>
    </row>
    <row r="10" spans="1:10" x14ac:dyDescent="0.2">
      <c r="A10" s="134" t="s">
        <v>125</v>
      </c>
      <c r="B10" s="135"/>
      <c r="C10" s="128">
        <f>B10*0.06</f>
        <v>0</v>
      </c>
      <c r="D10" s="128">
        <f>B10*0.184</f>
        <v>0</v>
      </c>
      <c r="E10" s="128">
        <f>B10*0.058</f>
        <v>0</v>
      </c>
      <c r="F10" s="128">
        <f>B10*1.5</f>
        <v>0</v>
      </c>
      <c r="G10" s="136">
        <f>(F10/100)*84</f>
        <v>0</v>
      </c>
      <c r="H10" s="137" t="e">
        <f>#REF!*0.2185*1.25</f>
        <v>#REF!</v>
      </c>
    </row>
    <row r="11" spans="1:10" x14ac:dyDescent="0.2">
      <c r="A11" s="134" t="s">
        <v>126</v>
      </c>
      <c r="B11" s="135"/>
      <c r="C11" s="128">
        <f>B11*0.04</f>
        <v>0</v>
      </c>
      <c r="D11" s="128">
        <f>B11*0.122</f>
        <v>0</v>
      </c>
      <c r="E11" s="128">
        <f>B11*0.039</f>
        <v>0</v>
      </c>
      <c r="F11" s="128">
        <f>B11</f>
        <v>0</v>
      </c>
      <c r="G11" s="136">
        <f>(F11/100)*84</f>
        <v>0</v>
      </c>
      <c r="H11" s="137" t="e">
        <f>#REF!*0.2185*1.5</f>
        <v>#REF!</v>
      </c>
    </row>
    <row r="12" spans="1:10" x14ac:dyDescent="0.2">
      <c r="A12" s="134" t="s">
        <v>127</v>
      </c>
      <c r="B12" s="135"/>
      <c r="C12" s="128">
        <f>B12*0.075</f>
        <v>0</v>
      </c>
      <c r="D12" s="128">
        <f>B12*0.2</f>
        <v>0</v>
      </c>
      <c r="E12" s="128">
        <f>B12*0.1</f>
        <v>0</v>
      </c>
      <c r="F12" s="128">
        <f>B12*2</f>
        <v>0</v>
      </c>
      <c r="G12" s="136">
        <f>(F12/100)*85</f>
        <v>0</v>
      </c>
      <c r="H12" s="137" t="e">
        <f>#REF!*0.2185</f>
        <v>#REF!</v>
      </c>
    </row>
    <row r="13" spans="1:10" x14ac:dyDescent="0.2">
      <c r="A13" s="134" t="s">
        <v>128</v>
      </c>
      <c r="B13" s="135"/>
      <c r="C13" s="128">
        <f>B13*0.144</f>
        <v>0</v>
      </c>
      <c r="D13" s="128">
        <f>B13*0.244</f>
        <v>0</v>
      </c>
      <c r="E13" s="128">
        <f>B13*0.094</f>
        <v>0</v>
      </c>
      <c r="F13" s="128">
        <f>B13*2.4</f>
        <v>0</v>
      </c>
      <c r="G13" s="136">
        <f>(F13/100)*84</f>
        <v>0</v>
      </c>
      <c r="H13" s="137" t="e">
        <f>#REF!*0.2185*1.25</f>
        <v>#REF!</v>
      </c>
    </row>
    <row r="14" spans="1:10" x14ac:dyDescent="0.2">
      <c r="A14" s="134" t="s">
        <v>129</v>
      </c>
      <c r="B14" s="135"/>
      <c r="C14" s="128">
        <f>B14*0.094</f>
        <v>0</v>
      </c>
      <c r="D14" s="128">
        <f>B14*0.252</f>
        <v>0</v>
      </c>
      <c r="E14" s="128">
        <f>B14*0.104</f>
        <v>0</v>
      </c>
      <c r="F14" s="128">
        <f>B14*2.4</f>
        <v>0</v>
      </c>
      <c r="G14" s="136">
        <f>(F14/100)*84</f>
        <v>0</v>
      </c>
      <c r="H14" s="137"/>
    </row>
    <row r="15" spans="1:10" x14ac:dyDescent="0.2">
      <c r="A15" s="134" t="s">
        <v>130</v>
      </c>
      <c r="B15" s="135"/>
      <c r="C15" s="128">
        <f>B15*0.09</f>
        <v>0</v>
      </c>
      <c r="D15" s="128">
        <f>B15*0.191</f>
        <v>0</v>
      </c>
      <c r="E15" s="128">
        <f>B15*0.053</f>
        <v>0</v>
      </c>
      <c r="F15" s="128">
        <f>B15*1.6</f>
        <v>0</v>
      </c>
      <c r="G15" s="136">
        <f>(F15/100)*84</f>
        <v>0</v>
      </c>
      <c r="H15" s="137" t="e">
        <f>#REF!*0.2185*1.5</f>
        <v>#REF!</v>
      </c>
    </row>
    <row r="16" spans="1:10" x14ac:dyDescent="0.2">
      <c r="A16" s="134" t="s">
        <v>131</v>
      </c>
      <c r="B16" s="135"/>
      <c r="C16" s="128">
        <f>B16*0.038</f>
        <v>0</v>
      </c>
      <c r="D16" s="128">
        <f>B16*0.138</f>
        <v>0</v>
      </c>
      <c r="E16" s="128">
        <f>B16*0.033</f>
        <v>0</v>
      </c>
      <c r="F16" s="128">
        <f>B16</f>
        <v>0</v>
      </c>
      <c r="G16" s="136">
        <f>(F16/100)*85</f>
        <v>0</v>
      </c>
      <c r="H16" s="137" t="e">
        <f>#REF!*0.207</f>
        <v>#REF!</v>
      </c>
    </row>
    <row r="17" spans="1:8" x14ac:dyDescent="0.2">
      <c r="A17" s="134" t="s">
        <v>132</v>
      </c>
      <c r="B17" s="135"/>
      <c r="C17" s="128">
        <f>B17*0.075</f>
        <v>0</v>
      </c>
      <c r="D17" s="128">
        <f>B17*0.188</f>
        <v>0</v>
      </c>
      <c r="E17" s="128">
        <f>B17*0.05</f>
        <v>0</v>
      </c>
      <c r="F17" s="128">
        <f>B17*1.5</f>
        <v>0</v>
      </c>
      <c r="G17" s="136">
        <f>(F17/100)*80</f>
        <v>0</v>
      </c>
      <c r="H17" s="137"/>
    </row>
    <row r="18" spans="1:8" x14ac:dyDescent="0.2">
      <c r="A18" s="134" t="s">
        <v>133</v>
      </c>
      <c r="B18" s="135"/>
      <c r="C18" s="128">
        <f>B18*0.041</f>
        <v>0</v>
      </c>
      <c r="D18" s="128">
        <f>B18*0.129</f>
        <v>0</v>
      </c>
      <c r="E18" s="128">
        <f>B18*0.035</f>
        <v>0</v>
      </c>
      <c r="F18" s="128">
        <f>B18</f>
        <v>0</v>
      </c>
      <c r="G18" s="136">
        <f>(F18/100)*84</f>
        <v>0</v>
      </c>
      <c r="H18" s="137"/>
    </row>
    <row r="19" spans="1:8" x14ac:dyDescent="0.2">
      <c r="A19" s="134" t="s">
        <v>134</v>
      </c>
      <c r="B19" s="135"/>
      <c r="C19" s="128">
        <f>B19*0.038</f>
        <v>0</v>
      </c>
      <c r="D19" s="128">
        <f>B19*0.138</f>
        <v>0</v>
      </c>
      <c r="E19" s="128">
        <f>B19*0.033</f>
        <v>0</v>
      </c>
      <c r="F19" s="128">
        <f>B19</f>
        <v>0</v>
      </c>
      <c r="G19" s="136">
        <f>(F19/100)*85</f>
        <v>0</v>
      </c>
      <c r="H19" s="137"/>
    </row>
    <row r="20" spans="1:8" x14ac:dyDescent="0.2">
      <c r="A20" s="134" t="s">
        <v>135</v>
      </c>
      <c r="B20" s="135"/>
      <c r="C20" s="128">
        <f>B20*0.04</f>
        <v>0</v>
      </c>
      <c r="D20" s="128">
        <f>B20*0.155</f>
        <v>0</v>
      </c>
      <c r="E20" s="128">
        <f>B20*0.058</f>
        <v>0</v>
      </c>
      <c r="F20" s="128">
        <f>B20*1.3</f>
        <v>0</v>
      </c>
      <c r="G20" s="136">
        <f>(F20/100)*88</f>
        <v>0</v>
      </c>
      <c r="H20" s="137"/>
    </row>
    <row r="21" spans="1:8" x14ac:dyDescent="0.2">
      <c r="A21" s="134" t="s">
        <v>136</v>
      </c>
      <c r="B21" s="135"/>
      <c r="C21" s="128">
        <f>B21*0.0667</f>
        <v>0</v>
      </c>
      <c r="D21" s="128">
        <f>B21*0.183</f>
        <v>0</v>
      </c>
      <c r="E21" s="128">
        <f>B21*0.037</f>
        <v>0</v>
      </c>
      <c r="F21" s="128">
        <f>B21*1.33</f>
        <v>0</v>
      </c>
      <c r="G21" s="136">
        <f>(F21/100)*80</f>
        <v>0</v>
      </c>
      <c r="H21" s="137">
        <f>B39*0.208</f>
        <v>0</v>
      </c>
    </row>
    <row r="22" spans="1:8" x14ac:dyDescent="0.2">
      <c r="A22" s="134" t="s">
        <v>137</v>
      </c>
      <c r="B22" s="135"/>
      <c r="C22" s="128">
        <f>B22*0.038</f>
        <v>0</v>
      </c>
      <c r="D22" s="128">
        <f>B22*0.188</f>
        <v>0</v>
      </c>
      <c r="E22" s="128">
        <f>B22*0.011</f>
        <v>0</v>
      </c>
      <c r="F22" s="128">
        <f>B22*1</f>
        <v>0</v>
      </c>
      <c r="G22" s="136">
        <f>(F22/100)*86</f>
        <v>0</v>
      </c>
      <c r="H22" s="137"/>
    </row>
    <row r="23" spans="1:8" x14ac:dyDescent="0.2">
      <c r="A23" s="134" t="s">
        <v>138</v>
      </c>
      <c r="B23" s="135"/>
      <c r="C23" s="128">
        <f>B23*0.0368</f>
        <v>0</v>
      </c>
      <c r="D23" s="128">
        <f>B23*0.1196</f>
        <v>0</v>
      </c>
      <c r="E23" s="128">
        <f>B23*0.0506</f>
        <v>0</v>
      </c>
      <c r="F23" s="128">
        <f>B23</f>
        <v>0</v>
      </c>
      <c r="G23" s="136">
        <f>(F23/100)*85</f>
        <v>0</v>
      </c>
      <c r="H23" s="137"/>
    </row>
    <row r="24" spans="1:8" x14ac:dyDescent="0.2">
      <c r="A24" s="134" t="s">
        <v>139</v>
      </c>
      <c r="B24" s="135"/>
      <c r="C24" s="128">
        <f>B24*0.0368*1.25</f>
        <v>0</v>
      </c>
      <c r="D24" s="128">
        <f>B24*0.1196*1.25</f>
        <v>0</v>
      </c>
      <c r="E24" s="128">
        <f>B24*0.0506*1.25</f>
        <v>0</v>
      </c>
      <c r="F24" s="128">
        <f>B24*1.25</f>
        <v>0</v>
      </c>
      <c r="G24" s="136">
        <f>(F24/100)*85</f>
        <v>0</v>
      </c>
      <c r="H24" s="137"/>
    </row>
    <row r="25" spans="1:8" x14ac:dyDescent="0.2">
      <c r="A25" s="134" t="s">
        <v>140</v>
      </c>
      <c r="B25" s="135"/>
      <c r="C25" s="128">
        <f>B25*0.0368*1.5</f>
        <v>0</v>
      </c>
      <c r="D25" s="128">
        <f>B25*0.1196*1.5</f>
        <v>0</v>
      </c>
      <c r="E25" s="128">
        <f>B25*0.0506*1.5</f>
        <v>0</v>
      </c>
      <c r="F25" s="128">
        <f>B25*1.5</f>
        <v>0</v>
      </c>
      <c r="G25" s="136">
        <f>(F25/100)*85</f>
        <v>0</v>
      </c>
      <c r="H25" s="137"/>
    </row>
    <row r="26" spans="1:8" x14ac:dyDescent="0.2">
      <c r="A26" s="134" t="s">
        <v>141</v>
      </c>
      <c r="B26" s="135"/>
      <c r="C26" s="128">
        <f>B26*0.038</f>
        <v>0</v>
      </c>
      <c r="D26" s="128">
        <f>B26*0.138</f>
        <v>0</v>
      </c>
      <c r="E26" s="128">
        <f>B26*0.034</f>
        <v>0</v>
      </c>
      <c r="F26" s="128">
        <f>B26*1</f>
        <v>0</v>
      </c>
      <c r="G26" s="136">
        <f>(F26/100)*85.8</f>
        <v>0</v>
      </c>
      <c r="H26" s="137"/>
    </row>
    <row r="27" spans="1:8" x14ac:dyDescent="0.2">
      <c r="A27" s="134" t="s">
        <v>142</v>
      </c>
      <c r="B27" s="135"/>
      <c r="C27" s="128">
        <f>B27*0.038</f>
        <v>0</v>
      </c>
      <c r="D27" s="128">
        <f>B27*0.138</f>
        <v>0</v>
      </c>
      <c r="E27" s="128">
        <f>B27*0.034</f>
        <v>0</v>
      </c>
      <c r="F27" s="128">
        <f>B27*1</f>
        <v>0</v>
      </c>
      <c r="G27" s="136">
        <f>(F27/100)*85.8</f>
        <v>0</v>
      </c>
      <c r="H27" s="137"/>
    </row>
    <row r="28" spans="1:8" x14ac:dyDescent="0.2">
      <c r="A28" s="134" t="s">
        <v>143</v>
      </c>
      <c r="B28" s="135"/>
      <c r="C28" s="128">
        <f>B28*0.056</f>
        <v>0</v>
      </c>
      <c r="D28" s="128">
        <f>B28*0.188</f>
        <v>0</v>
      </c>
      <c r="E28" s="128">
        <f>B28*0.058</f>
        <v>0</v>
      </c>
      <c r="F28" s="128">
        <f>B28*1.5</f>
        <v>0</v>
      </c>
      <c r="G28" s="136">
        <f>(F28/100)*84.9</f>
        <v>0</v>
      </c>
      <c r="H28" s="137"/>
    </row>
    <row r="29" spans="1:8" x14ac:dyDescent="0.2">
      <c r="A29" s="134" t="s">
        <v>144</v>
      </c>
      <c r="B29" s="135"/>
      <c r="C29" s="128">
        <f>B29*0.075</f>
        <v>0</v>
      </c>
      <c r="D29" s="128">
        <f>B29*0.17</f>
        <v>0</v>
      </c>
      <c r="E29" s="128">
        <f>B29*0.058</f>
        <v>0</v>
      </c>
      <c r="F29" s="128">
        <f>B29*1.5</f>
        <v>0</v>
      </c>
      <c r="G29" s="136">
        <f>(F29/100)*73.5</f>
        <v>0</v>
      </c>
    </row>
    <row r="30" spans="1:8" x14ac:dyDescent="0.2">
      <c r="A30" s="134" t="s">
        <v>145</v>
      </c>
      <c r="B30" s="135"/>
      <c r="C30" s="128">
        <f>B30*0.056</f>
        <v>0</v>
      </c>
      <c r="D30" s="128">
        <f>B30*0.188</f>
        <v>0</v>
      </c>
      <c r="E30" s="128">
        <f>B30*0.058</f>
        <v>0</v>
      </c>
      <c r="F30" s="128">
        <f>B30*1.5</f>
        <v>0</v>
      </c>
      <c r="G30" s="136">
        <f>(F30/100)*84.9</f>
        <v>0</v>
      </c>
    </row>
    <row r="31" spans="1:8" x14ac:dyDescent="0.2">
      <c r="A31" s="134" t="s">
        <v>146</v>
      </c>
      <c r="B31" s="135"/>
      <c r="C31" s="128">
        <f>B31*0.1</f>
        <v>0</v>
      </c>
      <c r="D31" s="128">
        <f>B31*0.124</f>
        <v>0</v>
      </c>
      <c r="E31" s="128">
        <f>B31*0.067</f>
        <v>0</v>
      </c>
      <c r="F31" s="128">
        <f>B31*1.5</f>
        <v>0</v>
      </c>
      <c r="G31" s="136">
        <f>(F31/100)*73.2</f>
        <v>0</v>
      </c>
    </row>
    <row r="32" spans="1:8" x14ac:dyDescent="0.2">
      <c r="A32" s="134" t="s">
        <v>147</v>
      </c>
      <c r="B32" s="135"/>
      <c r="C32" s="128">
        <f>B32*0.1</f>
        <v>0</v>
      </c>
      <c r="D32" s="128">
        <f>B32*0.124</f>
        <v>0</v>
      </c>
      <c r="E32" s="128">
        <f>B32*0.067</f>
        <v>0</v>
      </c>
      <c r="F32" s="128">
        <f>B32*1.5</f>
        <v>0</v>
      </c>
      <c r="G32" s="136">
        <f>(F32/100)*73.2</f>
        <v>0</v>
      </c>
    </row>
    <row r="33" spans="1:7" x14ac:dyDescent="0.2">
      <c r="A33" s="134" t="s">
        <v>148</v>
      </c>
      <c r="B33" s="135"/>
      <c r="C33" s="128">
        <f>B33*0</f>
        <v>0</v>
      </c>
      <c r="D33" s="128">
        <f>B33*0.2</f>
        <v>0</v>
      </c>
      <c r="E33" s="128">
        <f>B33*0</f>
        <v>0</v>
      </c>
      <c r="F33" s="128">
        <f>D33*4</f>
        <v>0</v>
      </c>
      <c r="G33" s="136">
        <f>F33</f>
        <v>0</v>
      </c>
    </row>
    <row r="34" spans="1:7" x14ac:dyDescent="0.2">
      <c r="A34" s="134" t="s">
        <v>149</v>
      </c>
      <c r="B34" s="135"/>
      <c r="C34" s="128">
        <f>B34*0.085</f>
        <v>0</v>
      </c>
      <c r="D34" s="128">
        <f>B34*0.0375</f>
        <v>0</v>
      </c>
      <c r="E34" s="128">
        <f>B34*0.002</f>
        <v>0</v>
      </c>
      <c r="F34" s="128">
        <f>B34*0.5</f>
        <v>0</v>
      </c>
      <c r="G34" s="136">
        <f>(F34/100)*33</f>
        <v>0</v>
      </c>
    </row>
    <row r="35" spans="1:7" x14ac:dyDescent="0.2">
      <c r="A35" s="134" t="s">
        <v>150</v>
      </c>
      <c r="B35" s="135"/>
      <c r="C35" s="128">
        <f>B35*0.04</f>
        <v>0</v>
      </c>
      <c r="D35" s="128">
        <f>B35*0.129</f>
        <v>0</v>
      </c>
      <c r="E35" s="128">
        <f>B35*0.036</f>
        <v>0</v>
      </c>
      <c r="F35" s="128">
        <f t="shared" ref="F35:F42" si="0">B35</f>
        <v>0</v>
      </c>
      <c r="G35" s="136">
        <f>(F35/100)*80</f>
        <v>0</v>
      </c>
    </row>
    <row r="36" spans="1:7" x14ac:dyDescent="0.2">
      <c r="A36" s="134" t="s">
        <v>151</v>
      </c>
      <c r="B36" s="135"/>
      <c r="C36" s="128">
        <f>B36*0.043</f>
        <v>0</v>
      </c>
      <c r="D36" s="128">
        <f>B36*0.122</f>
        <v>0</v>
      </c>
      <c r="E36" s="128">
        <f>B36*0.038</f>
        <v>0</v>
      </c>
      <c r="F36" s="128">
        <f t="shared" si="0"/>
        <v>0</v>
      </c>
      <c r="G36" s="136">
        <f>(F36/100)*82.8</f>
        <v>0</v>
      </c>
    </row>
    <row r="37" spans="1:7" x14ac:dyDescent="0.2">
      <c r="A37" s="134" t="s">
        <v>152</v>
      </c>
      <c r="B37" s="135"/>
      <c r="C37" s="128">
        <f>B37*0.041</f>
        <v>0</v>
      </c>
      <c r="D37" s="128">
        <f>B37*0.137</f>
        <v>0</v>
      </c>
      <c r="E37" s="128">
        <f>B37*0.032</f>
        <v>0</v>
      </c>
      <c r="F37" s="128">
        <f t="shared" si="0"/>
        <v>0</v>
      </c>
      <c r="G37" s="136">
        <f>(F37/100)*83.8</f>
        <v>0</v>
      </c>
    </row>
    <row r="38" spans="1:7" x14ac:dyDescent="0.2">
      <c r="A38" s="134" t="s">
        <v>153</v>
      </c>
      <c r="B38" s="135"/>
      <c r="C38" s="128">
        <f>B38*0.037</f>
        <v>0</v>
      </c>
      <c r="D38" s="128">
        <f>B38*0.12</f>
        <v>0</v>
      </c>
      <c r="E38" s="128">
        <f>B38*0.041</f>
        <v>0</v>
      </c>
      <c r="F38" s="128">
        <f t="shared" si="0"/>
        <v>0</v>
      </c>
      <c r="G38" s="136">
        <f>(F38/100)*85.3</f>
        <v>0</v>
      </c>
    </row>
    <row r="39" spans="1:7" x14ac:dyDescent="0.2">
      <c r="A39" s="134" t="s">
        <v>154</v>
      </c>
      <c r="B39" s="135"/>
      <c r="C39" s="128">
        <f>B39*0.023</f>
        <v>0</v>
      </c>
      <c r="D39" s="128">
        <f>B39*0.123</f>
        <v>0</v>
      </c>
      <c r="E39" s="128">
        <f>B39*0.046</f>
        <v>0</v>
      </c>
      <c r="F39" s="128">
        <f t="shared" si="0"/>
        <v>0</v>
      </c>
      <c r="G39" s="136">
        <f>(F39/100)*90.8</f>
        <v>0</v>
      </c>
    </row>
    <row r="40" spans="1:7" x14ac:dyDescent="0.2">
      <c r="A40" s="134" t="s">
        <v>155</v>
      </c>
      <c r="B40" s="135"/>
      <c r="C40" s="128">
        <f>B40*0.026</f>
        <v>0</v>
      </c>
      <c r="D40" s="128">
        <f>B40*0.17</f>
        <v>0</v>
      </c>
      <c r="E40" s="128">
        <f>B40*0.024</f>
        <v>0</v>
      </c>
      <c r="F40" s="128">
        <f t="shared" si="0"/>
        <v>0</v>
      </c>
      <c r="G40" s="136">
        <f>(F40/100)*89.5</f>
        <v>0</v>
      </c>
    </row>
    <row r="41" spans="1:7" x14ac:dyDescent="0.2">
      <c r="A41" s="134" t="s">
        <v>156</v>
      </c>
      <c r="B41" s="135"/>
      <c r="C41" s="128">
        <f>B41*0.044</f>
        <v>0</v>
      </c>
      <c r="D41" s="128">
        <f>B41*0.06</f>
        <v>0</v>
      </c>
      <c r="E41" s="128">
        <f>B41*0.064</f>
        <v>0</v>
      </c>
      <c r="F41" s="128">
        <f t="shared" si="0"/>
        <v>0</v>
      </c>
      <c r="G41" s="136">
        <f>(F41/100)*82.4</f>
        <v>0</v>
      </c>
    </row>
    <row r="42" spans="1:7" x14ac:dyDescent="0.2">
      <c r="A42" s="134" t="s">
        <v>157</v>
      </c>
      <c r="B42" s="135"/>
      <c r="C42" s="128">
        <f>B42*0.047</f>
        <v>0</v>
      </c>
      <c r="D42" s="128">
        <f>B42*0.108</f>
        <v>0</v>
      </c>
      <c r="E42" s="128">
        <f>B42*0.042</f>
        <v>0</v>
      </c>
      <c r="F42" s="128">
        <f t="shared" si="0"/>
        <v>0</v>
      </c>
      <c r="G42" s="136">
        <f>(F42/100)*81.3</f>
        <v>0</v>
      </c>
    </row>
    <row r="43" spans="1:7" x14ac:dyDescent="0.2">
      <c r="A43" s="134" t="s">
        <v>158</v>
      </c>
      <c r="B43" s="135"/>
      <c r="C43" s="128">
        <f>B43*0.07</f>
        <v>0</v>
      </c>
      <c r="D43" s="128">
        <f>B43*0.142</f>
        <v>0</v>
      </c>
      <c r="E43" s="128">
        <f>B43*0.045</f>
        <v>0</v>
      </c>
      <c r="F43" s="128">
        <f>B43*1.25</f>
        <v>0</v>
      </c>
      <c r="G43" s="136">
        <f>(F43/100)*77.7</f>
        <v>0</v>
      </c>
    </row>
    <row r="44" spans="1:7" x14ac:dyDescent="0.2">
      <c r="A44" s="134" t="s">
        <v>159</v>
      </c>
      <c r="B44" s="135"/>
      <c r="C44" s="128">
        <f>B44*0.051</f>
        <v>0</v>
      </c>
      <c r="D44" s="128">
        <f>B44*0.115</f>
        <v>0</v>
      </c>
      <c r="E44" s="128">
        <f>B44*0.037</f>
        <v>0</v>
      </c>
      <c r="F44" s="128">
        <f>B44</f>
        <v>0</v>
      </c>
      <c r="G44" s="136">
        <f>(F44/100)*80</f>
        <v>0</v>
      </c>
    </row>
    <row r="45" spans="1:7" x14ac:dyDescent="0.2">
      <c r="A45" s="134" t="s">
        <v>160</v>
      </c>
      <c r="B45" s="135"/>
      <c r="C45" s="128">
        <f>B45*0.0625</f>
        <v>0</v>
      </c>
      <c r="D45" s="128">
        <f>B45*0.0106</f>
        <v>0</v>
      </c>
      <c r="E45" s="128">
        <f>B45*0.0937</f>
        <v>0</v>
      </c>
      <c r="F45" s="128">
        <f>B45*1.52</f>
        <v>0</v>
      </c>
      <c r="G45" s="139">
        <f>(F45/100)*83.6</f>
        <v>0</v>
      </c>
    </row>
    <row r="46" spans="1:7" x14ac:dyDescent="0.2">
      <c r="A46" s="132" t="s">
        <v>161</v>
      </c>
      <c r="B46" s="135"/>
      <c r="C46" s="128">
        <f>B46*0.0555</f>
        <v>0</v>
      </c>
      <c r="D46" s="128">
        <f>B46*0.1575</f>
        <v>0</v>
      </c>
      <c r="E46" s="128">
        <f>B46*0.0393</f>
        <v>0</v>
      </c>
      <c r="F46" s="128">
        <f>B46*1.21</f>
        <v>0</v>
      </c>
      <c r="G46" s="139">
        <f>(F46/100)*81.3</f>
        <v>0</v>
      </c>
    </row>
    <row r="47" spans="1:7" x14ac:dyDescent="0.2">
      <c r="A47" s="140" t="s">
        <v>162</v>
      </c>
      <c r="B47" s="135"/>
      <c r="C47" s="128">
        <f>B47*0.0667</f>
        <v>0</v>
      </c>
      <c r="D47" s="128">
        <f>B47*0.1803</f>
        <v>0</v>
      </c>
      <c r="E47" s="128">
        <f>B47*0.0373</f>
        <v>0</v>
      </c>
      <c r="F47" s="128">
        <f>B47*1.3</f>
        <v>0</v>
      </c>
      <c r="G47" s="136">
        <f>(F47/100)*79.5</f>
        <v>0</v>
      </c>
    </row>
    <row r="48" spans="1:7" x14ac:dyDescent="0.2">
      <c r="A48" s="140" t="s">
        <v>163</v>
      </c>
      <c r="B48" s="135"/>
      <c r="C48" s="128">
        <f>B48*0.0938</f>
        <v>0</v>
      </c>
      <c r="D48" s="128">
        <f>B48*0.1724</f>
        <v>0</v>
      </c>
      <c r="E48" s="128">
        <f>B48*0.0508</f>
        <v>0</v>
      </c>
      <c r="F48" s="128">
        <f>B48*1.5</f>
        <v>0</v>
      </c>
      <c r="G48" s="136">
        <f>(F48/100)*75</f>
        <v>0</v>
      </c>
    </row>
    <row r="49" spans="1:7" x14ac:dyDescent="0.2">
      <c r="A49" s="140" t="s">
        <v>164</v>
      </c>
      <c r="B49" s="135"/>
      <c r="C49" s="128">
        <f>B49*0.0513</f>
        <v>0</v>
      </c>
      <c r="D49" s="128">
        <f>B49*0.1387</f>
        <v>0</v>
      </c>
      <c r="E49" s="128">
        <f>B49*0.0284</f>
        <v>0</v>
      </c>
      <c r="F49" s="128">
        <f>B49</f>
        <v>0</v>
      </c>
      <c r="G49" s="136">
        <f>(F49/100)*79.5</f>
        <v>0</v>
      </c>
    </row>
    <row r="50" spans="1:7" x14ac:dyDescent="0.2">
      <c r="A50" s="140" t="s">
        <v>165</v>
      </c>
      <c r="B50" s="135"/>
      <c r="C50" s="128">
        <f>B50*0.0379</f>
        <v>0</v>
      </c>
      <c r="D50" s="128">
        <f>B50*0.1688</f>
        <v>0</v>
      </c>
      <c r="E50" s="128">
        <f>B50*0.0253</f>
        <v>0</v>
      </c>
      <c r="F50" s="128">
        <f>B50*1.06</f>
        <v>0</v>
      </c>
      <c r="G50" s="136">
        <f>(F50/100)*85.6</f>
        <v>0</v>
      </c>
    </row>
    <row r="51" spans="1:7" x14ac:dyDescent="0.2">
      <c r="A51" s="140" t="s">
        <v>166</v>
      </c>
      <c r="B51" s="135"/>
      <c r="C51" s="128">
        <f>B51*0.0549</f>
        <v>0</v>
      </c>
      <c r="D51" s="128">
        <f>B51*0.2109</f>
        <v>0</v>
      </c>
      <c r="E51" s="128">
        <f>B51*0.0464</f>
        <v>0</v>
      </c>
      <c r="F51" s="128">
        <f>B51*1.5</f>
        <v>0</v>
      </c>
      <c r="G51" s="136">
        <f>(F51/100)*85</f>
        <v>0</v>
      </c>
    </row>
    <row r="52" spans="1:7" x14ac:dyDescent="0.2">
      <c r="A52" s="140" t="s">
        <v>167</v>
      </c>
      <c r="B52" s="135"/>
      <c r="C52" s="128">
        <f>B52*0.05063</f>
        <v>0</v>
      </c>
      <c r="D52" s="128">
        <f>B52*0.1308</f>
        <v>0</v>
      </c>
      <c r="E52" s="128">
        <f>B52*0.0253</f>
        <v>0</v>
      </c>
      <c r="F52" s="128">
        <f>B52*0.97</f>
        <v>0</v>
      </c>
      <c r="G52" s="136">
        <f>(F52/100)*78.8</f>
        <v>0</v>
      </c>
    </row>
    <row r="53" spans="1:7" x14ac:dyDescent="0.2">
      <c r="A53" s="140" t="s">
        <v>168</v>
      </c>
      <c r="B53" s="135"/>
      <c r="C53" s="128">
        <f>B53*0.04219</f>
        <v>0</v>
      </c>
      <c r="D53" s="128">
        <f>B53*0.1308</f>
        <v>0</v>
      </c>
      <c r="E53" s="128">
        <f>B53*0.02531</f>
        <v>0</v>
      </c>
      <c r="F53" s="128">
        <f>B53*0.93</f>
        <v>0</v>
      </c>
      <c r="G53" s="136">
        <f>(F53/100)*82</f>
        <v>0</v>
      </c>
    </row>
    <row r="54" spans="1:7" x14ac:dyDescent="0.2">
      <c r="A54" s="140" t="s">
        <v>169</v>
      </c>
      <c r="B54" s="135"/>
      <c r="C54" s="128">
        <f>B54*0.05485</f>
        <v>0</v>
      </c>
      <c r="D54" s="128">
        <f>B54*0.2152</f>
        <v>0</v>
      </c>
      <c r="E54" s="128">
        <f>B54*0.04641</f>
        <v>0</v>
      </c>
      <c r="F54" s="128">
        <f>B54*1.5</f>
        <v>0</v>
      </c>
      <c r="G54" s="136">
        <f>(F54/100)*85</f>
        <v>0</v>
      </c>
    </row>
    <row r="55" spans="1:7" x14ac:dyDescent="0.2">
      <c r="A55" s="140" t="s">
        <v>170</v>
      </c>
      <c r="B55" s="135"/>
      <c r="C55" s="128">
        <f>B55*0.03798</f>
        <v>0</v>
      </c>
      <c r="D55" s="128">
        <f>B55*0.1772</f>
        <v>0</v>
      </c>
      <c r="E55" s="128">
        <f>B55*0.02532</f>
        <v>0</v>
      </c>
      <c r="F55" s="128">
        <f>B55*1.06</f>
        <v>0</v>
      </c>
      <c r="G55" s="136">
        <f>(F55/100)*86</f>
        <v>0</v>
      </c>
    </row>
    <row r="56" spans="1:7" x14ac:dyDescent="0.2">
      <c r="A56" s="140" t="s">
        <v>171</v>
      </c>
      <c r="B56" s="135"/>
      <c r="C56" s="128">
        <f>B56*0.05485</f>
        <v>0</v>
      </c>
      <c r="D56" s="128">
        <f>B56*0.135</f>
        <v>0</v>
      </c>
      <c r="E56" s="128">
        <f>B56*0.03376</f>
        <v>0</v>
      </c>
      <c r="F56" s="128">
        <f>B56*1.06</f>
        <v>0</v>
      </c>
      <c r="G56" s="136">
        <f>(F56/100)*79</f>
        <v>0</v>
      </c>
    </row>
    <row r="57" spans="1:7" x14ac:dyDescent="0.2">
      <c r="A57" s="140" t="s">
        <v>172</v>
      </c>
      <c r="B57" s="135"/>
      <c r="C57" s="128">
        <f>B57*0.037975</f>
        <v>0</v>
      </c>
      <c r="D57" s="128">
        <f>B57*0.1435</f>
        <v>0</v>
      </c>
      <c r="E57" s="128">
        <f>B57*0.037975</f>
        <v>0</v>
      </c>
      <c r="F57" s="128">
        <f>B57*1.06</f>
        <v>0</v>
      </c>
      <c r="G57" s="136">
        <f>(F57/100)*85.8</f>
        <v>0</v>
      </c>
    </row>
    <row r="58" spans="1:7" x14ac:dyDescent="0.2">
      <c r="A58" s="140" t="s">
        <v>173</v>
      </c>
      <c r="B58" s="135"/>
      <c r="C58" s="128">
        <f>B58*0.0418</f>
        <v>0</v>
      </c>
      <c r="D58" s="128">
        <f>B58*0.0956</f>
        <v>0</v>
      </c>
      <c r="E58" s="128">
        <f>B58*0.0544</f>
        <v>0</v>
      </c>
      <c r="F58" s="128">
        <f>B58*1</f>
        <v>0</v>
      </c>
      <c r="G58" s="136">
        <f>(F58/100)*83.3</f>
        <v>0</v>
      </c>
    </row>
    <row r="59" spans="1:7" x14ac:dyDescent="0.2">
      <c r="A59" s="140" t="s">
        <v>174</v>
      </c>
      <c r="B59" s="135"/>
      <c r="C59" s="128">
        <f>B59*0.042194</f>
        <v>0</v>
      </c>
      <c r="D59" s="128">
        <f>B59*0.109705</f>
        <v>0</v>
      </c>
      <c r="E59" s="128">
        <f>B59*0.02954</f>
        <v>0</v>
      </c>
      <c r="F59" s="128">
        <f>B59*0.8439</f>
        <v>0</v>
      </c>
      <c r="G59" s="136">
        <f>(F59/100)*80</f>
        <v>0</v>
      </c>
    </row>
    <row r="60" spans="1:7" x14ac:dyDescent="0.2">
      <c r="A60" s="140" t="s">
        <v>175</v>
      </c>
      <c r="B60" s="135"/>
      <c r="C60" s="128">
        <f>B60*0.06</f>
        <v>0</v>
      </c>
      <c r="D60" s="128">
        <f>B60*0.1145</f>
        <v>0</v>
      </c>
      <c r="E60" s="128">
        <f>B60*0.06</f>
        <v>0</v>
      </c>
      <c r="F60" s="128">
        <f>B60*1.2</f>
        <v>0</v>
      </c>
      <c r="G60" s="136">
        <f>(F60/100)*65</f>
        <v>0</v>
      </c>
    </row>
    <row r="61" spans="1:7" x14ac:dyDescent="0.2">
      <c r="A61" s="140" t="s">
        <v>176</v>
      </c>
      <c r="B61" s="135"/>
      <c r="C61" s="128">
        <f>B61*0.0825</f>
        <v>0</v>
      </c>
      <c r="D61" s="128">
        <f>B61*0.1331</f>
        <v>0</v>
      </c>
      <c r="E61" s="128">
        <f>B61*0.075</f>
        <v>0</v>
      </c>
      <c r="F61" s="128">
        <f>B61*1.5</f>
        <v>0</v>
      </c>
      <c r="G61" s="136">
        <f>(F61/100)*78</f>
        <v>0</v>
      </c>
    </row>
    <row r="62" spans="1:7" x14ac:dyDescent="0.2">
      <c r="A62" s="140" t="s">
        <v>177</v>
      </c>
      <c r="B62" s="135"/>
      <c r="C62" s="128">
        <f>B62*0.03535</f>
        <v>0</v>
      </c>
      <c r="D62" s="128">
        <f>B62*0.2172</f>
        <v>0</v>
      </c>
      <c r="E62" s="128">
        <f>B62*0</f>
        <v>0</v>
      </c>
      <c r="F62" s="128">
        <f>B62*1.01</f>
        <v>0</v>
      </c>
      <c r="G62" s="136">
        <f>(F62/100)*86</f>
        <v>0</v>
      </c>
    </row>
    <row r="63" spans="1:7" x14ac:dyDescent="0.2">
      <c r="A63" s="140" t="s">
        <v>178</v>
      </c>
      <c r="B63" s="135"/>
      <c r="C63" s="128">
        <f>B63*0.08059</f>
        <v>0</v>
      </c>
      <c r="D63" s="128">
        <f>B63*0.1599</f>
        <v>0</v>
      </c>
      <c r="E63" s="128">
        <f>B63*0.09578</f>
        <v>0</v>
      </c>
      <c r="F63" s="128">
        <f>B63*1.8</f>
        <v>0</v>
      </c>
      <c r="G63" s="136">
        <f>(F63/100)*82</f>
        <v>0</v>
      </c>
    </row>
    <row r="64" spans="1:7" x14ac:dyDescent="0.2">
      <c r="A64" s="140" t="s">
        <v>179</v>
      </c>
      <c r="B64" s="135"/>
      <c r="C64" s="128">
        <f>B64*0.04473</f>
        <v>0</v>
      </c>
      <c r="D64" s="128">
        <f>B64*0.1958</f>
        <v>0</v>
      </c>
      <c r="E64" s="128">
        <f>B64*0.09578</f>
        <v>0</v>
      </c>
      <c r="F64" s="128">
        <f>B64*1.8</f>
        <v>0</v>
      </c>
      <c r="G64" s="136">
        <f>(F64/100)*90.2</f>
        <v>0</v>
      </c>
    </row>
    <row r="65" spans="1:7" x14ac:dyDescent="0.2">
      <c r="A65" s="140" t="s">
        <v>180</v>
      </c>
      <c r="B65" s="135"/>
      <c r="C65" s="128">
        <f>B65*0.04167</f>
        <v>0</v>
      </c>
      <c r="D65" s="128">
        <f>B65*0.1847</f>
        <v>0</v>
      </c>
      <c r="E65" s="128">
        <f>B65*0.011</f>
        <v>0</v>
      </c>
      <c r="F65" s="128">
        <f>B65*1</f>
        <v>0</v>
      </c>
      <c r="G65" s="136">
        <f>(F65/100)*83.3</f>
        <v>0</v>
      </c>
    </row>
    <row r="66" spans="1:7" x14ac:dyDescent="0.2">
      <c r="A66" s="140" t="s">
        <v>181</v>
      </c>
      <c r="B66" s="135"/>
      <c r="C66" s="128">
        <f>B66*0.3333</f>
        <v>0</v>
      </c>
      <c r="D66" s="128">
        <f>B66*0.4666667</f>
        <v>0</v>
      </c>
      <c r="E66" s="128">
        <f>B66*0</f>
        <v>0</v>
      </c>
      <c r="F66" s="128">
        <f>B66*3.333</f>
        <v>0</v>
      </c>
      <c r="G66" s="136">
        <f>(F66/100)*60</f>
        <v>0</v>
      </c>
    </row>
    <row r="67" spans="1:7" x14ac:dyDescent="0.2">
      <c r="A67" s="140"/>
      <c r="B67" s="141"/>
      <c r="G67" s="136"/>
    </row>
    <row r="68" spans="1:7" x14ac:dyDescent="0.2">
      <c r="A68" s="140"/>
      <c r="B68" s="141"/>
      <c r="G68" s="136"/>
    </row>
    <row r="69" spans="1:7" x14ac:dyDescent="0.2">
      <c r="A69" s="140"/>
      <c r="B69" s="141"/>
      <c r="G69" s="136"/>
    </row>
    <row r="70" spans="1:7" x14ac:dyDescent="0.2">
      <c r="A70" s="140"/>
      <c r="B70" s="141"/>
      <c r="G70" s="136"/>
    </row>
    <row r="71" spans="1:7" x14ac:dyDescent="0.2">
      <c r="A71" s="140"/>
      <c r="B71" s="141"/>
      <c r="G71" s="136"/>
    </row>
    <row r="72" spans="1:7" x14ac:dyDescent="0.2">
      <c r="A72" s="140"/>
      <c r="B72" s="141"/>
      <c r="G72" s="136"/>
    </row>
    <row r="73" spans="1:7" x14ac:dyDescent="0.2">
      <c r="A73" s="140"/>
      <c r="B73" s="141"/>
      <c r="G73" s="136"/>
    </row>
    <row r="74" spans="1:7" x14ac:dyDescent="0.2">
      <c r="A74" s="140"/>
      <c r="B74" s="141"/>
      <c r="G74" s="136"/>
    </row>
    <row r="75" spans="1:7" x14ac:dyDescent="0.2">
      <c r="A75" s="140"/>
      <c r="B75" s="141"/>
      <c r="G75" s="136"/>
    </row>
    <row r="76" spans="1:7" x14ac:dyDescent="0.2">
      <c r="A76" s="140"/>
      <c r="B76" s="141"/>
      <c r="G76" s="136"/>
    </row>
    <row r="77" spans="1:7" x14ac:dyDescent="0.2">
      <c r="A77" s="140"/>
      <c r="B77" s="141"/>
      <c r="G77" s="136"/>
    </row>
    <row r="78" spans="1:7" x14ac:dyDescent="0.2">
      <c r="A78" s="140"/>
      <c r="B78" s="141"/>
      <c r="G78" s="136"/>
    </row>
    <row r="79" spans="1:7" x14ac:dyDescent="0.2">
      <c r="A79" s="140"/>
      <c r="B79" s="141"/>
      <c r="G79" s="136"/>
    </row>
    <row r="80" spans="1:7" x14ac:dyDescent="0.2">
      <c r="A80" s="140"/>
      <c r="B80" s="141"/>
      <c r="G80" s="136"/>
    </row>
    <row r="81" spans="1:7" x14ac:dyDescent="0.2">
      <c r="A81" s="140"/>
      <c r="B81" s="141"/>
      <c r="G81" s="136"/>
    </row>
    <row r="82" spans="1:7" x14ac:dyDescent="0.2">
      <c r="A82" s="140"/>
      <c r="B82" s="141"/>
      <c r="G82" s="136"/>
    </row>
  </sheetData>
  <sheetProtection sheet="1" objects="1" scenarios="1"/>
  <pageMargins left="0.75" right="0.75" top="1" bottom="1" header="0.51180555555555551" footer="0.51180555555555551"/>
  <pageSetup paperSize="9"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indexed="21"/>
  </sheetPr>
  <dimension ref="A1:O36"/>
  <sheetViews>
    <sheetView workbookViewId="0">
      <selection activeCell="A49" sqref="A49"/>
    </sheetView>
  </sheetViews>
  <sheetFormatPr defaultRowHeight="12.75" x14ac:dyDescent="0.2"/>
  <cols>
    <col min="1" max="1" width="26.42578125" style="142" customWidth="1"/>
    <col min="2" max="2" width="9.140625" style="142" customWidth="1"/>
    <col min="3" max="3" width="9.5703125" style="142" customWidth="1"/>
    <col min="4" max="4" width="12.7109375" style="142" customWidth="1"/>
    <col min="5" max="5" width="9.140625" style="142" customWidth="1"/>
    <col min="6" max="6" width="33" style="142" customWidth="1"/>
    <col min="7" max="8" width="9.140625" style="142" hidden="1" customWidth="1"/>
    <col min="9" max="12" width="9.140625" style="142" customWidth="1"/>
    <col min="13" max="13" width="16.5703125" style="142" customWidth="1"/>
    <col min="14" max="14" width="17.5703125" style="142" customWidth="1"/>
    <col min="15" max="16384" width="9.140625" style="142"/>
  </cols>
  <sheetData>
    <row r="1" spans="1:15" x14ac:dyDescent="0.2">
      <c r="A1" s="143" t="s">
        <v>182</v>
      </c>
      <c r="B1" s="144" t="s">
        <v>104</v>
      </c>
      <c r="C1" s="144" t="s">
        <v>105</v>
      </c>
      <c r="D1" s="145" t="s">
        <v>183</v>
      </c>
      <c r="E1" s="146"/>
      <c r="F1" s="143" t="s">
        <v>184</v>
      </c>
      <c r="G1" s="144"/>
      <c r="H1" s="144"/>
      <c r="I1" s="144" t="s">
        <v>104</v>
      </c>
      <c r="J1" s="144" t="s">
        <v>185</v>
      </c>
      <c r="K1" s="144" t="s">
        <v>186</v>
      </c>
      <c r="L1" s="144" t="s">
        <v>108</v>
      </c>
      <c r="M1" s="145" t="s">
        <v>109</v>
      </c>
      <c r="N1" s="147"/>
    </row>
    <row r="2" spans="1:15" x14ac:dyDescent="0.2">
      <c r="A2" s="148" t="s">
        <v>187</v>
      </c>
      <c r="B2" s="135"/>
      <c r="C2" s="142">
        <f>B2*0.008*6.25</f>
        <v>0</v>
      </c>
      <c r="D2" s="149">
        <f>B2*0.2</f>
        <v>0</v>
      </c>
      <c r="E2" s="146"/>
      <c r="F2" s="148" t="s">
        <v>188</v>
      </c>
      <c r="I2" s="135"/>
      <c r="J2" s="142">
        <f>I2*0.0057*6.25</f>
        <v>0</v>
      </c>
      <c r="K2" s="142">
        <f>I2*0.08</f>
        <v>0</v>
      </c>
      <c r="L2" s="142">
        <f>I2*0.48</f>
        <v>0</v>
      </c>
      <c r="M2" s="149">
        <f>I2*0.32</f>
        <v>0</v>
      </c>
      <c r="N2" s="147"/>
    </row>
    <row r="3" spans="1:15" x14ac:dyDescent="0.2">
      <c r="A3" s="148" t="s">
        <v>189</v>
      </c>
      <c r="B3" s="135"/>
      <c r="C3" s="142">
        <f>B3*0.016*6.25</f>
        <v>0</v>
      </c>
      <c r="D3" s="149">
        <f>B3*0.4</f>
        <v>0</v>
      </c>
      <c r="E3" s="146"/>
      <c r="F3" s="148" t="s">
        <v>190</v>
      </c>
      <c r="I3" s="135"/>
      <c r="J3" s="142">
        <f>I3*0.0068*6.25</f>
        <v>0</v>
      </c>
      <c r="K3" s="142">
        <f>I3*0.15</f>
        <v>0</v>
      </c>
      <c r="L3" s="142">
        <f>I3*0.79</f>
        <v>0</v>
      </c>
      <c r="M3" s="149">
        <f>I3*0.6</f>
        <v>0</v>
      </c>
      <c r="N3" s="147"/>
    </row>
    <row r="4" spans="1:15" x14ac:dyDescent="0.2">
      <c r="A4" s="148" t="s">
        <v>191</v>
      </c>
      <c r="B4" s="135"/>
      <c r="C4" s="142">
        <f>B4*0.024*6.25</f>
        <v>0</v>
      </c>
      <c r="D4" s="149">
        <f>B4*0.6</f>
        <v>0</v>
      </c>
      <c r="E4" s="146"/>
      <c r="F4" s="150" t="s">
        <v>192</v>
      </c>
      <c r="G4" s="151"/>
      <c r="H4" s="151"/>
      <c r="I4" s="152"/>
      <c r="J4" s="151">
        <f>I4*0.01*6.25</f>
        <v>0</v>
      </c>
      <c r="K4" s="151">
        <f>I4*0.24</f>
        <v>0</v>
      </c>
      <c r="L4" s="151">
        <f>I4*1.24</f>
        <v>0</v>
      </c>
      <c r="M4" s="153">
        <f>I4*0.96</f>
        <v>0</v>
      </c>
      <c r="N4" s="147"/>
    </row>
    <row r="5" spans="1:15" x14ac:dyDescent="0.2">
      <c r="A5" s="148" t="s">
        <v>193</v>
      </c>
      <c r="B5" s="135"/>
      <c r="C5" s="142">
        <f>B5*0.0153*6.25</f>
        <v>0</v>
      </c>
      <c r="D5" s="149">
        <f>B5*0.4</f>
        <v>0</v>
      </c>
      <c r="E5" s="147"/>
      <c r="F5" s="154"/>
      <c r="G5" s="154"/>
      <c r="H5" s="154"/>
      <c r="I5" s="154"/>
      <c r="J5" s="154"/>
      <c r="K5" s="154"/>
      <c r="L5" s="154"/>
      <c r="M5" s="154"/>
    </row>
    <row r="6" spans="1:15" x14ac:dyDescent="0.2">
      <c r="A6" s="148" t="s">
        <v>194</v>
      </c>
      <c r="B6" s="135"/>
      <c r="C6" s="142">
        <f>B6*0.0162*6.25</f>
        <v>0</v>
      </c>
      <c r="D6" s="149">
        <f>B6*0.4</f>
        <v>0</v>
      </c>
      <c r="E6" s="147"/>
      <c r="F6" s="155"/>
      <c r="G6" s="155"/>
      <c r="H6" s="155"/>
      <c r="I6" s="155"/>
      <c r="J6" s="155"/>
      <c r="K6" s="155"/>
      <c r="L6" s="155"/>
      <c r="M6" s="155"/>
      <c r="N6" s="155"/>
    </row>
    <row r="7" spans="1:15" x14ac:dyDescent="0.2">
      <c r="A7" s="148" t="s">
        <v>195</v>
      </c>
      <c r="B7" s="135"/>
      <c r="C7" s="142">
        <f>B7*0.0257*6.25</f>
        <v>0</v>
      </c>
      <c r="D7" s="149">
        <f>B7*0.6</f>
        <v>0</v>
      </c>
      <c r="E7" s="146"/>
      <c r="F7" s="143" t="s">
        <v>196</v>
      </c>
      <c r="G7" s="144"/>
      <c r="H7" s="144"/>
      <c r="I7" s="144" t="s">
        <v>104</v>
      </c>
      <c r="J7" s="144" t="s">
        <v>185</v>
      </c>
      <c r="K7" s="144" t="s">
        <v>186</v>
      </c>
      <c r="L7" s="144" t="s">
        <v>197</v>
      </c>
      <c r="M7" s="144" t="s">
        <v>108</v>
      </c>
      <c r="N7" s="145" t="s">
        <v>198</v>
      </c>
      <c r="O7" s="147"/>
    </row>
    <row r="8" spans="1:15" x14ac:dyDescent="0.2">
      <c r="A8" s="148" t="s">
        <v>199</v>
      </c>
      <c r="B8" s="135"/>
      <c r="C8" s="142">
        <f>B8*0.0164*6.25</f>
        <v>0</v>
      </c>
      <c r="D8" s="149">
        <f>B8*0.44</f>
        <v>0</v>
      </c>
      <c r="E8" s="146"/>
      <c r="F8" s="148" t="s">
        <v>200</v>
      </c>
      <c r="I8" s="135"/>
      <c r="J8" s="142">
        <f>I8*0.00456*6.25</f>
        <v>0</v>
      </c>
      <c r="K8" s="142">
        <f>I8*0.064</f>
        <v>0</v>
      </c>
      <c r="L8" s="142">
        <f>I8*0.04</f>
        <v>0</v>
      </c>
      <c r="M8" s="142">
        <f>J8*4+K8*4+L8*9</f>
        <v>0</v>
      </c>
      <c r="N8" s="149">
        <f>K8*4+L8*9</f>
        <v>0</v>
      </c>
      <c r="O8" s="147"/>
    </row>
    <row r="9" spans="1:15" x14ac:dyDescent="0.2">
      <c r="A9" s="148" t="s">
        <v>201</v>
      </c>
      <c r="B9" s="135"/>
      <c r="C9" s="142">
        <f>B9*0.0081*6.25</f>
        <v>0</v>
      </c>
      <c r="D9" s="149">
        <f>B9*0.2</f>
        <v>0</v>
      </c>
      <c r="E9" s="146"/>
      <c r="F9" s="148" t="s">
        <v>202</v>
      </c>
      <c r="I9" s="135"/>
      <c r="J9" s="142">
        <f>I9*0.0057*6.25</f>
        <v>0</v>
      </c>
      <c r="K9" s="142">
        <f>I9*0.08</f>
        <v>0</v>
      </c>
      <c r="M9" s="142">
        <f>J9*4+K9*4</f>
        <v>0</v>
      </c>
      <c r="N9" s="149">
        <f>K9*4</f>
        <v>0</v>
      </c>
      <c r="O9" s="147"/>
    </row>
    <row r="10" spans="1:15" x14ac:dyDescent="0.2">
      <c r="A10" s="148" t="s">
        <v>203</v>
      </c>
      <c r="B10" s="135"/>
      <c r="C10" s="142">
        <f>B10*0.0162*6.25</f>
        <v>0</v>
      </c>
      <c r="D10" s="149">
        <f>B10*0.4</f>
        <v>0</v>
      </c>
      <c r="E10" s="146"/>
      <c r="F10" s="148" t="s">
        <v>204</v>
      </c>
      <c r="I10" s="135"/>
      <c r="J10" s="142">
        <f>I10*0.00544*6.25</f>
        <v>0</v>
      </c>
      <c r="K10" s="142">
        <f>I10*0.12</f>
        <v>0</v>
      </c>
      <c r="L10" s="142">
        <f>I10*0.04</f>
        <v>0</v>
      </c>
      <c r="M10" s="142">
        <f>J10*4+K10*4+L10*9</f>
        <v>0</v>
      </c>
      <c r="N10" s="149">
        <f>K10*4+L10*9</f>
        <v>0</v>
      </c>
      <c r="O10" s="147"/>
    </row>
    <row r="11" spans="1:15" x14ac:dyDescent="0.2">
      <c r="A11" s="148" t="s">
        <v>205</v>
      </c>
      <c r="B11" s="135"/>
      <c r="C11" s="142">
        <f>B11*0.0257*6.25</f>
        <v>0</v>
      </c>
      <c r="D11" s="149">
        <f>B11*0.6</f>
        <v>0</v>
      </c>
      <c r="E11" s="146"/>
      <c r="F11" s="148" t="s">
        <v>206</v>
      </c>
      <c r="I11" s="135"/>
      <c r="J11" s="142">
        <f>I11*0.0068*6.25</f>
        <v>0</v>
      </c>
      <c r="K11" s="142">
        <f>I11*0.15</f>
        <v>0</v>
      </c>
      <c r="M11" s="142">
        <f>J11*4+K11*4</f>
        <v>0</v>
      </c>
      <c r="N11" s="149">
        <f>K11*4</f>
        <v>0</v>
      </c>
      <c r="O11" s="147"/>
    </row>
    <row r="12" spans="1:15" x14ac:dyDescent="0.2">
      <c r="A12" s="148" t="s">
        <v>207</v>
      </c>
      <c r="B12" s="135"/>
      <c r="C12" s="142">
        <f>B12*0.009*6.25</f>
        <v>0</v>
      </c>
      <c r="D12" s="149">
        <f>C12*4</f>
        <v>0</v>
      </c>
      <c r="E12" s="146"/>
      <c r="F12" s="148" t="s">
        <v>208</v>
      </c>
      <c r="I12" s="135"/>
      <c r="J12" s="142">
        <f>I12*0.0092*6.25</f>
        <v>0</v>
      </c>
      <c r="K12" s="142">
        <f>I12*0.144</f>
        <v>0</v>
      </c>
      <c r="L12" s="142">
        <f>I12*0.04</f>
        <v>0</v>
      </c>
      <c r="M12" s="142">
        <f>J12*4+K12*4+L12*9</f>
        <v>0</v>
      </c>
      <c r="N12" s="149">
        <f>K12*4+L12*9</f>
        <v>0</v>
      </c>
      <c r="O12" s="147"/>
    </row>
    <row r="13" spans="1:15" x14ac:dyDescent="0.2">
      <c r="A13" s="148" t="s">
        <v>209</v>
      </c>
      <c r="B13" s="135"/>
      <c r="C13" s="142">
        <f>B13*0.1</f>
        <v>0</v>
      </c>
      <c r="D13" s="149">
        <f>C13*4</f>
        <v>0</v>
      </c>
      <c r="E13" s="147"/>
      <c r="F13" s="148" t="s">
        <v>210</v>
      </c>
      <c r="I13" s="135"/>
      <c r="J13" s="142">
        <f>I13*0.01*6.25</f>
        <v>0</v>
      </c>
      <c r="K13" s="142">
        <f>I13*0.18</f>
        <v>0</v>
      </c>
      <c r="M13" s="142">
        <f>J13*4+K13*4</f>
        <v>0</v>
      </c>
      <c r="N13" s="156">
        <f>K13*4</f>
        <v>0</v>
      </c>
    </row>
    <row r="14" spans="1:15" x14ac:dyDescent="0.2">
      <c r="A14" s="148" t="s">
        <v>211</v>
      </c>
      <c r="B14" s="135"/>
      <c r="C14" s="142">
        <f>B14*0.016*6.25</f>
        <v>0</v>
      </c>
      <c r="D14" s="149">
        <f>B14*0.4</f>
        <v>0</v>
      </c>
      <c r="E14" s="147"/>
      <c r="F14" s="148" t="s">
        <v>212</v>
      </c>
      <c r="I14" s="135"/>
      <c r="J14" s="142">
        <f>I14*0.05</f>
        <v>0</v>
      </c>
      <c r="K14" s="142">
        <f>I14*0.125</f>
        <v>0</v>
      </c>
      <c r="L14" s="142">
        <f>I14*0.038</f>
        <v>0</v>
      </c>
      <c r="M14" s="142">
        <f>I14*1.1</f>
        <v>0</v>
      </c>
      <c r="N14" s="156">
        <f>I14*0.9</f>
        <v>0</v>
      </c>
    </row>
    <row r="15" spans="1:15" x14ac:dyDescent="0.2">
      <c r="A15" s="148" t="s">
        <v>213</v>
      </c>
      <c r="B15" s="135"/>
      <c r="C15" s="142">
        <f>B15*0.0129*6.25</f>
        <v>0</v>
      </c>
      <c r="D15" s="149">
        <f>C15*4</f>
        <v>0</v>
      </c>
      <c r="E15" s="147"/>
      <c r="F15" s="148" t="s">
        <v>214</v>
      </c>
      <c r="I15" s="135"/>
      <c r="J15" s="142">
        <f>I15*0.031</f>
        <v>0</v>
      </c>
      <c r="K15" s="142">
        <f>I15*0.069</f>
        <v>0</v>
      </c>
      <c r="L15" s="142">
        <f>I15*0.027</f>
        <v>0</v>
      </c>
      <c r="M15" s="142">
        <f>I15*0.667</f>
        <v>0</v>
      </c>
      <c r="N15" s="156">
        <f>I15*0.533</f>
        <v>0</v>
      </c>
    </row>
    <row r="16" spans="1:15" x14ac:dyDescent="0.2">
      <c r="A16" s="157" t="s">
        <v>215</v>
      </c>
      <c r="B16" s="158"/>
      <c r="C16" s="155">
        <f>B16*0.0088*6.25</f>
        <v>0</v>
      </c>
      <c r="D16" s="159">
        <f>C16*4</f>
        <v>0</v>
      </c>
      <c r="E16" s="147"/>
      <c r="F16" s="148" t="s">
        <v>216</v>
      </c>
      <c r="I16" s="135"/>
      <c r="J16" s="142">
        <f>I16*0.0052611*6.25</f>
        <v>0</v>
      </c>
      <c r="K16" s="142">
        <f>I16*0.0974279</f>
        <v>0</v>
      </c>
      <c r="L16" s="142">
        <f>I16*((100/2.566)/1000)</f>
        <v>0</v>
      </c>
      <c r="M16" s="142">
        <f>I16*((2300/2.566)/1000)</f>
        <v>0</v>
      </c>
      <c r="N16" s="149">
        <f>I16*((2000/2.566)/1000)</f>
        <v>0</v>
      </c>
    </row>
    <row r="17" spans="1:14" x14ac:dyDescent="0.2">
      <c r="A17" s="142" t="s">
        <v>217</v>
      </c>
      <c r="B17" s="135"/>
      <c r="C17" s="155">
        <f>B17*0.0063*6.25</f>
        <v>0</v>
      </c>
      <c r="D17" s="159">
        <f>C17*4</f>
        <v>0</v>
      </c>
      <c r="E17" s="147"/>
      <c r="F17" s="150" t="s">
        <v>218</v>
      </c>
      <c r="G17" s="151"/>
      <c r="H17" s="151"/>
      <c r="I17" s="152"/>
      <c r="J17" s="151">
        <f>6.25*I17*((9/2.4)/1000)</f>
        <v>0</v>
      </c>
      <c r="K17" s="151">
        <f>I17*((162/2.4)/1000)</f>
        <v>0</v>
      </c>
      <c r="L17" s="151">
        <f>I17*((85/2.4)/1000)</f>
        <v>0</v>
      </c>
      <c r="M17" s="151">
        <f>I17*((1700/2.4)/1000)</f>
        <v>0</v>
      </c>
      <c r="N17" s="153">
        <f>I17*((1500/2.4)/1000)</f>
        <v>0</v>
      </c>
    </row>
    <row r="18" spans="1:14" x14ac:dyDescent="0.2">
      <c r="A18" s="151" t="s">
        <v>219</v>
      </c>
      <c r="B18" s="152"/>
      <c r="C18" s="151">
        <f>B18*0.0156*6.25</f>
        <v>0</v>
      </c>
      <c r="D18" s="153">
        <f>C18*4</f>
        <v>0</v>
      </c>
      <c r="E18" s="147"/>
      <c r="F18" s="154"/>
      <c r="G18" s="154"/>
      <c r="H18" s="154"/>
      <c r="I18" s="154"/>
      <c r="J18" s="154"/>
      <c r="K18" s="154"/>
      <c r="L18" s="154"/>
      <c r="M18" s="154"/>
      <c r="N18" s="154"/>
    </row>
    <row r="19" spans="1:14" x14ac:dyDescent="0.2">
      <c r="A19" s="154"/>
      <c r="B19" s="154"/>
      <c r="C19" s="154"/>
      <c r="D19" s="154"/>
      <c r="E19" s="147"/>
    </row>
    <row r="20" spans="1:14" x14ac:dyDescent="0.2">
      <c r="A20" s="155"/>
      <c r="B20" s="155"/>
      <c r="C20" s="155"/>
      <c r="D20" s="155"/>
      <c r="E20" s="147"/>
      <c r="F20" s="160" t="s">
        <v>220</v>
      </c>
      <c r="G20" s="160"/>
      <c r="H20" s="160"/>
      <c r="I20" s="160"/>
      <c r="M20" s="142" t="s">
        <v>400</v>
      </c>
      <c r="N20" s="142" t="s">
        <v>401</v>
      </c>
    </row>
    <row r="21" spans="1:14" x14ac:dyDescent="0.2">
      <c r="A21" s="143" t="s">
        <v>115</v>
      </c>
      <c r="B21" s="144" t="s">
        <v>104</v>
      </c>
      <c r="C21" s="144" t="s">
        <v>221</v>
      </c>
      <c r="D21" s="145" t="s">
        <v>183</v>
      </c>
      <c r="E21" s="147"/>
      <c r="F21" s="160"/>
      <c r="G21" s="160"/>
      <c r="H21" s="160"/>
      <c r="I21" s="160"/>
      <c r="K21" s="352" t="s">
        <v>399</v>
      </c>
      <c r="L21" s="353"/>
      <c r="M21" s="284" t="str">
        <f>ПЭП!C10&amp;"/"&amp;ПЭП!L7</f>
        <v>0/0</v>
      </c>
      <c r="N21" s="284" t="str">
        <f>ПЭП!D10&amp;"/"&amp;ПЭП!M7</f>
        <v>0/0</v>
      </c>
    </row>
    <row r="22" spans="1:14" x14ac:dyDescent="0.2">
      <c r="A22" s="148" t="s">
        <v>222</v>
      </c>
      <c r="B22" s="135"/>
      <c r="C22" s="142">
        <f>B22*0.1</f>
        <v>0</v>
      </c>
      <c r="D22" s="149">
        <f>C22*4</f>
        <v>0</v>
      </c>
      <c r="E22" s="147"/>
      <c r="F22" s="160" t="s">
        <v>113</v>
      </c>
      <c r="G22" s="160"/>
      <c r="H22" s="160"/>
      <c r="I22" s="161">
        <f>SUM(C2:C18,J2:J4,J8:J17)</f>
        <v>0</v>
      </c>
    </row>
    <row r="23" spans="1:14" x14ac:dyDescent="0.2">
      <c r="A23" s="148" t="s">
        <v>148</v>
      </c>
      <c r="B23" s="135"/>
      <c r="C23" s="142">
        <f>B23*0.2</f>
        <v>0</v>
      </c>
      <c r="D23" s="149">
        <f>C23*4</f>
        <v>0</v>
      </c>
      <c r="F23" s="160" t="s">
        <v>115</v>
      </c>
      <c r="G23" s="160"/>
      <c r="H23" s="160"/>
      <c r="I23" s="161">
        <f>SUM(C22:C24,K2:K4,K8:K17)</f>
        <v>0</v>
      </c>
      <c r="K23" s="352" t="s">
        <v>403</v>
      </c>
      <c r="L23" s="353"/>
      <c r="M23" s="284" t="str">
        <f>ПЭП!C12&amp;"/"&amp;ПЭП!L9</f>
        <v>0/0</v>
      </c>
      <c r="N23" s="284" t="str">
        <f>ПЭП!D11&amp;"/"&amp;ПЭП!M8</f>
        <v>0/0</v>
      </c>
    </row>
    <row r="24" spans="1:14" x14ac:dyDescent="0.2">
      <c r="A24" s="150" t="s">
        <v>223</v>
      </c>
      <c r="B24" s="152"/>
      <c r="C24" s="151">
        <f>B24*0.4</f>
        <v>0</v>
      </c>
      <c r="D24" s="153">
        <f>C24*4</f>
        <v>0</v>
      </c>
      <c r="F24" s="160" t="s">
        <v>117</v>
      </c>
      <c r="G24" s="160"/>
      <c r="H24" s="160"/>
      <c r="I24" s="161">
        <f>SUM(C28:C34,L8:L17)</f>
        <v>0</v>
      </c>
    </row>
    <row r="25" spans="1:14" x14ac:dyDescent="0.2">
      <c r="A25" s="154"/>
      <c r="B25" s="154"/>
      <c r="C25" s="154"/>
      <c r="D25" s="154"/>
      <c r="E25" s="147"/>
      <c r="F25" s="160" t="s">
        <v>119</v>
      </c>
      <c r="G25" s="160"/>
      <c r="H25" s="160"/>
      <c r="I25" s="161">
        <f>SUM(D22:D24,D28:D34,L2:L4,M8:M17)</f>
        <v>0</v>
      </c>
      <c r="K25" s="352" t="s">
        <v>402</v>
      </c>
      <c r="L25" s="353"/>
      <c r="M25" s="284" t="str">
        <f>ПЭП!C13&amp;"/"&amp;ПЭП!L10</f>
        <v>0/0</v>
      </c>
      <c r="N25" s="284" t="str">
        <f>ПЭП!D13&amp;"/"&amp;ПЭП!M10</f>
        <v>0/0</v>
      </c>
    </row>
    <row r="26" spans="1:14" x14ac:dyDescent="0.2">
      <c r="A26" s="155"/>
      <c r="B26" s="155"/>
      <c r="C26" s="155"/>
      <c r="D26" s="155"/>
      <c r="E26" s="147"/>
      <c r="F26" s="160" t="s">
        <v>224</v>
      </c>
      <c r="G26" s="160"/>
      <c r="H26" s="160"/>
      <c r="I26" s="161">
        <f>IF(I22=0,0,SUM(D22:D24,D28:D34,M2:M4,N8:N17)/(I22/6.25))</f>
        <v>0</v>
      </c>
    </row>
    <row r="27" spans="1:14" x14ac:dyDescent="0.2">
      <c r="A27" s="143" t="s">
        <v>225</v>
      </c>
      <c r="B27" s="144" t="s">
        <v>104</v>
      </c>
      <c r="C27" s="144" t="s">
        <v>226</v>
      </c>
      <c r="D27" s="145" t="s">
        <v>183</v>
      </c>
      <c r="E27" s="147"/>
      <c r="F27" s="160" t="s">
        <v>227</v>
      </c>
      <c r="I27" s="161">
        <f>SUM(D22:D24,D28:D34,M2:M4,N8:N17)</f>
        <v>0</v>
      </c>
    </row>
    <row r="28" spans="1:14" x14ac:dyDescent="0.2">
      <c r="A28" s="148" t="s">
        <v>228</v>
      </c>
      <c r="B28" s="135"/>
      <c r="C28" s="142">
        <f>B28*0.1</f>
        <v>0</v>
      </c>
      <c r="D28" s="149">
        <f>B28*1.022</f>
        <v>0</v>
      </c>
      <c r="E28" s="147"/>
    </row>
    <row r="29" spans="1:14" x14ac:dyDescent="0.2">
      <c r="A29" s="148" t="s">
        <v>229</v>
      </c>
      <c r="B29" s="135"/>
      <c r="C29" s="142">
        <f>B29*0.2</f>
        <v>0</v>
      </c>
      <c r="D29" s="149">
        <f>B29*1.908</f>
        <v>0</v>
      </c>
      <c r="E29" s="147"/>
    </row>
    <row r="30" spans="1:14" x14ac:dyDescent="0.2">
      <c r="A30" s="148" t="s">
        <v>230</v>
      </c>
      <c r="B30" s="135"/>
      <c r="C30" s="142">
        <f>B30*0.2</f>
        <v>0</v>
      </c>
      <c r="D30" s="149">
        <f>B30*1.91</f>
        <v>0</v>
      </c>
      <c r="E30" s="147"/>
      <c r="F30" s="160" t="s">
        <v>231</v>
      </c>
      <c r="G30" s="160"/>
      <c r="H30" s="160"/>
      <c r="I30" s="160"/>
    </row>
    <row r="31" spans="1:14" x14ac:dyDescent="0.2">
      <c r="A31" s="148" t="s">
        <v>232</v>
      </c>
      <c r="B31" s="135"/>
      <c r="C31" s="142">
        <f>B31*0.1</f>
        <v>0</v>
      </c>
      <c r="D31" s="149">
        <f>C31*9</f>
        <v>0</v>
      </c>
      <c r="F31" s="160" t="s">
        <v>113</v>
      </c>
      <c r="G31" s="160"/>
      <c r="H31" s="160"/>
      <c r="I31" s="161">
        <f>I22+энтерально!J2</f>
        <v>0</v>
      </c>
    </row>
    <row r="32" spans="1:14" x14ac:dyDescent="0.2">
      <c r="A32" s="148" t="s">
        <v>233</v>
      </c>
      <c r="B32" s="135"/>
      <c r="C32" s="142">
        <f>B32*0.2</f>
        <v>0</v>
      </c>
      <c r="D32" s="149">
        <f>B32*2</f>
        <v>0</v>
      </c>
      <c r="F32" s="160" t="s">
        <v>115</v>
      </c>
      <c r="G32" s="160"/>
      <c r="H32" s="160"/>
      <c r="I32" s="161">
        <f>I23+энтерально!J3</f>
        <v>0</v>
      </c>
    </row>
    <row r="33" spans="1:9" x14ac:dyDescent="0.2">
      <c r="A33" s="148" t="s">
        <v>234</v>
      </c>
      <c r="B33" s="135"/>
      <c r="C33" s="142">
        <f>B33*0.2</f>
        <v>0</v>
      </c>
      <c r="D33" s="149">
        <f>B33*2</f>
        <v>0</v>
      </c>
      <c r="F33" s="160" t="s">
        <v>117</v>
      </c>
      <c r="G33" s="160"/>
      <c r="H33" s="160"/>
      <c r="I33" s="161">
        <f>I24+энтерально!J4</f>
        <v>0</v>
      </c>
    </row>
    <row r="34" spans="1:9" x14ac:dyDescent="0.2">
      <c r="A34" s="150" t="s">
        <v>235</v>
      </c>
      <c r="B34" s="152"/>
      <c r="C34" s="151">
        <f>B34*0.1</f>
        <v>0</v>
      </c>
      <c r="D34" s="153">
        <f>B34*1.12</f>
        <v>0</v>
      </c>
      <c r="F34" s="160" t="s">
        <v>119</v>
      </c>
      <c r="G34" s="160"/>
      <c r="H34" s="160"/>
      <c r="I34" s="161">
        <f>I25+энтерально!J5</f>
        <v>0</v>
      </c>
    </row>
    <row r="35" spans="1:9" x14ac:dyDescent="0.2">
      <c r="A35" s="154"/>
      <c r="B35" s="154"/>
      <c r="C35" s="154"/>
      <c r="D35" s="154"/>
      <c r="F35" s="160" t="s">
        <v>224</v>
      </c>
      <c r="G35" s="160"/>
      <c r="H35" s="160"/>
      <c r="I35" s="161">
        <f>IF(I31=0,0,I36/(I31/6.25))</f>
        <v>0</v>
      </c>
    </row>
    <row r="36" spans="1:9" x14ac:dyDescent="0.2">
      <c r="F36" s="160" t="s">
        <v>227</v>
      </c>
      <c r="G36" s="160"/>
      <c r="H36" s="160"/>
      <c r="I36" s="161">
        <f>I27+энтерально!J6</f>
        <v>0</v>
      </c>
    </row>
  </sheetData>
  <mergeCells count="3">
    <mergeCell ref="K21:L21"/>
    <mergeCell ref="K23:L23"/>
    <mergeCell ref="K25:L25"/>
  </mergeCells>
  <pageMargins left="0.75" right="0.75" top="1" bottom="1" header="0.51180555555555551" footer="0.51180555555555551"/>
  <pageSetup paperSize="9"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indexed="21"/>
  </sheetPr>
  <dimension ref="A1:J54"/>
  <sheetViews>
    <sheetView workbookViewId="0">
      <selection activeCell="B29" sqref="B29"/>
    </sheetView>
  </sheetViews>
  <sheetFormatPr defaultColWidth="9" defaultRowHeight="12.75" x14ac:dyDescent="0.2"/>
  <cols>
    <col min="1" max="1" width="35.28515625" customWidth="1"/>
    <col min="2" max="8" width="9" customWidth="1"/>
    <col min="9" max="9" width="20" customWidth="1"/>
    <col min="10" max="10" width="11.42578125" customWidth="1"/>
  </cols>
  <sheetData>
    <row r="1" spans="1:10" x14ac:dyDescent="0.2">
      <c r="A1" s="129" t="s">
        <v>103</v>
      </c>
      <c r="B1" s="130" t="s">
        <v>104</v>
      </c>
      <c r="C1" s="130" t="s">
        <v>105</v>
      </c>
      <c r="D1" s="130" t="s">
        <v>106</v>
      </c>
      <c r="E1" s="130" t="s">
        <v>107</v>
      </c>
      <c r="F1" s="130" t="s">
        <v>108</v>
      </c>
      <c r="G1" s="131" t="s">
        <v>109</v>
      </c>
    </row>
    <row r="2" spans="1:10" x14ac:dyDescent="0.2">
      <c r="A2" s="134" t="s">
        <v>236</v>
      </c>
      <c r="B2" s="135"/>
      <c r="C2" s="128">
        <f>B2*0.033</f>
        <v>0</v>
      </c>
      <c r="D2" s="128">
        <f>B2*0.139</f>
        <v>0</v>
      </c>
      <c r="E2" s="128">
        <f>B2*0.035</f>
        <v>0</v>
      </c>
      <c r="F2" s="128">
        <f>B2</f>
        <v>0</v>
      </c>
      <c r="G2" s="136">
        <f>(F2/100)*87</f>
        <v>0</v>
      </c>
      <c r="I2" s="133" t="s">
        <v>111</v>
      </c>
      <c r="J2" s="133"/>
    </row>
    <row r="3" spans="1:10" x14ac:dyDescent="0.2">
      <c r="A3" s="140" t="s">
        <v>237</v>
      </c>
      <c r="B3" s="135"/>
      <c r="C3" s="128">
        <f>B3*0.02</f>
        <v>0</v>
      </c>
      <c r="D3" s="128">
        <f>B3*0.073</f>
        <v>0</v>
      </c>
      <c r="E3" s="128">
        <f>B3*0.034</f>
        <v>0</v>
      </c>
      <c r="F3" s="128">
        <f>B3*0.67</f>
        <v>0</v>
      </c>
      <c r="G3" s="139">
        <f>F3*0.893</f>
        <v>0</v>
      </c>
      <c r="I3" s="133" t="s">
        <v>113</v>
      </c>
      <c r="J3" s="138">
        <f>SUM(C2:C52)</f>
        <v>0</v>
      </c>
    </row>
    <row r="4" spans="1:10" x14ac:dyDescent="0.2">
      <c r="A4" s="140" t="s">
        <v>238</v>
      </c>
      <c r="B4" s="135"/>
      <c r="C4" s="128">
        <f>B4*0.016</f>
        <v>0</v>
      </c>
      <c r="D4" s="128">
        <f>B4*0.74</f>
        <v>0</v>
      </c>
      <c r="E4" s="128">
        <f>B4*0.035</f>
        <v>0</v>
      </c>
      <c r="F4" s="128">
        <f>B4*0.68</f>
        <v>0</v>
      </c>
      <c r="G4" s="136">
        <f>B4*0.616</f>
        <v>0</v>
      </c>
      <c r="I4" s="133" t="s">
        <v>115</v>
      </c>
      <c r="J4" s="138">
        <f>SUM(D2:D52)</f>
        <v>0</v>
      </c>
    </row>
    <row r="5" spans="1:10" x14ac:dyDescent="0.2">
      <c r="A5" s="140" t="s">
        <v>239</v>
      </c>
      <c r="B5" s="135"/>
      <c r="C5" s="128">
        <f>B5*0.018</f>
        <v>0</v>
      </c>
      <c r="D5" s="128">
        <f>B5*0.076</f>
        <v>0</v>
      </c>
      <c r="E5" s="128">
        <f>B5*0.036</f>
        <v>0</v>
      </c>
      <c r="F5" s="128">
        <f>B5*0.7</f>
        <v>0</v>
      </c>
      <c r="G5" s="136">
        <f>B5*0.628</f>
        <v>0</v>
      </c>
      <c r="I5" s="133" t="s">
        <v>117</v>
      </c>
      <c r="J5" s="138">
        <f>SUM(E2:E52)</f>
        <v>0</v>
      </c>
    </row>
    <row r="6" spans="1:10" x14ac:dyDescent="0.2">
      <c r="A6" s="140" t="s">
        <v>240</v>
      </c>
      <c r="B6" s="135"/>
      <c r="C6" s="128">
        <f>B6*0.02</f>
        <v>0</v>
      </c>
      <c r="D6" s="128">
        <f>B6*0.101</f>
        <v>0</v>
      </c>
      <c r="E6" s="128">
        <f>B6*0.039</f>
        <v>0</v>
      </c>
      <c r="F6" s="128">
        <f>B6*0.84</f>
        <v>0</v>
      </c>
      <c r="G6" s="136">
        <f>B6*0.76</f>
        <v>0</v>
      </c>
      <c r="I6" s="133" t="s">
        <v>119</v>
      </c>
      <c r="J6" s="138">
        <f>SUM(F2:F52)</f>
        <v>0</v>
      </c>
    </row>
    <row r="7" spans="1:10" x14ac:dyDescent="0.2">
      <c r="A7" s="140" t="s">
        <v>241</v>
      </c>
      <c r="B7" s="135"/>
      <c r="C7" s="128">
        <f>B7*0.0124</f>
        <v>0</v>
      </c>
      <c r="D7" s="128">
        <f>B7*0.075</f>
        <v>0</v>
      </c>
      <c r="E7" s="128">
        <f>B7*0.036</f>
        <v>0</v>
      </c>
      <c r="F7" s="128">
        <f>B7*0.67</f>
        <v>0</v>
      </c>
      <c r="G7" s="139">
        <f>F7*0.9313</f>
        <v>0</v>
      </c>
      <c r="I7" s="133" t="s">
        <v>109</v>
      </c>
      <c r="J7" s="138">
        <f>SUM(G2:G52)</f>
        <v>0</v>
      </c>
    </row>
    <row r="8" spans="1:10" x14ac:dyDescent="0.2">
      <c r="A8" s="140" t="s">
        <v>242</v>
      </c>
      <c r="B8" s="135"/>
      <c r="C8" s="128">
        <f>B8*0.0168</f>
        <v>0</v>
      </c>
      <c r="D8" s="128">
        <f>B8*0.0869</f>
        <v>0</v>
      </c>
      <c r="E8" s="128">
        <f>B8*0.0286</f>
        <v>0</v>
      </c>
      <c r="F8" s="128">
        <f>B8*0.67</f>
        <v>0</v>
      </c>
      <c r="G8" s="136">
        <f>B8*0.6028</f>
        <v>0</v>
      </c>
      <c r="I8" s="133" t="s">
        <v>122</v>
      </c>
      <c r="J8" s="138">
        <f>IF(J3=0,0,J7/(J3/6.25))</f>
        <v>0</v>
      </c>
    </row>
    <row r="9" spans="1:10" x14ac:dyDescent="0.2">
      <c r="A9" s="140" t="s">
        <v>243</v>
      </c>
      <c r="B9" s="135"/>
      <c r="C9" s="128">
        <f>B9*0.017</f>
        <v>0</v>
      </c>
      <c r="D9" s="128">
        <f>B9*0.084</f>
        <v>0</v>
      </c>
      <c r="E9" s="128">
        <f>B9*0.0295</f>
        <v>0</v>
      </c>
      <c r="F9" s="128">
        <f>B9*0.67</f>
        <v>0</v>
      </c>
      <c r="G9" s="136">
        <f>B9*0.602</f>
        <v>0</v>
      </c>
    </row>
    <row r="10" spans="1:10" x14ac:dyDescent="0.2">
      <c r="A10" s="140" t="s">
        <v>244</v>
      </c>
      <c r="B10" s="135"/>
      <c r="C10" s="128">
        <f>B10*0.014</f>
        <v>0</v>
      </c>
      <c r="D10" s="128">
        <f>B10*0.078</f>
        <v>0</v>
      </c>
      <c r="E10" s="128">
        <f>B10*0.033</f>
        <v>0</v>
      </c>
      <c r="F10" s="128">
        <f>B10*0.67</f>
        <v>0</v>
      </c>
      <c r="G10" s="139">
        <f>F10*0.9089</f>
        <v>0</v>
      </c>
    </row>
    <row r="11" spans="1:10" x14ac:dyDescent="0.2">
      <c r="A11" s="140" t="s">
        <v>245</v>
      </c>
      <c r="B11" s="135"/>
      <c r="C11" s="128">
        <f>B11*0.015</f>
        <v>0</v>
      </c>
      <c r="D11" s="128">
        <f>B11*0.076</f>
        <v>0</v>
      </c>
      <c r="E11" s="128">
        <f>B11*0.034</f>
        <v>0</v>
      </c>
      <c r="F11" s="128">
        <f>B11*0.67</f>
        <v>0</v>
      </c>
      <c r="G11" s="136">
        <f>B11*0.61</f>
        <v>0</v>
      </c>
    </row>
    <row r="12" spans="1:10" x14ac:dyDescent="0.2">
      <c r="A12" s="140" t="s">
        <v>246</v>
      </c>
      <c r="B12" s="135"/>
      <c r="C12" s="128">
        <f>B12*0.018</f>
        <v>0</v>
      </c>
      <c r="D12" s="128">
        <f>B12*0.081</f>
        <v>0</v>
      </c>
      <c r="E12" s="128">
        <f>B12*0.04</f>
        <v>0</v>
      </c>
      <c r="F12" s="128">
        <f>B12*0.756</f>
        <v>0</v>
      </c>
      <c r="G12" s="136">
        <f>B12*0.684</f>
        <v>0</v>
      </c>
    </row>
    <row r="13" spans="1:10" x14ac:dyDescent="0.2">
      <c r="A13" s="140" t="s">
        <v>247</v>
      </c>
      <c r="B13" s="135"/>
      <c r="C13" s="128">
        <f>B13*0.014</f>
        <v>0</v>
      </c>
      <c r="D13" s="128">
        <f>B13*0.0746</f>
        <v>0</v>
      </c>
      <c r="E13" s="128">
        <f>B13*0.0348</f>
        <v>0</v>
      </c>
      <c r="F13" s="128">
        <f>B13*0.67</f>
        <v>0</v>
      </c>
      <c r="G13" s="136">
        <f>B13*0.614</f>
        <v>0</v>
      </c>
    </row>
    <row r="14" spans="1:10" x14ac:dyDescent="0.2">
      <c r="A14" s="140" t="s">
        <v>248</v>
      </c>
      <c r="B14" s="135"/>
      <c r="C14" s="128">
        <f>B14*0.0202</f>
        <v>0</v>
      </c>
      <c r="D14" s="128">
        <f>C14*0.0202</f>
        <v>0</v>
      </c>
      <c r="E14" s="128">
        <f>D14*0.0202</f>
        <v>0</v>
      </c>
      <c r="F14" s="128">
        <f>E14*0.0202</f>
        <v>0</v>
      </c>
      <c r="G14" s="136">
        <f>F14*0.0202</f>
        <v>0</v>
      </c>
    </row>
    <row r="15" spans="1:10" x14ac:dyDescent="0.2">
      <c r="A15" s="140" t="s">
        <v>249</v>
      </c>
      <c r="B15" s="135"/>
      <c r="C15" s="128">
        <f>B15*0.026</f>
        <v>0</v>
      </c>
      <c r="D15" s="128">
        <f>B15*0.084</f>
        <v>0</v>
      </c>
      <c r="E15" s="128">
        <f>B15*0.039</f>
        <v>0</v>
      </c>
      <c r="F15" s="128">
        <f>B15*0.79</f>
        <v>0</v>
      </c>
      <c r="G15" s="139">
        <f>F15*0.8696</f>
        <v>0</v>
      </c>
    </row>
    <row r="16" spans="1:10" x14ac:dyDescent="0.2">
      <c r="A16" s="140" t="s">
        <v>250</v>
      </c>
      <c r="B16" s="135"/>
      <c r="C16" s="128">
        <f>B16*0.02</f>
        <v>0</v>
      </c>
      <c r="D16" s="128">
        <f>B16*0.075</f>
        <v>0</v>
      </c>
      <c r="E16" s="128">
        <f>B16*0.04</f>
        <v>0</v>
      </c>
      <c r="F16" s="128">
        <f>B16*0.74</f>
        <v>0</v>
      </c>
      <c r="G16" s="139">
        <f>F16*0.8919</f>
        <v>0</v>
      </c>
    </row>
    <row r="17" spans="1:7" x14ac:dyDescent="0.2">
      <c r="A17" s="140" t="s">
        <v>251</v>
      </c>
      <c r="B17" s="135"/>
      <c r="C17" s="128">
        <f>B17*0.014</f>
        <v>0</v>
      </c>
      <c r="D17" s="128">
        <f>B17*0.075</f>
        <v>0</v>
      </c>
      <c r="E17" s="128">
        <f>B17*0.035</f>
        <v>0</v>
      </c>
      <c r="F17" s="128">
        <f>B17*0.67</f>
        <v>0</v>
      </c>
      <c r="G17" s="136">
        <f>B17*0.614</f>
        <v>0</v>
      </c>
    </row>
    <row r="18" spans="1:7" x14ac:dyDescent="0.2">
      <c r="A18" s="140" t="s">
        <v>252</v>
      </c>
      <c r="B18" s="135"/>
      <c r="C18" s="128">
        <f>B18*0.018</f>
        <v>0</v>
      </c>
      <c r="D18" s="128">
        <f>B18*0.081</f>
        <v>0</v>
      </c>
      <c r="E18" s="128">
        <f>B18*0.034</f>
        <v>0</v>
      </c>
      <c r="F18" s="128">
        <f>B18*0.7</f>
        <v>0</v>
      </c>
      <c r="G18" s="136">
        <f>B18*0.628</f>
        <v>0</v>
      </c>
    </row>
    <row r="19" spans="1:7" x14ac:dyDescent="0.2">
      <c r="A19" s="140" t="s">
        <v>253</v>
      </c>
      <c r="B19" s="135"/>
      <c r="C19" s="128">
        <f>B19*0.019</f>
        <v>0</v>
      </c>
      <c r="D19" s="128">
        <f>B19*0.099</f>
        <v>0</v>
      </c>
      <c r="E19" s="128">
        <f>B19*0.033</f>
        <v>0</v>
      </c>
      <c r="F19" s="128">
        <f>B19*0.77</f>
        <v>0</v>
      </c>
      <c r="G19" s="136">
        <f>B19*0.694</f>
        <v>0</v>
      </c>
    </row>
    <row r="20" spans="1:7" x14ac:dyDescent="0.2">
      <c r="A20" s="140" t="s">
        <v>254</v>
      </c>
      <c r="B20" s="135"/>
      <c r="C20" s="128">
        <f>B20*0.017</f>
        <v>0</v>
      </c>
      <c r="D20" s="128">
        <f>B20*0.081</f>
        <v>0</v>
      </c>
      <c r="E20" s="128">
        <f>B20*0.031</f>
        <v>0</v>
      </c>
      <c r="F20" s="128">
        <f>B20*0.67</f>
        <v>0</v>
      </c>
      <c r="G20" s="136">
        <f>B20*0.602</f>
        <v>0</v>
      </c>
    </row>
    <row r="21" spans="1:7" x14ac:dyDescent="0.2">
      <c r="A21" s="140" t="s">
        <v>255</v>
      </c>
      <c r="B21" s="135"/>
      <c r="C21" s="128">
        <f>B21*0.016</f>
        <v>0</v>
      </c>
      <c r="D21" s="128">
        <f>B21*0.073</f>
        <v>0</v>
      </c>
      <c r="E21" s="128">
        <f>B21*0.035</f>
        <v>0</v>
      </c>
      <c r="F21" s="128">
        <f>B21*0.67</f>
        <v>0</v>
      </c>
      <c r="G21" s="136">
        <f>B21*0.606</f>
        <v>0</v>
      </c>
    </row>
    <row r="22" spans="1:7" x14ac:dyDescent="0.2">
      <c r="A22" s="140" t="s">
        <v>256</v>
      </c>
      <c r="B22" s="135"/>
      <c r="C22" s="128">
        <f>B22*0.018</f>
        <v>0</v>
      </c>
      <c r="D22" s="128">
        <f>B22*0.079</f>
        <v>0</v>
      </c>
      <c r="E22" s="128">
        <f>B22*0.035</f>
        <v>0</v>
      </c>
      <c r="F22" s="128">
        <f>B22*0.7</f>
        <v>0</v>
      </c>
      <c r="G22" s="136">
        <f>B22*0.628</f>
        <v>0</v>
      </c>
    </row>
    <row r="23" spans="1:7" x14ac:dyDescent="0.2">
      <c r="A23" s="140" t="s">
        <v>257</v>
      </c>
      <c r="B23" s="135"/>
      <c r="C23" s="128">
        <f>B23*0.015</f>
        <v>0</v>
      </c>
      <c r="D23" s="128">
        <f>B23*0.071</f>
        <v>0</v>
      </c>
      <c r="E23" s="128">
        <f>B23*0.034</f>
        <v>0</v>
      </c>
      <c r="F23" s="128">
        <f>B23*0.65</f>
        <v>0</v>
      </c>
      <c r="G23" s="139">
        <f>F23*0.908</f>
        <v>0</v>
      </c>
    </row>
    <row r="24" spans="1:7" x14ac:dyDescent="0.2">
      <c r="A24" s="140" t="s">
        <v>258</v>
      </c>
      <c r="B24" s="135"/>
      <c r="C24" s="128">
        <f>B24*0.019</f>
        <v>0</v>
      </c>
      <c r="D24" s="128">
        <f>B24*0.87</f>
        <v>0</v>
      </c>
      <c r="E24" s="128">
        <f>B24*0.033</f>
        <v>0</v>
      </c>
      <c r="F24" s="128">
        <f>B24*0.72</f>
        <v>0</v>
      </c>
      <c r="G24" s="136">
        <f>B24*0.644</f>
        <v>0</v>
      </c>
    </row>
    <row r="25" spans="1:7" x14ac:dyDescent="0.2">
      <c r="A25" s="140" t="s">
        <v>259</v>
      </c>
      <c r="B25" s="135"/>
      <c r="C25" s="128">
        <f>B25*0.014</f>
        <v>0</v>
      </c>
      <c r="D25" s="128">
        <f>B25*0.07</f>
        <v>0</v>
      </c>
      <c r="E25" s="128">
        <f>B25*0.036</f>
        <v>0</v>
      </c>
      <c r="F25" s="128">
        <f>B25*0.66</f>
        <v>0</v>
      </c>
      <c r="G25" s="136">
        <f>B25*0.604</f>
        <v>0</v>
      </c>
    </row>
    <row r="26" spans="1:7" x14ac:dyDescent="0.2">
      <c r="A26" s="140" t="s">
        <v>260</v>
      </c>
      <c r="B26" s="135"/>
      <c r="C26" s="128">
        <f>B26*0.018</f>
        <v>0</v>
      </c>
      <c r="D26" s="128">
        <f>B26*0.068</f>
        <v>0</v>
      </c>
      <c r="E26" s="128">
        <f>B26*0.035</f>
        <v>0</v>
      </c>
      <c r="F26" s="128">
        <f>B26*0.66</f>
        <v>0</v>
      </c>
      <c r="G26" s="139">
        <f>F26*0.8894</f>
        <v>0</v>
      </c>
    </row>
    <row r="27" spans="1:7" x14ac:dyDescent="0.2">
      <c r="A27" s="140" t="s">
        <v>261</v>
      </c>
      <c r="B27" s="135"/>
      <c r="C27" s="128">
        <f>B27*0.013</f>
        <v>0</v>
      </c>
      <c r="D27" s="128">
        <f>B27*0.073</f>
        <v>0</v>
      </c>
      <c r="E27" s="128">
        <f>B27*0.035</f>
        <v>0</v>
      </c>
      <c r="F27" s="128">
        <f>B27*0.66</f>
        <v>0</v>
      </c>
      <c r="G27" s="139">
        <f>F27*0.9196</f>
        <v>0</v>
      </c>
    </row>
    <row r="28" spans="1:7" x14ac:dyDescent="0.2">
      <c r="A28" s="140" t="s">
        <v>262</v>
      </c>
      <c r="B28" s="135"/>
      <c r="C28" s="128">
        <f>B28*0.018</f>
        <v>0</v>
      </c>
      <c r="D28" s="128">
        <f>B28*0.071</f>
        <v>0</v>
      </c>
      <c r="E28" s="128">
        <f>B28*0.036</f>
        <v>0</v>
      </c>
      <c r="F28" s="128">
        <f>B28*0.68</f>
        <v>0</v>
      </c>
      <c r="G28" s="136">
        <f>B28*0.608</f>
        <v>0</v>
      </c>
    </row>
    <row r="29" spans="1:7" x14ac:dyDescent="0.2">
      <c r="A29" s="140" t="s">
        <v>263</v>
      </c>
      <c r="B29" s="135"/>
      <c r="C29" s="128">
        <f>B29*0.026</f>
        <v>0</v>
      </c>
      <c r="D29" s="128">
        <f>B29*0.103</f>
        <v>0</v>
      </c>
      <c r="E29" s="128">
        <f>B29*0.054</f>
        <v>0</v>
      </c>
      <c r="F29" s="128">
        <f>B29*1</f>
        <v>0</v>
      </c>
      <c r="G29" s="139">
        <f>B29*0.898</f>
        <v>0</v>
      </c>
    </row>
    <row r="30" spans="1:7" x14ac:dyDescent="0.2">
      <c r="A30" s="140" t="s">
        <v>264</v>
      </c>
      <c r="B30" s="135"/>
      <c r="C30" s="128">
        <f>B30*0.025</f>
        <v>0</v>
      </c>
      <c r="D30" s="128">
        <f>B30*0.125</f>
        <v>0</v>
      </c>
      <c r="E30" s="128">
        <f>B30*0.044</f>
        <v>0</v>
      </c>
      <c r="F30" s="128">
        <f>B30</f>
        <v>0</v>
      </c>
      <c r="G30" s="139">
        <f>(F30/100)*90</f>
        <v>0</v>
      </c>
    </row>
    <row r="31" spans="1:7" x14ac:dyDescent="0.2">
      <c r="A31" s="140" t="s">
        <v>265</v>
      </c>
      <c r="B31" s="135"/>
      <c r="C31" s="128">
        <f>B31*0.025</f>
        <v>0</v>
      </c>
      <c r="D31" s="128">
        <f>B31*0.125</f>
        <v>0</v>
      </c>
      <c r="E31" s="128">
        <f>B31*0.044</f>
        <v>0</v>
      </c>
      <c r="F31" s="128">
        <f>B31</f>
        <v>0</v>
      </c>
      <c r="G31" s="139">
        <f>(F31/100)*90</f>
        <v>0</v>
      </c>
    </row>
    <row r="32" spans="1:7" x14ac:dyDescent="0.2">
      <c r="A32" s="140" t="s">
        <v>266</v>
      </c>
      <c r="B32" s="135"/>
      <c r="C32" s="128">
        <f>B32*0.041</f>
        <v>0</v>
      </c>
      <c r="D32" s="128">
        <f>B32*0.185</f>
        <v>0</v>
      </c>
      <c r="E32" s="128">
        <f>B32*0.067</f>
        <v>0</v>
      </c>
      <c r="F32" s="128">
        <f>B32*1.5</f>
        <v>0</v>
      </c>
      <c r="G32" s="139">
        <f>(F32/100)*89.1</f>
        <v>0</v>
      </c>
    </row>
    <row r="33" spans="1:7" x14ac:dyDescent="0.2">
      <c r="A33" s="140" t="s">
        <v>267</v>
      </c>
      <c r="B33" s="135"/>
      <c r="C33" s="128">
        <f>B33*0.033</f>
        <v>0</v>
      </c>
      <c r="D33" s="128">
        <f>B33*0.188</f>
        <v>0</v>
      </c>
      <c r="E33" s="128">
        <f>B33*0.068</f>
        <v>0</v>
      </c>
      <c r="F33" s="128">
        <f>B33*1.53</f>
        <v>0</v>
      </c>
      <c r="G33" s="139">
        <f>(F33/100)*91.4</f>
        <v>0</v>
      </c>
    </row>
    <row r="34" spans="1:7" x14ac:dyDescent="0.2">
      <c r="A34" s="140" t="s">
        <v>268</v>
      </c>
      <c r="B34" s="135"/>
      <c r="C34" s="128">
        <f>B34*0.028</f>
        <v>0</v>
      </c>
      <c r="D34" s="128">
        <f>B34*0.0812</f>
        <v>0</v>
      </c>
      <c r="E34" s="128">
        <f>B34*0.04</f>
        <v>0</v>
      </c>
      <c r="F34" s="128">
        <f>B34*0.8</f>
        <v>0</v>
      </c>
      <c r="G34" s="139">
        <f>F34*0.856</f>
        <v>0</v>
      </c>
    </row>
    <row r="35" spans="1:7" x14ac:dyDescent="0.2">
      <c r="A35" s="140" t="s">
        <v>269</v>
      </c>
      <c r="B35" s="135"/>
      <c r="C35" s="128">
        <f>B35*0.02</f>
        <v>0</v>
      </c>
      <c r="D35" s="128">
        <f>B35*0.0749</f>
        <v>0</v>
      </c>
      <c r="E35" s="128">
        <f>B35*0.037</f>
        <v>0</v>
      </c>
      <c r="F35" s="128">
        <f>B35*0.7</f>
        <v>0</v>
      </c>
      <c r="G35" s="139">
        <f>F35*0.9037</f>
        <v>0</v>
      </c>
    </row>
    <row r="36" spans="1:7" x14ac:dyDescent="0.2">
      <c r="A36" s="140" t="s">
        <v>270</v>
      </c>
      <c r="B36" s="135"/>
      <c r="C36" s="128">
        <f>B36*0.0267</f>
        <v>0</v>
      </c>
      <c r="D36" s="128">
        <f>B36*0.081</f>
        <v>0</v>
      </c>
      <c r="E36" s="128">
        <f>B36*0.0435</f>
        <v>0</v>
      </c>
      <c r="F36" s="128">
        <f>B36*0.82</f>
        <v>0</v>
      </c>
      <c r="G36" s="139">
        <f>F36*0.8726</f>
        <v>0</v>
      </c>
    </row>
    <row r="37" spans="1:7" x14ac:dyDescent="0.2">
      <c r="A37" s="140" t="s">
        <v>271</v>
      </c>
      <c r="B37" s="135"/>
      <c r="C37" s="128">
        <f>B37*0.019</f>
        <v>0</v>
      </c>
      <c r="D37" s="128">
        <f>B37*0.077</f>
        <v>0</v>
      </c>
      <c r="E37" s="128">
        <f>B37*0.041</f>
        <v>0</v>
      </c>
      <c r="F37" s="128">
        <f>B37*0.75</f>
        <v>0</v>
      </c>
      <c r="G37" s="139">
        <f>F37*0.9027</f>
        <v>0</v>
      </c>
    </row>
    <row r="38" spans="1:7" x14ac:dyDescent="0.2">
      <c r="A38" s="140" t="s">
        <v>272</v>
      </c>
      <c r="B38" s="135"/>
      <c r="C38" s="128">
        <f>B38*0.015</f>
        <v>0</v>
      </c>
      <c r="D38" s="128">
        <f>B38*0.0776</f>
        <v>0</v>
      </c>
      <c r="E38" s="128">
        <f>B38*0.0322</f>
        <v>0</v>
      </c>
      <c r="F38" s="128">
        <f>B38*0.66</f>
        <v>0</v>
      </c>
      <c r="G38" s="139">
        <f>F38*0.9094</f>
        <v>0</v>
      </c>
    </row>
    <row r="39" spans="1:7" x14ac:dyDescent="0.2">
      <c r="A39" s="140" t="s">
        <v>273</v>
      </c>
      <c r="B39" s="135"/>
      <c r="C39" s="128">
        <f>B39*0.0145</f>
        <v>0</v>
      </c>
      <c r="D39" s="128">
        <f>B39*0.0721</f>
        <v>0</v>
      </c>
      <c r="E39" s="128">
        <f>B39*0.0365</f>
        <v>0</v>
      </c>
      <c r="F39" s="128">
        <f>B39*0.68</f>
        <v>0</v>
      </c>
      <c r="G39" s="139">
        <f>F39*0.9072</f>
        <v>0</v>
      </c>
    </row>
    <row r="40" spans="1:7" x14ac:dyDescent="0.2">
      <c r="A40" s="140" t="s">
        <v>274</v>
      </c>
      <c r="B40" s="135"/>
      <c r="C40" s="128">
        <f>B40*0.018</f>
        <v>0</v>
      </c>
      <c r="D40" s="128">
        <f>B40*0.072</f>
        <v>0</v>
      </c>
      <c r="E40" s="128">
        <f>B40*0.034</f>
        <v>0</v>
      </c>
      <c r="F40" s="128">
        <f>B40*0.67</f>
        <v>0</v>
      </c>
      <c r="G40" s="136">
        <f>(F40/100)*90</f>
        <v>0</v>
      </c>
    </row>
    <row r="41" spans="1:7" x14ac:dyDescent="0.2">
      <c r="A41" s="140" t="s">
        <v>275</v>
      </c>
      <c r="B41" s="135"/>
      <c r="C41" s="128">
        <f>B41*0.025</f>
        <v>0</v>
      </c>
      <c r="D41" s="128">
        <f>B41*0.146</f>
        <v>0</v>
      </c>
      <c r="E41" s="128">
        <f>B41*0.035</f>
        <v>0</v>
      </c>
      <c r="F41" s="128">
        <f>B41</f>
        <v>0</v>
      </c>
      <c r="G41" s="136">
        <f>(F41/100)*90</f>
        <v>0</v>
      </c>
    </row>
    <row r="42" spans="1:7" x14ac:dyDescent="0.2">
      <c r="A42" s="140" t="s">
        <v>276</v>
      </c>
      <c r="B42" s="135"/>
      <c r="C42" s="128">
        <f>B42*0.018</f>
        <v>0</v>
      </c>
      <c r="D42" s="128">
        <f>B42*0.068</f>
        <v>0</v>
      </c>
      <c r="E42" s="128">
        <f>B42*0.035</f>
        <v>0</v>
      </c>
      <c r="F42" s="128">
        <f>B42*0.66</f>
        <v>0</v>
      </c>
      <c r="G42" s="136">
        <f>(F42/100)*89</f>
        <v>0</v>
      </c>
    </row>
    <row r="43" spans="1:7" x14ac:dyDescent="0.2">
      <c r="A43" s="140" t="s">
        <v>277</v>
      </c>
      <c r="B43" s="135"/>
      <c r="C43" s="128">
        <f>B43*0.014</f>
        <v>0</v>
      </c>
      <c r="D43" s="128">
        <f>B43*0.068</f>
        <v>0</v>
      </c>
      <c r="E43" s="128">
        <f>B43*0.035</f>
        <v>0</v>
      </c>
      <c r="F43" s="128">
        <f>B43*0.65</f>
        <v>0</v>
      </c>
      <c r="G43" s="139">
        <f>F43*0.9031</f>
        <v>0</v>
      </c>
    </row>
    <row r="44" spans="1:7" x14ac:dyDescent="0.2">
      <c r="A44" s="140" t="s">
        <v>278</v>
      </c>
      <c r="B44" s="135"/>
      <c r="C44" s="128">
        <f>B44*0.018</f>
        <v>0</v>
      </c>
      <c r="D44" s="128">
        <f>B44*0.089</f>
        <v>0</v>
      </c>
      <c r="E44" s="128">
        <f>B44*0.032</f>
        <v>0</v>
      </c>
      <c r="F44" s="128">
        <f>B44*0.72</f>
        <v>0</v>
      </c>
      <c r="G44" s="136">
        <f>B44*0.648</f>
        <v>0</v>
      </c>
    </row>
    <row r="45" spans="1:7" x14ac:dyDescent="0.2">
      <c r="A45" s="140" t="s">
        <v>279</v>
      </c>
      <c r="B45" s="135"/>
      <c r="C45" s="128">
        <f>B45*0.014</f>
        <v>0</v>
      </c>
      <c r="D45" s="128">
        <f>B45*0.073</f>
        <v>0</v>
      </c>
      <c r="E45" s="128">
        <f>B45*0.035</f>
        <v>0</v>
      </c>
      <c r="F45" s="128">
        <f>B45*0.66</f>
        <v>0</v>
      </c>
      <c r="G45" s="139">
        <f>F45*0.9339</f>
        <v>0</v>
      </c>
    </row>
    <row r="46" spans="1:7" x14ac:dyDescent="0.2">
      <c r="A46" s="140" t="s">
        <v>280</v>
      </c>
      <c r="B46" s="135"/>
      <c r="C46" s="128">
        <f>B46*0.018</f>
        <v>0</v>
      </c>
      <c r="D46" s="128">
        <f>B46*0.089</f>
        <v>0</v>
      </c>
      <c r="E46" s="128">
        <f>B46*0.032</f>
        <v>0</v>
      </c>
      <c r="F46" s="128">
        <f>B46*0.72</f>
        <v>0</v>
      </c>
      <c r="G46" s="136">
        <f>B46*0.648</f>
        <v>0</v>
      </c>
    </row>
    <row r="47" spans="1:7" x14ac:dyDescent="0.2">
      <c r="A47" s="140" t="s">
        <v>281</v>
      </c>
      <c r="B47" s="135"/>
      <c r="C47" s="128">
        <f>B47*0.027</f>
        <v>0</v>
      </c>
      <c r="D47" s="128">
        <f>B47*0.098</f>
        <v>0</v>
      </c>
      <c r="E47" s="128">
        <f>B47*0.025</f>
        <v>0</v>
      </c>
      <c r="F47" s="128">
        <f>B47*0.73</f>
        <v>0</v>
      </c>
      <c r="G47" s="136">
        <f>B47*0.622</f>
        <v>0</v>
      </c>
    </row>
    <row r="48" spans="1:7" x14ac:dyDescent="0.2">
      <c r="A48" s="140" t="s">
        <v>282</v>
      </c>
      <c r="B48" s="135"/>
      <c r="C48" s="128">
        <f>B48*0.015</f>
        <v>0</v>
      </c>
      <c r="D48" s="128">
        <f>B48*0.072</f>
        <v>0</v>
      </c>
      <c r="E48" s="128">
        <f>B48*0.035</f>
        <v>0</v>
      </c>
      <c r="F48" s="128">
        <f>B48*0.67</f>
        <v>0</v>
      </c>
      <c r="G48" s="136">
        <f>B48*0.61</f>
        <v>0</v>
      </c>
    </row>
    <row r="49" spans="1:7" x14ac:dyDescent="0.2">
      <c r="A49" s="140" t="s">
        <v>283</v>
      </c>
      <c r="B49" s="135"/>
      <c r="C49" s="128">
        <f>B49*0.018</f>
        <v>0</v>
      </c>
      <c r="D49" s="128">
        <f>B49*0.09</f>
        <v>0</v>
      </c>
      <c r="E49" s="128">
        <f>B49*0.033</f>
        <v>0</v>
      </c>
      <c r="F49" s="128">
        <f>B49*0.74</f>
        <v>0</v>
      </c>
      <c r="G49" s="136">
        <f>B49*0.668</f>
        <v>0</v>
      </c>
    </row>
    <row r="50" spans="1:7" x14ac:dyDescent="0.2">
      <c r="A50" s="140" t="s">
        <v>284</v>
      </c>
      <c r="B50" s="135"/>
      <c r="C50" s="128">
        <f>B50*0.015</f>
        <v>0</v>
      </c>
      <c r="D50" s="128">
        <f>B50*0.072</f>
        <v>0</v>
      </c>
      <c r="E50" s="128">
        <f>B50*0.035</f>
        <v>0</v>
      </c>
      <c r="F50" s="128">
        <f>B50*0.67</f>
        <v>0</v>
      </c>
      <c r="G50" s="136">
        <f>B50*0.61</f>
        <v>0</v>
      </c>
    </row>
    <row r="51" spans="1:7" x14ac:dyDescent="0.2">
      <c r="A51" s="140" t="s">
        <v>285</v>
      </c>
      <c r="B51" s="135"/>
      <c r="C51" s="128">
        <f>B51*0.022</f>
        <v>0</v>
      </c>
      <c r="D51" s="128">
        <f>B51*0.082</f>
        <v>0</v>
      </c>
      <c r="E51" s="128">
        <f>B51*0.043</f>
        <v>0</v>
      </c>
      <c r="F51" s="128">
        <f>B51*0.8</f>
        <v>0</v>
      </c>
      <c r="G51" s="136">
        <f>B51*0.712</f>
        <v>0</v>
      </c>
    </row>
    <row r="52" spans="1:7" x14ac:dyDescent="0.2">
      <c r="A52" s="140" t="s">
        <v>286</v>
      </c>
      <c r="B52" s="135"/>
      <c r="C52" s="128">
        <f>B52*0.028875</f>
        <v>0</v>
      </c>
      <c r="D52" s="128">
        <f>B52*0.107625</f>
        <v>0</v>
      </c>
      <c r="E52" s="128">
        <f>B52*0.0564375</f>
        <v>0</v>
      </c>
      <c r="F52" s="128">
        <f>B52*1.05</f>
        <v>0</v>
      </c>
      <c r="G52" s="136">
        <f>B52*0.9345</f>
        <v>0</v>
      </c>
    </row>
    <row r="53" spans="1:7" x14ac:dyDescent="0.2">
      <c r="A53" s="140" t="s">
        <v>287</v>
      </c>
      <c r="B53" s="162"/>
      <c r="C53" s="128">
        <f>B53*0.02095</f>
        <v>0</v>
      </c>
      <c r="D53" s="128">
        <f>B53*0.072297</f>
        <v>0</v>
      </c>
      <c r="E53" s="128">
        <f>B53*0.03243</f>
        <v>0</v>
      </c>
      <c r="F53" s="128">
        <f>B53*0.6757</f>
        <v>0</v>
      </c>
      <c r="G53" s="136">
        <f>(F53/100)*85</f>
        <v>0</v>
      </c>
    </row>
    <row r="54" spans="1:7" x14ac:dyDescent="0.2">
      <c r="A54" s="140" t="s">
        <v>288</v>
      </c>
      <c r="B54" s="163"/>
      <c r="C54" s="128">
        <f>B54*0.02996</f>
        <v>0</v>
      </c>
      <c r="D54" s="128">
        <f>B54*0.1338</f>
        <v>0</v>
      </c>
      <c r="E54" s="128">
        <f>B54*0.04051</f>
        <v>0</v>
      </c>
      <c r="F54" s="128">
        <f>B54*1</f>
        <v>0</v>
      </c>
      <c r="G54" s="136">
        <f>(F54/100)*88</f>
        <v>0</v>
      </c>
    </row>
  </sheetData>
  <sheetProtection sheet="1" objects="1" scenarios="1"/>
  <pageMargins left="0.75" right="0.75" top="1" bottom="1" header="0.51180555555555551" footer="0.51180555555555551"/>
  <pageSetup paperSize="9" firstPageNumber="0"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A27" sqref="A27:B27"/>
    </sheetView>
  </sheetViews>
  <sheetFormatPr defaultColWidth="9" defaultRowHeight="12.75" x14ac:dyDescent="0.2"/>
  <cols>
    <col min="1" max="1" width="13.42578125" customWidth="1"/>
  </cols>
  <sheetData>
    <row r="1" spans="1:10" x14ac:dyDescent="0.2">
      <c r="A1" s="362" t="s">
        <v>289</v>
      </c>
      <c r="B1" s="362"/>
      <c r="C1" s="362"/>
      <c r="D1" s="362"/>
      <c r="E1" s="362"/>
      <c r="F1" s="362"/>
      <c r="G1" s="362"/>
      <c r="H1" s="362"/>
      <c r="I1" s="362"/>
      <c r="J1" s="362"/>
    </row>
    <row r="2" spans="1:10" ht="9" customHeight="1" x14ac:dyDescent="0.2">
      <c r="A2" s="362"/>
      <c r="B2" s="362"/>
      <c r="C2" s="362"/>
      <c r="D2" s="362"/>
      <c r="E2" s="362"/>
      <c r="F2" s="362"/>
      <c r="G2" s="362"/>
      <c r="H2" s="362"/>
      <c r="I2" s="362"/>
      <c r="J2" s="362"/>
    </row>
    <row r="3" spans="1:10" ht="14.65" customHeight="1" x14ac:dyDescent="0.2">
      <c r="A3" s="164" t="s">
        <v>290</v>
      </c>
      <c r="B3" s="355">
        <f>Фамилия</f>
        <v>0</v>
      </c>
      <c r="C3" s="355"/>
      <c r="D3" s="367">
        <f>Имя</f>
        <v>0</v>
      </c>
      <c r="E3" s="367"/>
      <c r="F3" s="367">
        <f>Отчество</f>
        <v>0</v>
      </c>
      <c r="G3" s="367"/>
      <c r="H3" s="201" t="s">
        <v>291</v>
      </c>
      <c r="I3" s="363">
        <f>номеристории</f>
        <v>0</v>
      </c>
      <c r="J3" s="364"/>
    </row>
    <row r="4" spans="1:10" x14ac:dyDescent="0.2">
      <c r="B4" s="356"/>
      <c r="C4" s="356"/>
      <c r="D4" s="368"/>
      <c r="E4" s="368"/>
      <c r="F4" s="368"/>
      <c r="G4" s="368"/>
      <c r="H4" s="202"/>
    </row>
    <row r="5" spans="1:10" x14ac:dyDescent="0.2">
      <c r="A5" s="365" t="s">
        <v>2</v>
      </c>
      <c r="B5" s="365"/>
      <c r="C5" s="366">
        <f>Памятка!E3</f>
        <v>0</v>
      </c>
      <c r="D5" s="366"/>
    </row>
    <row r="7" spans="1:10" x14ac:dyDescent="0.2">
      <c r="A7" s="360" t="s">
        <v>33</v>
      </c>
      <c r="B7" s="360"/>
      <c r="C7" s="165"/>
      <c r="D7" s="165"/>
      <c r="E7" s="165"/>
      <c r="F7" s="165"/>
      <c r="G7" s="165"/>
      <c r="H7" s="165"/>
      <c r="I7" s="165"/>
      <c r="J7" s="165"/>
    </row>
    <row r="8" spans="1:10" x14ac:dyDescent="0.2">
      <c r="A8" s="361" t="s">
        <v>292</v>
      </c>
      <c r="B8" s="361"/>
      <c r="C8" s="165"/>
      <c r="D8" s="165"/>
      <c r="E8" s="165"/>
      <c r="F8" s="165"/>
      <c r="G8" s="165"/>
      <c r="H8" s="165"/>
      <c r="I8" s="165"/>
      <c r="J8" s="165"/>
    </row>
    <row r="9" spans="1:10" ht="15.75" x14ac:dyDescent="0.25">
      <c r="A9" s="357" t="s">
        <v>293</v>
      </c>
      <c r="B9" s="357"/>
      <c r="C9" s="165"/>
      <c r="D9" s="165"/>
      <c r="E9" s="165"/>
      <c r="F9" s="165"/>
      <c r="G9" s="165"/>
      <c r="H9" s="165"/>
      <c r="I9" s="165"/>
      <c r="J9" s="165"/>
    </row>
    <row r="10" spans="1:10" ht="15.75" x14ac:dyDescent="0.25">
      <c r="A10" s="357" t="s">
        <v>294</v>
      </c>
      <c r="B10" s="357"/>
      <c r="C10" s="165"/>
      <c r="D10" s="165"/>
      <c r="E10" s="165"/>
      <c r="F10" s="165"/>
      <c r="G10" s="165"/>
      <c r="H10" s="165"/>
      <c r="I10" s="165"/>
      <c r="J10" s="165"/>
    </row>
    <row r="11" spans="1:10" ht="15.75" x14ac:dyDescent="0.25">
      <c r="A11" s="357" t="s">
        <v>295</v>
      </c>
      <c r="B11" s="357"/>
      <c r="C11" s="165"/>
      <c r="D11" s="165"/>
      <c r="E11" s="165"/>
      <c r="F11" s="165"/>
      <c r="G11" s="165"/>
      <c r="H11" s="165"/>
      <c r="I11" s="165"/>
      <c r="J11" s="165"/>
    </row>
    <row r="12" spans="1:10" ht="15.75" x14ac:dyDescent="0.25">
      <c r="A12" s="357" t="s">
        <v>296</v>
      </c>
      <c r="B12" s="357"/>
      <c r="C12" s="165"/>
      <c r="D12" s="165"/>
      <c r="E12" s="165"/>
      <c r="F12" s="165"/>
      <c r="G12" s="165"/>
      <c r="H12" s="165"/>
      <c r="I12" s="165"/>
      <c r="J12" s="165"/>
    </row>
    <row r="13" spans="1:10" ht="15.75" x14ac:dyDescent="0.25">
      <c r="A13" s="357" t="s">
        <v>297</v>
      </c>
      <c r="B13" s="357"/>
      <c r="C13" s="165"/>
      <c r="D13" s="165"/>
      <c r="E13" s="165"/>
      <c r="F13" s="165"/>
      <c r="G13" s="165"/>
      <c r="H13" s="165"/>
      <c r="I13" s="165"/>
      <c r="J13" s="165"/>
    </row>
    <row r="14" spans="1:10" ht="15.75" x14ac:dyDescent="0.25">
      <c r="A14" s="357" t="s">
        <v>298</v>
      </c>
      <c r="B14" s="357"/>
      <c r="C14" s="165"/>
      <c r="D14" s="165"/>
      <c r="E14" s="165"/>
      <c r="F14" s="165"/>
      <c r="G14" s="165"/>
      <c r="H14" s="165"/>
      <c r="I14" s="165"/>
      <c r="J14" s="165"/>
    </row>
    <row r="15" spans="1:10" ht="15.75" x14ac:dyDescent="0.25">
      <c r="A15" s="357" t="s">
        <v>299</v>
      </c>
      <c r="B15" s="357"/>
      <c r="C15" s="165"/>
      <c r="D15" s="165"/>
      <c r="E15" s="165"/>
      <c r="F15" s="165"/>
      <c r="G15" s="165"/>
      <c r="H15" s="165"/>
      <c r="I15" s="165"/>
      <c r="J15" s="165"/>
    </row>
    <row r="16" spans="1:10" ht="15.75" x14ac:dyDescent="0.25">
      <c r="A16" s="357" t="s">
        <v>300</v>
      </c>
      <c r="B16" s="357"/>
      <c r="C16" s="165"/>
      <c r="D16" s="165"/>
      <c r="E16" s="165"/>
      <c r="F16" s="165"/>
      <c r="G16" s="165"/>
      <c r="H16" s="165"/>
      <c r="I16" s="165"/>
      <c r="J16" s="165"/>
    </row>
    <row r="17" spans="1:10" ht="15.75" x14ac:dyDescent="0.25">
      <c r="A17" s="357" t="s">
        <v>301</v>
      </c>
      <c r="B17" s="357"/>
      <c r="C17" s="165"/>
      <c r="D17" s="165"/>
      <c r="E17" s="165"/>
      <c r="F17" s="165"/>
      <c r="G17" s="165"/>
      <c r="H17" s="165"/>
      <c r="I17" s="165"/>
      <c r="J17" s="165"/>
    </row>
    <row r="18" spans="1:10" ht="15.75" x14ac:dyDescent="0.25">
      <c r="A18" s="357" t="s">
        <v>302</v>
      </c>
      <c r="B18" s="357"/>
      <c r="C18" s="165"/>
      <c r="D18" s="165"/>
      <c r="E18" s="165"/>
      <c r="F18" s="165"/>
      <c r="G18" s="165"/>
      <c r="H18" s="165"/>
      <c r="I18" s="165"/>
      <c r="J18" s="165"/>
    </row>
    <row r="19" spans="1:10" ht="15.75" x14ac:dyDescent="0.25">
      <c r="A19" s="357" t="s">
        <v>303</v>
      </c>
      <c r="B19" s="357"/>
      <c r="C19" s="165"/>
      <c r="D19" s="165"/>
      <c r="E19" s="165"/>
      <c r="F19" s="165"/>
      <c r="G19" s="165"/>
      <c r="H19" s="165"/>
      <c r="I19" s="165"/>
      <c r="J19" s="165"/>
    </row>
    <row r="20" spans="1:10" ht="15.75" x14ac:dyDescent="0.25">
      <c r="A20" s="357" t="s">
        <v>304</v>
      </c>
      <c r="B20" s="357"/>
      <c r="C20" s="165"/>
      <c r="D20" s="165"/>
      <c r="E20" s="165"/>
      <c r="F20" s="165"/>
      <c r="G20" s="165"/>
      <c r="H20" s="165"/>
      <c r="I20" s="165"/>
      <c r="J20" s="165"/>
    </row>
    <row r="21" spans="1:10" ht="15.75" x14ac:dyDescent="0.25">
      <c r="A21" s="357" t="s">
        <v>305</v>
      </c>
      <c r="B21" s="357"/>
      <c r="C21" s="165"/>
      <c r="D21" s="165"/>
      <c r="E21" s="165"/>
      <c r="F21" s="165"/>
      <c r="G21" s="165"/>
      <c r="H21" s="165"/>
      <c r="I21" s="165"/>
      <c r="J21" s="165"/>
    </row>
    <row r="22" spans="1:10" ht="15.75" x14ac:dyDescent="0.25">
      <c r="A22" s="357" t="s">
        <v>306</v>
      </c>
      <c r="B22" s="357"/>
      <c r="C22" s="165"/>
      <c r="D22" s="165"/>
      <c r="E22" s="165"/>
      <c r="F22" s="165"/>
      <c r="G22" s="165"/>
      <c r="H22" s="165"/>
      <c r="I22" s="165"/>
      <c r="J22" s="165"/>
    </row>
    <row r="23" spans="1:10" ht="29.25" customHeight="1" x14ac:dyDescent="0.25">
      <c r="A23" s="358" t="s">
        <v>307</v>
      </c>
      <c r="B23" s="358"/>
      <c r="C23" s="165"/>
      <c r="D23" s="165"/>
      <c r="E23" s="165"/>
      <c r="F23" s="165"/>
      <c r="G23" s="165"/>
      <c r="H23" s="165"/>
      <c r="I23" s="165"/>
      <c r="J23" s="165"/>
    </row>
    <row r="24" spans="1:10" ht="29.25" customHeight="1" x14ac:dyDescent="0.25">
      <c r="A24" s="358" t="s">
        <v>308</v>
      </c>
      <c r="B24" s="358"/>
      <c r="C24" s="165"/>
      <c r="D24" s="165"/>
      <c r="E24" s="165"/>
      <c r="F24" s="165"/>
      <c r="G24" s="165"/>
      <c r="H24" s="165"/>
      <c r="I24" s="165"/>
      <c r="J24" s="165"/>
    </row>
    <row r="25" spans="1:10" ht="28.5" customHeight="1" x14ac:dyDescent="0.25">
      <c r="A25" s="358" t="s">
        <v>309</v>
      </c>
      <c r="B25" s="358"/>
      <c r="C25" s="165"/>
      <c r="D25" s="165"/>
      <c r="E25" s="165"/>
      <c r="F25" s="165"/>
      <c r="G25" s="165"/>
      <c r="H25" s="165"/>
      <c r="I25" s="165"/>
      <c r="J25" s="165"/>
    </row>
    <row r="26" spans="1:10" ht="27" customHeight="1" x14ac:dyDescent="0.25">
      <c r="A26" s="358" t="s">
        <v>310</v>
      </c>
      <c r="B26" s="358"/>
      <c r="C26" s="165"/>
      <c r="D26" s="165"/>
      <c r="E26" s="165"/>
      <c r="F26" s="165"/>
      <c r="G26" s="165"/>
      <c r="H26" s="165"/>
      <c r="I26" s="165"/>
      <c r="J26" s="165"/>
    </row>
    <row r="27" spans="1:10" ht="32.25" customHeight="1" x14ac:dyDescent="0.2">
      <c r="A27" s="359" t="s">
        <v>311</v>
      </c>
      <c r="B27" s="359"/>
      <c r="C27" s="165"/>
      <c r="D27" s="165"/>
      <c r="E27" s="165"/>
      <c r="F27" s="165"/>
      <c r="G27" s="165"/>
      <c r="H27" s="165"/>
      <c r="I27" s="165"/>
      <c r="J27" s="165"/>
    </row>
    <row r="28" spans="1:10" ht="31.5" customHeight="1" x14ac:dyDescent="0.25">
      <c r="A28" s="358" t="s">
        <v>312</v>
      </c>
      <c r="B28" s="358"/>
      <c r="C28" s="165"/>
      <c r="D28" s="165"/>
      <c r="E28" s="165"/>
      <c r="F28" s="165"/>
      <c r="G28" s="165"/>
      <c r="H28" s="165"/>
      <c r="I28" s="165"/>
      <c r="J28" s="165"/>
    </row>
    <row r="29" spans="1:10" ht="25.5" customHeight="1" x14ac:dyDescent="0.2">
      <c r="A29" s="359" t="s">
        <v>313</v>
      </c>
      <c r="B29" s="359"/>
      <c r="C29" s="165"/>
      <c r="D29" s="165"/>
      <c r="E29" s="165"/>
      <c r="F29" s="165"/>
      <c r="G29" s="165"/>
      <c r="H29" s="165"/>
      <c r="I29" s="165"/>
      <c r="J29" s="165"/>
    </row>
    <row r="30" spans="1:10" x14ac:dyDescent="0.2">
      <c r="A30" s="354"/>
      <c r="B30" s="354"/>
      <c r="C30" s="354"/>
      <c r="D30" s="354"/>
      <c r="E30" s="354"/>
      <c r="F30" s="354"/>
      <c r="G30" s="354"/>
      <c r="H30" s="354"/>
      <c r="I30" s="354"/>
      <c r="J30" s="354"/>
    </row>
    <row r="31" spans="1:10" x14ac:dyDescent="0.2">
      <c r="A31" s="354"/>
      <c r="B31" s="354"/>
      <c r="C31" s="354"/>
      <c r="D31" s="354"/>
      <c r="E31" s="354"/>
      <c r="F31" s="354"/>
      <c r="G31" s="354"/>
      <c r="H31" s="354"/>
      <c r="I31" s="354"/>
      <c r="J31" s="354"/>
    </row>
    <row r="32" spans="1:10" x14ac:dyDescent="0.2">
      <c r="A32" s="354"/>
      <c r="B32" s="354"/>
      <c r="C32" s="354"/>
      <c r="D32" s="354"/>
      <c r="E32" s="354"/>
      <c r="F32" s="354"/>
      <c r="G32" s="354"/>
      <c r="H32" s="354"/>
      <c r="I32" s="354"/>
      <c r="J32" s="354"/>
    </row>
    <row r="33" spans="1:10" x14ac:dyDescent="0.2">
      <c r="A33" s="354"/>
      <c r="B33" s="354"/>
      <c r="C33" s="354"/>
      <c r="D33" s="354"/>
      <c r="E33" s="354"/>
      <c r="F33" s="354"/>
      <c r="G33" s="354"/>
      <c r="H33" s="354"/>
      <c r="I33" s="354"/>
      <c r="J33" s="354"/>
    </row>
  </sheetData>
  <sheetProtection selectLockedCells="1" selectUnlockedCells="1"/>
  <mergeCells count="48">
    <mergeCell ref="A1:J2"/>
    <mergeCell ref="I3:J3"/>
    <mergeCell ref="A5:B5"/>
    <mergeCell ref="C5:D5"/>
    <mergeCell ref="D3:E4"/>
    <mergeCell ref="F3:G4"/>
    <mergeCell ref="A7:B7"/>
    <mergeCell ref="A8:B8"/>
    <mergeCell ref="A9:B9"/>
    <mergeCell ref="A10:B10"/>
    <mergeCell ref="A11:B11"/>
    <mergeCell ref="A12:B12"/>
    <mergeCell ref="A13:B13"/>
    <mergeCell ref="A14:B14"/>
    <mergeCell ref="A15:B15"/>
    <mergeCell ref="A16:B16"/>
    <mergeCell ref="A17:B17"/>
    <mergeCell ref="A18:B18"/>
    <mergeCell ref="A19:B19"/>
    <mergeCell ref="A20:B20"/>
    <mergeCell ref="A21:B21"/>
    <mergeCell ref="H32:H33"/>
    <mergeCell ref="A22:B22"/>
    <mergeCell ref="A23:B23"/>
    <mergeCell ref="A24:B24"/>
    <mergeCell ref="A25:B25"/>
    <mergeCell ref="A26:B26"/>
    <mergeCell ref="H30:H31"/>
    <mergeCell ref="A27:B27"/>
    <mergeCell ref="A28:B28"/>
    <mergeCell ref="A29:B29"/>
    <mergeCell ref="A30:B31"/>
    <mergeCell ref="J32:J33"/>
    <mergeCell ref="B3:C4"/>
    <mergeCell ref="I30:I31"/>
    <mergeCell ref="J30:J31"/>
    <mergeCell ref="A32:B33"/>
    <mergeCell ref="C32:C33"/>
    <mergeCell ref="D32:D33"/>
    <mergeCell ref="E32:E33"/>
    <mergeCell ref="F32:F33"/>
    <mergeCell ref="G32:G33"/>
    <mergeCell ref="I32:I33"/>
    <mergeCell ref="C30:C31"/>
    <mergeCell ref="D30:D31"/>
    <mergeCell ref="E30:E31"/>
    <mergeCell ref="F30:F31"/>
    <mergeCell ref="G30:G31"/>
  </mergeCells>
  <pageMargins left="0.7" right="0.7" top="0.75" bottom="0.75" header="0.51180555555555551" footer="0.51180555555555551"/>
  <pageSetup paperSize="9" scale="93" firstPageNumber="0"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view="pageBreakPreview" topLeftCell="A34" zoomScale="60" zoomScaleNormal="100" workbookViewId="0">
      <selection activeCell="F38" sqref="F38:J41"/>
    </sheetView>
  </sheetViews>
  <sheetFormatPr defaultColWidth="9" defaultRowHeight="12.75" x14ac:dyDescent="0.2"/>
  <cols>
    <col min="1" max="3" width="10.42578125" customWidth="1"/>
    <col min="4" max="5" width="10.28515625" customWidth="1"/>
    <col min="6" max="9" width="9" customWidth="1"/>
    <col min="10" max="10" width="13.28515625" customWidth="1"/>
  </cols>
  <sheetData>
    <row r="1" spans="1:9" ht="33.75" customHeight="1" x14ac:dyDescent="0.35">
      <c r="B1" s="166" t="s">
        <v>291</v>
      </c>
      <c r="C1" s="167">
        <f>номеристории</f>
        <v>0</v>
      </c>
      <c r="D1" s="168"/>
      <c r="E1" s="168"/>
    </row>
    <row r="2" spans="1:9" ht="25.5" customHeight="1" x14ac:dyDescent="0.35">
      <c r="A2" s="376">
        <f>Фамилия</f>
        <v>0</v>
      </c>
      <c r="B2" s="376"/>
      <c r="C2" s="376"/>
      <c r="D2" s="167">
        <f>Имя</f>
        <v>0</v>
      </c>
      <c r="E2" s="168"/>
      <c r="F2" s="168"/>
      <c r="G2" s="168"/>
    </row>
    <row r="3" spans="1:9" ht="21" customHeight="1" x14ac:dyDescent="0.35">
      <c r="B3" s="166" t="s">
        <v>314</v>
      </c>
      <c r="C3" s="377">
        <f>Памятка!E3</f>
        <v>0</v>
      </c>
      <c r="D3" s="377"/>
    </row>
    <row r="4" spans="1:9" ht="21.75" customHeight="1" x14ac:dyDescent="0.35">
      <c r="B4" s="166" t="s">
        <v>315</v>
      </c>
      <c r="C4" s="377">
        <f>Памятка!E4</f>
        <v>0</v>
      </c>
      <c r="D4" s="377"/>
      <c r="G4" s="169"/>
      <c r="H4" s="169"/>
      <c r="I4" s="169"/>
    </row>
    <row r="5" spans="1:9" ht="20.25" customHeight="1" x14ac:dyDescent="0.2"/>
    <row r="15" spans="1:9" ht="13.5" customHeight="1" x14ac:dyDescent="0.2"/>
    <row r="16" spans="1:9" ht="10.5" customHeight="1" x14ac:dyDescent="0.65">
      <c r="B16" s="170"/>
      <c r="C16" s="171"/>
    </row>
    <row r="17" spans="1:3" ht="11.25" customHeight="1" x14ac:dyDescent="0.65">
      <c r="A17" s="378"/>
      <c r="B17" s="378"/>
      <c r="C17" s="172"/>
    </row>
    <row r="18" spans="1:3" ht="9" customHeight="1" x14ac:dyDescent="0.5">
      <c r="B18" s="173"/>
      <c r="C18" s="174"/>
    </row>
    <row r="19" spans="1:3" ht="13.5" customHeight="1" x14ac:dyDescent="0.5">
      <c r="B19" s="173"/>
      <c r="C19" s="174"/>
    </row>
    <row r="38" spans="1:11" x14ac:dyDescent="0.2">
      <c r="C38" s="379" t="s">
        <v>316</v>
      </c>
      <c r="D38" s="379"/>
      <c r="E38" s="379"/>
      <c r="F38" s="369">
        <f>номеристории</f>
        <v>0</v>
      </c>
      <c r="G38" s="369"/>
      <c r="H38" s="369"/>
      <c r="I38" s="369"/>
      <c r="J38" s="369"/>
    </row>
    <row r="39" spans="1:11" ht="12.75" customHeight="1" x14ac:dyDescent="0.2">
      <c r="C39" s="379"/>
      <c r="D39" s="379"/>
      <c r="E39" s="379"/>
      <c r="F39" s="369"/>
      <c r="G39" s="369"/>
      <c r="H39" s="369"/>
      <c r="I39" s="369"/>
      <c r="J39" s="369"/>
    </row>
    <row r="40" spans="1:11" ht="12.75" customHeight="1" x14ac:dyDescent="0.2">
      <c r="C40" s="379"/>
      <c r="D40" s="379"/>
      <c r="E40" s="379"/>
      <c r="F40" s="369"/>
      <c r="G40" s="369"/>
      <c r="H40" s="369"/>
      <c r="I40" s="369"/>
      <c r="J40" s="369"/>
    </row>
    <row r="41" spans="1:11" ht="12.75" customHeight="1" x14ac:dyDescent="0.2">
      <c r="C41" s="379"/>
      <c r="D41" s="379"/>
      <c r="E41" s="379"/>
      <c r="F41" s="369"/>
      <c r="G41" s="369"/>
      <c r="H41" s="369"/>
      <c r="I41" s="369"/>
      <c r="J41" s="369"/>
    </row>
    <row r="42" spans="1:11" ht="12.75" customHeight="1" x14ac:dyDescent="0.2">
      <c r="A42" s="373">
        <f>Фамилия</f>
        <v>0</v>
      </c>
      <c r="B42" s="373"/>
      <c r="C42" s="373"/>
      <c r="D42" s="373"/>
      <c r="E42" s="373"/>
      <c r="F42" s="373"/>
      <c r="G42" s="373"/>
      <c r="H42" s="373"/>
      <c r="I42" s="373"/>
      <c r="J42" s="373"/>
    </row>
    <row r="43" spans="1:11" ht="12.75" customHeight="1" x14ac:dyDescent="0.2">
      <c r="A43" s="373"/>
      <c r="B43" s="373"/>
      <c r="C43" s="373"/>
      <c r="D43" s="373"/>
      <c r="E43" s="373"/>
      <c r="F43" s="373"/>
      <c r="G43" s="373"/>
      <c r="H43" s="373"/>
      <c r="I43" s="373"/>
      <c r="J43" s="373"/>
      <c r="K43" s="179"/>
    </row>
    <row r="44" spans="1:11" ht="12.75" customHeight="1" x14ac:dyDescent="0.2">
      <c r="A44" s="373"/>
      <c r="B44" s="373"/>
      <c r="C44" s="373"/>
      <c r="D44" s="373"/>
      <c r="E44" s="373"/>
      <c r="F44" s="373"/>
      <c r="G44" s="373"/>
      <c r="H44" s="373"/>
      <c r="I44" s="373"/>
      <c r="J44" s="373"/>
      <c r="K44" s="179"/>
    </row>
    <row r="45" spans="1:11" ht="12.75" customHeight="1" x14ac:dyDescent="0.2">
      <c r="A45" s="373"/>
      <c r="B45" s="373"/>
      <c r="C45" s="373"/>
      <c r="D45" s="373"/>
      <c r="E45" s="373"/>
      <c r="F45" s="373"/>
      <c r="G45" s="373"/>
      <c r="H45" s="373"/>
      <c r="I45" s="373"/>
      <c r="J45" s="373"/>
      <c r="K45" s="179"/>
    </row>
    <row r="46" spans="1:11" ht="12.75" customHeight="1" x14ac:dyDescent="0.2">
      <c r="A46" s="374"/>
      <c r="B46" s="374"/>
      <c r="C46" s="374"/>
      <c r="D46" s="374"/>
      <c r="E46" s="374"/>
      <c r="F46" s="374"/>
      <c r="G46" s="374"/>
      <c r="H46" s="374"/>
      <c r="I46" s="374"/>
      <c r="J46" s="374"/>
      <c r="K46" s="179"/>
    </row>
    <row r="47" spans="1:11" ht="12.75" customHeight="1" x14ac:dyDescent="0.2">
      <c r="A47" s="374"/>
      <c r="B47" s="374"/>
      <c r="C47" s="374"/>
      <c r="D47" s="374"/>
      <c r="E47" s="374"/>
      <c r="F47" s="374"/>
      <c r="G47" s="374"/>
      <c r="H47" s="374"/>
      <c r="I47" s="374"/>
      <c r="J47" s="374"/>
    </row>
    <row r="48" spans="1:11" ht="12.75" customHeight="1" x14ac:dyDescent="0.2">
      <c r="A48" s="374"/>
      <c r="B48" s="374"/>
      <c r="C48" s="374"/>
      <c r="D48" s="374"/>
      <c r="E48" s="374"/>
      <c r="F48" s="374"/>
      <c r="G48" s="374"/>
      <c r="H48" s="374"/>
      <c r="I48" s="374"/>
      <c r="J48" s="374"/>
    </row>
    <row r="49" spans="1:10" ht="12.75" customHeight="1" x14ac:dyDescent="0.2">
      <c r="A49" s="374"/>
      <c r="B49" s="374"/>
      <c r="C49" s="374"/>
      <c r="D49" s="374"/>
      <c r="E49" s="374"/>
      <c r="F49" s="374"/>
      <c r="G49" s="374"/>
      <c r="H49" s="374"/>
      <c r="I49" s="374"/>
      <c r="J49" s="374"/>
    </row>
    <row r="50" spans="1:10" x14ac:dyDescent="0.2">
      <c r="A50" s="372">
        <f>Имя</f>
        <v>0</v>
      </c>
      <c r="B50" s="372"/>
      <c r="C50" s="372"/>
      <c r="D50" s="372"/>
      <c r="E50" s="372"/>
      <c r="F50" s="372"/>
      <c r="G50" s="372"/>
      <c r="H50" s="372"/>
      <c r="I50" s="372"/>
      <c r="J50" s="372"/>
    </row>
    <row r="51" spans="1:10" ht="12.75" customHeight="1" x14ac:dyDescent="0.2">
      <c r="A51" s="372"/>
      <c r="B51" s="372"/>
      <c r="C51" s="372"/>
      <c r="D51" s="372"/>
      <c r="E51" s="372"/>
      <c r="F51" s="372"/>
      <c r="G51" s="372"/>
      <c r="H51" s="372"/>
      <c r="I51" s="372"/>
      <c r="J51" s="372"/>
    </row>
    <row r="52" spans="1:10" x14ac:dyDescent="0.2">
      <c r="A52" s="372"/>
      <c r="B52" s="372"/>
      <c r="C52" s="372"/>
      <c r="D52" s="372"/>
      <c r="E52" s="372"/>
      <c r="F52" s="372"/>
      <c r="G52" s="372"/>
      <c r="H52" s="372"/>
      <c r="I52" s="372"/>
      <c r="J52" s="372"/>
    </row>
    <row r="53" spans="1:10" x14ac:dyDescent="0.2">
      <c r="A53" s="372"/>
      <c r="B53" s="372"/>
      <c r="C53" s="372"/>
      <c r="D53" s="372"/>
      <c r="E53" s="372"/>
      <c r="F53" s="372"/>
      <c r="G53" s="372"/>
      <c r="H53" s="372"/>
      <c r="I53" s="372"/>
      <c r="J53" s="372"/>
    </row>
    <row r="54" spans="1:10" x14ac:dyDescent="0.2">
      <c r="C54" s="370" t="s">
        <v>314</v>
      </c>
      <c r="D54" s="370"/>
      <c r="E54" s="375">
        <f>Памятка!E3</f>
        <v>0</v>
      </c>
      <c r="F54" s="375"/>
      <c r="G54" s="375"/>
      <c r="H54" s="375"/>
      <c r="I54" s="375"/>
    </row>
    <row r="55" spans="1:10" x14ac:dyDescent="0.2">
      <c r="C55" s="370"/>
      <c r="D55" s="370"/>
      <c r="E55" s="375"/>
      <c r="F55" s="375"/>
      <c r="G55" s="375"/>
      <c r="H55" s="375"/>
      <c r="I55" s="375"/>
    </row>
    <row r="56" spans="1:10" x14ac:dyDescent="0.2">
      <c r="C56" s="370"/>
      <c r="D56" s="370"/>
      <c r="E56" s="375"/>
      <c r="F56" s="375"/>
      <c r="G56" s="375"/>
      <c r="H56" s="375"/>
      <c r="I56" s="375"/>
    </row>
    <row r="57" spans="1:10" x14ac:dyDescent="0.2">
      <c r="C57" s="370" t="s">
        <v>315</v>
      </c>
      <c r="D57" s="370"/>
      <c r="E57" s="375">
        <f>Памятка!E4</f>
        <v>0</v>
      </c>
      <c r="F57" s="375"/>
      <c r="G57" s="375"/>
      <c r="H57" s="375"/>
      <c r="I57" s="375"/>
    </row>
    <row r="58" spans="1:10" x14ac:dyDescent="0.2">
      <c r="C58" s="371"/>
      <c r="D58" s="371"/>
      <c r="E58" s="371"/>
      <c r="F58" s="371"/>
      <c r="G58" s="371"/>
      <c r="H58" s="371"/>
      <c r="I58" s="371"/>
    </row>
    <row r="59" spans="1:10" x14ac:dyDescent="0.2">
      <c r="C59" s="371"/>
      <c r="D59" s="371"/>
      <c r="E59" s="371"/>
      <c r="F59" s="371"/>
      <c r="G59" s="371"/>
      <c r="H59" s="371"/>
      <c r="I59" s="371"/>
    </row>
  </sheetData>
  <sheetProtection sheet="1" objects="1" scenarios="1" selectLockedCells="1" selectUnlockedCells="1"/>
  <mergeCells count="12">
    <mergeCell ref="A2:C2"/>
    <mergeCell ref="C3:D3"/>
    <mergeCell ref="C4:D4"/>
    <mergeCell ref="A17:B17"/>
    <mergeCell ref="C38:E41"/>
    <mergeCell ref="F38:J41"/>
    <mergeCell ref="C57:D59"/>
    <mergeCell ref="A50:J53"/>
    <mergeCell ref="A42:J49"/>
    <mergeCell ref="C54:D56"/>
    <mergeCell ref="E54:I56"/>
    <mergeCell ref="E57:I59"/>
  </mergeCells>
  <pageMargins left="0" right="0" top="0" bottom="0" header="0.51180555555555551" footer="0.51180555555555551"/>
  <pageSetup paperSize="9" scale="94" firstPageNumber="0"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51"/>
  <sheetViews>
    <sheetView tabSelected="1" view="pageBreakPreview" topLeftCell="A37" zoomScale="60" zoomScaleNormal="100" workbookViewId="0">
      <selection activeCell="AN78" sqref="AN78"/>
    </sheetView>
  </sheetViews>
  <sheetFormatPr defaultColWidth="9" defaultRowHeight="12.75" x14ac:dyDescent="0.2"/>
  <sheetData>
    <row r="1" spans="1:33" ht="12.75" customHeight="1" x14ac:dyDescent="0.2">
      <c r="B1" s="175"/>
      <c r="C1" s="176"/>
      <c r="D1" s="176"/>
      <c r="E1" s="176"/>
      <c r="H1" s="423" t="s">
        <v>317</v>
      </c>
      <c r="I1" s="423"/>
      <c r="J1" s="423"/>
      <c r="K1" s="423"/>
      <c r="R1" s="418" t="s">
        <v>334</v>
      </c>
      <c r="S1" s="418"/>
      <c r="T1" s="418"/>
      <c r="U1" s="418"/>
      <c r="V1" s="418"/>
      <c r="AC1" s="418" t="s">
        <v>336</v>
      </c>
      <c r="AD1" s="418"/>
      <c r="AE1" s="418"/>
      <c r="AF1" s="418"/>
      <c r="AG1" s="418"/>
    </row>
    <row r="2" spans="1:33" ht="12.75" customHeight="1" x14ac:dyDescent="0.2">
      <c r="B2" s="176"/>
      <c r="C2" s="176"/>
      <c r="D2" s="176"/>
      <c r="E2" s="176"/>
      <c r="H2" s="423"/>
      <c r="I2" s="423"/>
      <c r="J2" s="423"/>
      <c r="K2" s="423"/>
      <c r="R2" s="418"/>
      <c r="S2" s="418"/>
      <c r="T2" s="418"/>
      <c r="U2" s="418"/>
      <c r="V2" s="418"/>
      <c r="AC2" s="418"/>
      <c r="AD2" s="418"/>
      <c r="AE2" s="418"/>
      <c r="AF2" s="418"/>
      <c r="AG2" s="418"/>
    </row>
    <row r="3" spans="1:33" ht="12.75" customHeight="1" x14ac:dyDescent="0.2">
      <c r="B3" s="176"/>
      <c r="C3" s="176"/>
      <c r="D3" s="176"/>
      <c r="E3" s="176"/>
      <c r="H3" s="423"/>
      <c r="I3" s="423"/>
      <c r="J3" s="423"/>
      <c r="K3" s="423"/>
      <c r="R3" s="418"/>
      <c r="S3" s="418"/>
      <c r="T3" s="418"/>
      <c r="U3" s="418"/>
      <c r="V3" s="418"/>
      <c r="AC3" s="418"/>
      <c r="AD3" s="418"/>
      <c r="AE3" s="418"/>
      <c r="AF3" s="418"/>
      <c r="AG3" s="418"/>
    </row>
    <row r="4" spans="1:33" ht="12.75" customHeight="1" x14ac:dyDescent="0.2">
      <c r="B4" s="176"/>
      <c r="C4" s="176"/>
      <c r="D4" s="176"/>
      <c r="E4" s="176"/>
      <c r="H4" s="423"/>
      <c r="I4" s="423"/>
      <c r="J4" s="423"/>
      <c r="K4" s="423"/>
      <c r="R4" s="418"/>
      <c r="S4" s="418"/>
      <c r="T4" s="418"/>
      <c r="U4" s="418"/>
      <c r="V4" s="418"/>
      <c r="AC4" s="418"/>
      <c r="AD4" s="418"/>
      <c r="AE4" s="418"/>
      <c r="AF4" s="418"/>
      <c r="AG4" s="418"/>
    </row>
    <row r="5" spans="1:33" ht="12.75" customHeight="1" x14ac:dyDescent="0.2">
      <c r="B5" s="176"/>
      <c r="C5" s="176"/>
      <c r="D5" s="176"/>
      <c r="E5" s="176"/>
      <c r="H5" s="423"/>
      <c r="I5" s="423"/>
      <c r="J5" s="423"/>
      <c r="K5" s="423"/>
      <c r="S5" s="178"/>
      <c r="T5" s="178"/>
      <c r="U5" s="178"/>
      <c r="V5" s="178"/>
      <c r="X5" s="419" t="s">
        <v>337</v>
      </c>
      <c r="Y5" s="420"/>
      <c r="Z5" s="420"/>
      <c r="AA5" s="420"/>
      <c r="AB5" s="420"/>
      <c r="AC5" s="420"/>
      <c r="AD5" s="420"/>
      <c r="AE5" s="420"/>
      <c r="AF5" s="420"/>
    </row>
    <row r="6" spans="1:33" ht="12.75" customHeight="1" x14ac:dyDescent="0.2">
      <c r="B6" s="176"/>
      <c r="C6" s="176"/>
      <c r="D6" s="176"/>
      <c r="E6" s="176"/>
      <c r="H6" s="423"/>
      <c r="I6" s="423"/>
      <c r="J6" s="423"/>
      <c r="K6" s="423"/>
      <c r="M6" s="450" t="s">
        <v>324</v>
      </c>
      <c r="N6" s="451"/>
      <c r="O6" s="451"/>
      <c r="P6" s="451"/>
      <c r="Q6" s="451"/>
      <c r="R6" s="451"/>
      <c r="S6" s="451"/>
      <c r="T6" s="451"/>
      <c r="U6" s="451"/>
      <c r="V6" s="178"/>
      <c r="X6" s="420"/>
      <c r="Y6" s="420"/>
      <c r="Z6" s="420"/>
      <c r="AA6" s="420"/>
      <c r="AB6" s="420"/>
      <c r="AC6" s="420"/>
      <c r="AD6" s="420"/>
      <c r="AE6" s="420"/>
      <c r="AF6" s="420"/>
    </row>
    <row r="7" spans="1:33" ht="15.75" customHeight="1" thickBot="1" x14ac:dyDescent="0.25">
      <c r="A7" s="221" t="s">
        <v>386</v>
      </c>
      <c r="B7" s="220">
        <f>номеристории</f>
        <v>0</v>
      </c>
      <c r="C7" s="176"/>
      <c r="D7" s="176"/>
      <c r="E7" s="176"/>
      <c r="H7" s="423"/>
      <c r="I7" s="423"/>
      <c r="J7" s="423"/>
      <c r="K7" s="423"/>
      <c r="M7" s="451"/>
      <c r="N7" s="451"/>
      <c r="O7" s="451"/>
      <c r="P7" s="451"/>
      <c r="Q7" s="451"/>
      <c r="R7" s="451"/>
      <c r="S7" s="451"/>
      <c r="T7" s="451"/>
      <c r="U7" s="451"/>
      <c r="V7" s="178"/>
      <c r="X7" s="420"/>
      <c r="Y7" s="420"/>
      <c r="Z7" s="420"/>
      <c r="AA7" s="420"/>
      <c r="AB7" s="420"/>
      <c r="AC7" s="420"/>
      <c r="AD7" s="420"/>
      <c r="AE7" s="420"/>
      <c r="AF7" s="420"/>
    </row>
    <row r="8" spans="1:33" ht="19.5" customHeight="1" x14ac:dyDescent="0.2">
      <c r="A8" s="437" t="s">
        <v>318</v>
      </c>
      <c r="B8" s="437"/>
      <c r="C8" s="437"/>
      <c r="D8" s="437"/>
      <c r="E8" s="437"/>
      <c r="F8" s="437"/>
      <c r="G8" s="437"/>
      <c r="H8" s="437"/>
      <c r="I8" s="437"/>
      <c r="J8" s="437"/>
      <c r="K8" s="437"/>
      <c r="L8" s="426" t="s">
        <v>325</v>
      </c>
      <c r="M8" s="406"/>
      <c r="N8" s="406"/>
      <c r="O8" s="406"/>
      <c r="P8" s="406"/>
      <c r="Q8" s="406"/>
      <c r="R8" s="406"/>
      <c r="S8" s="406"/>
      <c r="T8" s="406"/>
      <c r="U8" s="406"/>
      <c r="V8" s="427"/>
      <c r="W8" s="421" t="s">
        <v>410</v>
      </c>
      <c r="X8" s="421"/>
      <c r="Y8" s="421"/>
      <c r="Z8" s="421"/>
      <c r="AA8" s="421"/>
      <c r="AB8" s="421"/>
      <c r="AC8" s="421"/>
      <c r="AD8" s="421"/>
      <c r="AE8" s="421"/>
      <c r="AF8" s="421"/>
      <c r="AG8" s="421"/>
    </row>
    <row r="9" spans="1:33" ht="15.75" customHeight="1" x14ac:dyDescent="0.2">
      <c r="A9" s="437"/>
      <c r="B9" s="437"/>
      <c r="C9" s="437"/>
      <c r="D9" s="437"/>
      <c r="E9" s="437"/>
      <c r="F9" s="437"/>
      <c r="G9" s="437"/>
      <c r="H9" s="437"/>
      <c r="I9" s="437"/>
      <c r="J9" s="437"/>
      <c r="K9" s="437"/>
      <c r="L9" s="428"/>
      <c r="M9" s="407"/>
      <c r="N9" s="407"/>
      <c r="O9" s="407"/>
      <c r="P9" s="407"/>
      <c r="Q9" s="407"/>
      <c r="R9" s="407"/>
      <c r="S9" s="407"/>
      <c r="T9" s="407"/>
      <c r="U9" s="407"/>
      <c r="V9" s="429"/>
      <c r="W9" s="421"/>
      <c r="X9" s="421"/>
      <c r="Y9" s="421"/>
      <c r="Z9" s="421"/>
      <c r="AA9" s="421"/>
      <c r="AB9" s="421"/>
      <c r="AC9" s="421"/>
      <c r="AD9" s="421"/>
      <c r="AE9" s="421"/>
      <c r="AF9" s="421"/>
      <c r="AG9" s="421"/>
    </row>
    <row r="10" spans="1:33" ht="12.75" customHeight="1" x14ac:dyDescent="0.2">
      <c r="A10" s="438" t="s">
        <v>319</v>
      </c>
      <c r="B10" s="438"/>
      <c r="C10" s="438"/>
      <c r="D10" s="438"/>
      <c r="E10" s="438"/>
      <c r="F10" s="438"/>
      <c r="G10" s="438"/>
      <c r="H10" s="438"/>
      <c r="I10" s="438"/>
      <c r="J10" s="438"/>
      <c r="K10" s="438"/>
      <c r="L10" s="428"/>
      <c r="M10" s="407"/>
      <c r="N10" s="407"/>
      <c r="O10" s="407"/>
      <c r="P10" s="407"/>
      <c r="Q10" s="407"/>
      <c r="R10" s="407"/>
      <c r="S10" s="407"/>
      <c r="T10" s="407"/>
      <c r="U10" s="407"/>
      <c r="V10" s="429"/>
      <c r="W10" s="421"/>
      <c r="X10" s="421"/>
      <c r="Y10" s="421"/>
      <c r="Z10" s="421"/>
      <c r="AA10" s="421"/>
      <c r="AB10" s="421"/>
      <c r="AC10" s="421"/>
      <c r="AD10" s="421"/>
      <c r="AE10" s="421"/>
      <c r="AF10" s="421"/>
      <c r="AG10" s="421"/>
    </row>
    <row r="11" spans="1:33" ht="13.5" customHeight="1" thickBot="1" x14ac:dyDescent="0.25">
      <c r="A11" s="438"/>
      <c r="B11" s="438"/>
      <c r="C11" s="438"/>
      <c r="D11" s="438"/>
      <c r="E11" s="438"/>
      <c r="F11" s="438"/>
      <c r="G11" s="438"/>
      <c r="H11" s="438"/>
      <c r="I11" s="438"/>
      <c r="J11" s="438"/>
      <c r="K11" s="438"/>
      <c r="L11" s="428"/>
      <c r="M11" s="407"/>
      <c r="N11" s="407"/>
      <c r="O11" s="407"/>
      <c r="P11" s="407"/>
      <c r="Q11" s="407"/>
      <c r="R11" s="407"/>
      <c r="S11" s="407"/>
      <c r="T11" s="407"/>
      <c r="U11" s="407"/>
      <c r="V11" s="429"/>
      <c r="W11" s="421"/>
      <c r="X11" s="421"/>
      <c r="Y11" s="421"/>
      <c r="Z11" s="421"/>
      <c r="AA11" s="421"/>
      <c r="AB11" s="421"/>
      <c r="AC11" s="421"/>
      <c r="AD11" s="421"/>
      <c r="AE11" s="421"/>
      <c r="AF11" s="421"/>
      <c r="AG11" s="421"/>
    </row>
    <row r="12" spans="1:33" ht="13.5" x14ac:dyDescent="0.2">
      <c r="A12" s="438"/>
      <c r="B12" s="438"/>
      <c r="C12" s="438"/>
      <c r="D12" s="438"/>
      <c r="E12" s="438"/>
      <c r="F12" s="438"/>
      <c r="G12" s="438"/>
      <c r="H12" s="438"/>
      <c r="I12" s="438"/>
      <c r="J12" s="438"/>
      <c r="K12" s="438"/>
      <c r="L12" s="428"/>
      <c r="M12" s="407"/>
      <c r="N12" s="407"/>
      <c r="O12" s="407"/>
      <c r="P12" s="407"/>
      <c r="Q12" s="407"/>
      <c r="R12" s="407"/>
      <c r="S12" s="407"/>
      <c r="T12" s="407"/>
      <c r="U12" s="407"/>
      <c r="V12" s="429"/>
      <c r="W12" s="439" t="s">
        <v>338</v>
      </c>
      <c r="X12" s="440"/>
      <c r="Y12" s="440"/>
      <c r="Z12" s="440"/>
      <c r="AA12" s="440"/>
      <c r="AB12" s="440"/>
      <c r="AC12" s="440"/>
      <c r="AD12" s="440"/>
      <c r="AE12" s="440"/>
      <c r="AF12" s="440"/>
      <c r="AG12" s="441"/>
    </row>
    <row r="13" spans="1:33" ht="12.75" customHeight="1" x14ac:dyDescent="0.2">
      <c r="A13" s="438"/>
      <c r="B13" s="438"/>
      <c r="C13" s="438"/>
      <c r="D13" s="438"/>
      <c r="E13" s="438"/>
      <c r="F13" s="438"/>
      <c r="G13" s="438"/>
      <c r="H13" s="438"/>
      <c r="I13" s="438"/>
      <c r="J13" s="438"/>
      <c r="K13" s="438"/>
      <c r="L13" s="428"/>
      <c r="M13" s="407"/>
      <c r="N13" s="407"/>
      <c r="O13" s="407"/>
      <c r="P13" s="407"/>
      <c r="Q13" s="407"/>
      <c r="R13" s="407"/>
      <c r="S13" s="407"/>
      <c r="T13" s="407"/>
      <c r="U13" s="407"/>
      <c r="V13" s="429"/>
      <c r="W13" s="412" t="s">
        <v>345</v>
      </c>
      <c r="X13" s="413"/>
      <c r="Y13" s="413"/>
      <c r="Z13" s="413"/>
      <c r="AA13" s="413"/>
      <c r="AB13" s="413"/>
      <c r="AC13" s="413"/>
      <c r="AD13" s="413"/>
      <c r="AE13" s="413"/>
      <c r="AF13" s="413"/>
      <c r="AG13" s="414"/>
    </row>
    <row r="14" spans="1:33" ht="12.75" customHeight="1" x14ac:dyDescent="0.2">
      <c r="A14" s="438"/>
      <c r="B14" s="438"/>
      <c r="C14" s="438"/>
      <c r="D14" s="438"/>
      <c r="E14" s="438"/>
      <c r="F14" s="438"/>
      <c r="G14" s="438"/>
      <c r="H14" s="438"/>
      <c r="I14" s="438"/>
      <c r="J14" s="438"/>
      <c r="K14" s="438"/>
      <c r="L14" s="428"/>
      <c r="M14" s="407"/>
      <c r="N14" s="407"/>
      <c r="O14" s="407"/>
      <c r="P14" s="407"/>
      <c r="Q14" s="407"/>
      <c r="R14" s="407"/>
      <c r="S14" s="407"/>
      <c r="T14" s="407"/>
      <c r="U14" s="407"/>
      <c r="V14" s="429"/>
      <c r="W14" s="412" t="s">
        <v>341</v>
      </c>
      <c r="X14" s="413"/>
      <c r="Y14" s="413"/>
      <c r="Z14" s="413"/>
      <c r="AA14" s="413"/>
      <c r="AB14" s="413"/>
      <c r="AC14" s="413"/>
      <c r="AD14" s="413"/>
      <c r="AE14" s="413"/>
      <c r="AF14" s="413"/>
      <c r="AG14" s="414"/>
    </row>
    <row r="15" spans="1:33" ht="12.75" customHeight="1" x14ac:dyDescent="0.2">
      <c r="A15" s="438"/>
      <c r="B15" s="438"/>
      <c r="C15" s="438"/>
      <c r="D15" s="438"/>
      <c r="E15" s="438"/>
      <c r="F15" s="438"/>
      <c r="G15" s="438"/>
      <c r="H15" s="438"/>
      <c r="I15" s="438"/>
      <c r="J15" s="438"/>
      <c r="K15" s="438"/>
      <c r="L15" s="428"/>
      <c r="M15" s="407"/>
      <c r="N15" s="407"/>
      <c r="O15" s="407"/>
      <c r="P15" s="407"/>
      <c r="Q15" s="407"/>
      <c r="R15" s="407"/>
      <c r="S15" s="407"/>
      <c r="T15" s="407"/>
      <c r="U15" s="407"/>
      <c r="V15" s="429"/>
      <c r="W15" s="412" t="s">
        <v>342</v>
      </c>
      <c r="X15" s="413"/>
      <c r="Y15" s="413"/>
      <c r="Z15" s="413"/>
      <c r="AA15" s="413"/>
      <c r="AB15" s="413"/>
      <c r="AC15" s="413"/>
      <c r="AD15" s="413"/>
      <c r="AE15" s="413"/>
      <c r="AF15" s="413"/>
      <c r="AG15" s="414"/>
    </row>
    <row r="16" spans="1:33" ht="12.75" customHeight="1" thickBot="1" x14ac:dyDescent="0.25">
      <c r="A16" s="438"/>
      <c r="B16" s="438"/>
      <c r="C16" s="438"/>
      <c r="D16" s="438"/>
      <c r="E16" s="438"/>
      <c r="F16" s="438"/>
      <c r="G16" s="438"/>
      <c r="H16" s="438"/>
      <c r="I16" s="438"/>
      <c r="J16" s="438"/>
      <c r="K16" s="438"/>
      <c r="L16" s="430"/>
      <c r="M16" s="431"/>
      <c r="N16" s="431"/>
      <c r="O16" s="431"/>
      <c r="P16" s="431"/>
      <c r="Q16" s="431"/>
      <c r="R16" s="431"/>
      <c r="S16" s="431"/>
      <c r="T16" s="431"/>
      <c r="U16" s="431"/>
      <c r="V16" s="432"/>
      <c r="W16" s="412" t="s">
        <v>339</v>
      </c>
      <c r="X16" s="413"/>
      <c r="Y16" s="413"/>
      <c r="Z16" s="413"/>
      <c r="AA16" s="413"/>
      <c r="AB16" s="413"/>
      <c r="AC16" s="413"/>
      <c r="AD16" s="413"/>
      <c r="AE16" s="413"/>
      <c r="AF16" s="413"/>
      <c r="AG16" s="414"/>
    </row>
    <row r="17" spans="1:33" ht="12.75" customHeight="1" x14ac:dyDescent="0.2">
      <c r="A17" s="438"/>
      <c r="B17" s="438"/>
      <c r="C17" s="438"/>
      <c r="D17" s="438"/>
      <c r="E17" s="438"/>
      <c r="F17" s="438"/>
      <c r="G17" s="438"/>
      <c r="H17" s="438"/>
      <c r="I17" s="438"/>
      <c r="J17" s="438"/>
      <c r="K17" s="438"/>
      <c r="L17" s="433" t="s">
        <v>385</v>
      </c>
      <c r="M17" s="433"/>
      <c r="N17" s="433"/>
      <c r="O17" s="433"/>
      <c r="P17" s="433"/>
      <c r="Q17" s="433"/>
      <c r="R17" s="433"/>
      <c r="S17" s="433"/>
      <c r="T17" s="433"/>
      <c r="U17" s="433"/>
      <c r="V17" s="433"/>
      <c r="W17" s="390" t="s">
        <v>344</v>
      </c>
      <c r="X17" s="391"/>
      <c r="Y17" s="391"/>
      <c r="Z17" s="391"/>
      <c r="AA17" s="391"/>
      <c r="AB17" s="391"/>
      <c r="AC17" s="391"/>
      <c r="AD17" s="391"/>
      <c r="AE17" s="391"/>
      <c r="AF17" s="391"/>
      <c r="AG17" s="392"/>
    </row>
    <row r="18" spans="1:33" ht="12.75" customHeight="1" x14ac:dyDescent="0.2">
      <c r="A18" s="438"/>
      <c r="B18" s="438"/>
      <c r="C18" s="438"/>
      <c r="D18" s="438"/>
      <c r="E18" s="438"/>
      <c r="F18" s="438"/>
      <c r="G18" s="438"/>
      <c r="H18" s="438"/>
      <c r="I18" s="438"/>
      <c r="J18" s="438"/>
      <c r="K18" s="438"/>
      <c r="L18" s="433"/>
      <c r="M18" s="433"/>
      <c r="N18" s="433"/>
      <c r="O18" s="433"/>
      <c r="P18" s="433"/>
      <c r="Q18" s="433"/>
      <c r="R18" s="433"/>
      <c r="S18" s="433"/>
      <c r="T18" s="433"/>
      <c r="U18" s="433"/>
      <c r="V18" s="433"/>
      <c r="W18" s="434" t="s">
        <v>343</v>
      </c>
      <c r="X18" s="435"/>
      <c r="Y18" s="435"/>
      <c r="Z18" s="435"/>
      <c r="AA18" s="435"/>
      <c r="AB18" s="435"/>
      <c r="AC18" s="435"/>
      <c r="AD18" s="435"/>
      <c r="AE18" s="435"/>
      <c r="AF18" s="435"/>
      <c r="AG18" s="436"/>
    </row>
    <row r="19" spans="1:33" ht="4.5" customHeight="1" x14ac:dyDescent="0.2">
      <c r="A19" s="438"/>
      <c r="B19" s="438"/>
      <c r="C19" s="438"/>
      <c r="D19" s="438"/>
      <c r="E19" s="438"/>
      <c r="F19" s="438"/>
      <c r="G19" s="438"/>
      <c r="H19" s="438"/>
      <c r="I19" s="438"/>
      <c r="J19" s="438"/>
      <c r="K19" s="438"/>
      <c r="L19" s="433"/>
      <c r="M19" s="433"/>
      <c r="N19" s="433"/>
      <c r="O19" s="433"/>
      <c r="P19" s="433"/>
      <c r="Q19" s="433"/>
      <c r="R19" s="433"/>
      <c r="S19" s="433"/>
      <c r="T19" s="433"/>
      <c r="U19" s="433"/>
      <c r="V19" s="433"/>
      <c r="W19" s="412" t="s">
        <v>340</v>
      </c>
      <c r="X19" s="413"/>
      <c r="Y19" s="413"/>
      <c r="Z19" s="413"/>
      <c r="AA19" s="413"/>
      <c r="AB19" s="413"/>
      <c r="AC19" s="413"/>
      <c r="AD19" s="413"/>
      <c r="AE19" s="413"/>
      <c r="AF19" s="413"/>
      <c r="AG19" s="414"/>
    </row>
    <row r="20" spans="1:33" ht="12.75" customHeight="1" thickBot="1" x14ac:dyDescent="0.25">
      <c r="A20" s="407" t="s">
        <v>320</v>
      </c>
      <c r="B20" s="407"/>
      <c r="C20" s="407"/>
      <c r="D20" s="407"/>
      <c r="E20" s="407"/>
      <c r="F20" s="407"/>
      <c r="G20" s="407"/>
      <c r="H20" s="407"/>
      <c r="I20" s="407"/>
      <c r="J20" s="407"/>
      <c r="K20" s="407"/>
      <c r="L20" s="433"/>
      <c r="M20" s="433"/>
      <c r="N20" s="433"/>
      <c r="O20" s="433"/>
      <c r="P20" s="433"/>
      <c r="Q20" s="433"/>
      <c r="R20" s="433"/>
      <c r="S20" s="433"/>
      <c r="T20" s="433"/>
      <c r="U20" s="433"/>
      <c r="V20" s="433"/>
      <c r="W20" s="415"/>
      <c r="X20" s="416"/>
      <c r="Y20" s="416"/>
      <c r="Z20" s="416"/>
      <c r="AA20" s="416"/>
      <c r="AB20" s="416"/>
      <c r="AC20" s="416"/>
      <c r="AD20" s="416"/>
      <c r="AE20" s="416"/>
      <c r="AF20" s="416"/>
      <c r="AG20" s="417"/>
    </row>
    <row r="21" spans="1:33" ht="12.75" customHeight="1" x14ac:dyDescent="0.2">
      <c r="A21" s="407"/>
      <c r="B21" s="407"/>
      <c r="C21" s="407"/>
      <c r="D21" s="407"/>
      <c r="E21" s="407"/>
      <c r="F21" s="407"/>
      <c r="G21" s="407"/>
      <c r="H21" s="407"/>
      <c r="I21" s="407"/>
      <c r="J21" s="407"/>
      <c r="K21" s="407"/>
      <c r="L21" s="433"/>
      <c r="M21" s="433"/>
      <c r="N21" s="433"/>
      <c r="O21" s="433"/>
      <c r="P21" s="433"/>
      <c r="Q21" s="433"/>
      <c r="R21" s="433"/>
      <c r="S21" s="433"/>
      <c r="T21" s="433"/>
      <c r="U21" s="433"/>
      <c r="V21" s="433"/>
      <c r="W21" s="406" t="s">
        <v>411</v>
      </c>
      <c r="X21" s="406"/>
      <c r="Y21" s="406"/>
      <c r="Z21" s="406"/>
      <c r="AA21" s="406"/>
      <c r="AB21" s="406"/>
      <c r="AC21" s="406"/>
      <c r="AD21" s="406"/>
      <c r="AE21" s="406"/>
      <c r="AF21" s="406"/>
      <c r="AG21" s="406"/>
    </row>
    <row r="22" spans="1:33" ht="12.75" customHeight="1" x14ac:dyDescent="0.2">
      <c r="A22" s="407"/>
      <c r="B22" s="407"/>
      <c r="C22" s="407"/>
      <c r="D22" s="407"/>
      <c r="E22" s="407"/>
      <c r="F22" s="407"/>
      <c r="G22" s="407"/>
      <c r="H22" s="407"/>
      <c r="I22" s="407"/>
      <c r="J22" s="407"/>
      <c r="K22" s="407"/>
      <c r="L22" s="433"/>
      <c r="M22" s="433"/>
      <c r="N22" s="433"/>
      <c r="O22" s="433"/>
      <c r="P22" s="433"/>
      <c r="Q22" s="433"/>
      <c r="R22" s="433"/>
      <c r="S22" s="433"/>
      <c r="T22" s="433"/>
      <c r="U22" s="433"/>
      <c r="V22" s="433"/>
      <c r="W22" s="407"/>
      <c r="X22" s="407"/>
      <c r="Y22" s="407"/>
      <c r="Z22" s="407"/>
      <c r="AA22" s="407"/>
      <c r="AB22" s="407"/>
      <c r="AC22" s="407"/>
      <c r="AD22" s="407"/>
      <c r="AE22" s="407"/>
      <c r="AF22" s="407"/>
      <c r="AG22" s="407"/>
    </row>
    <row r="23" spans="1:33" ht="12.75" customHeight="1" x14ac:dyDescent="0.2">
      <c r="A23" s="407"/>
      <c r="B23" s="407"/>
      <c r="C23" s="407"/>
      <c r="D23" s="407"/>
      <c r="E23" s="407"/>
      <c r="F23" s="407"/>
      <c r="G23" s="407"/>
      <c r="H23" s="407"/>
      <c r="I23" s="407"/>
      <c r="J23" s="407"/>
      <c r="K23" s="407"/>
      <c r="L23" s="433"/>
      <c r="M23" s="433"/>
      <c r="N23" s="433"/>
      <c r="O23" s="433"/>
      <c r="P23" s="433"/>
      <c r="Q23" s="433"/>
      <c r="R23" s="433"/>
      <c r="S23" s="433"/>
      <c r="T23" s="433"/>
      <c r="U23" s="433"/>
      <c r="V23" s="433"/>
      <c r="W23" s="407"/>
      <c r="X23" s="407"/>
      <c r="Y23" s="407"/>
      <c r="Z23" s="407"/>
      <c r="AA23" s="407"/>
      <c r="AB23" s="407"/>
      <c r="AC23" s="407"/>
      <c r="AD23" s="407"/>
      <c r="AE23" s="407"/>
      <c r="AF23" s="407"/>
      <c r="AG23" s="407"/>
    </row>
    <row r="24" spans="1:33" ht="12.75" customHeight="1" x14ac:dyDescent="0.2">
      <c r="A24" s="407"/>
      <c r="B24" s="407"/>
      <c r="C24" s="407"/>
      <c r="D24" s="407"/>
      <c r="E24" s="407"/>
      <c r="F24" s="407"/>
      <c r="G24" s="407"/>
      <c r="H24" s="407"/>
      <c r="I24" s="407"/>
      <c r="J24" s="407"/>
      <c r="K24" s="407"/>
      <c r="L24" s="433"/>
      <c r="M24" s="433"/>
      <c r="N24" s="433"/>
      <c r="O24" s="433"/>
      <c r="P24" s="433"/>
      <c r="Q24" s="433"/>
      <c r="R24" s="433"/>
      <c r="S24" s="433"/>
      <c r="T24" s="433"/>
      <c r="U24" s="433"/>
      <c r="V24" s="433"/>
      <c r="W24" s="407"/>
      <c r="X24" s="407"/>
      <c r="Y24" s="407"/>
      <c r="Z24" s="407"/>
      <c r="AA24" s="407"/>
      <c r="AB24" s="407"/>
      <c r="AC24" s="407"/>
      <c r="AD24" s="407"/>
      <c r="AE24" s="407"/>
      <c r="AF24" s="407"/>
      <c r="AG24" s="407"/>
    </row>
    <row r="25" spans="1:33" ht="12.75" customHeight="1" x14ac:dyDescent="0.2">
      <c r="A25" s="407"/>
      <c r="B25" s="407"/>
      <c r="C25" s="407"/>
      <c r="D25" s="407"/>
      <c r="E25" s="407"/>
      <c r="F25" s="407"/>
      <c r="G25" s="407"/>
      <c r="H25" s="407"/>
      <c r="I25" s="407"/>
      <c r="J25" s="407"/>
      <c r="K25" s="407"/>
      <c r="L25" s="433"/>
      <c r="M25" s="433"/>
      <c r="N25" s="433"/>
      <c r="O25" s="433"/>
      <c r="P25" s="433"/>
      <c r="Q25" s="433"/>
      <c r="R25" s="433"/>
      <c r="S25" s="433"/>
      <c r="T25" s="433"/>
      <c r="U25" s="433"/>
      <c r="V25" s="433"/>
      <c r="W25" s="407"/>
      <c r="X25" s="407"/>
      <c r="Y25" s="407"/>
      <c r="Z25" s="407"/>
      <c r="AA25" s="407"/>
      <c r="AB25" s="407"/>
      <c r="AC25" s="407"/>
      <c r="AD25" s="407"/>
      <c r="AE25" s="407"/>
      <c r="AF25" s="407"/>
      <c r="AG25" s="407"/>
    </row>
    <row r="26" spans="1:33" ht="12.75" customHeight="1" x14ac:dyDescent="0.2">
      <c r="A26" s="407"/>
      <c r="B26" s="407"/>
      <c r="C26" s="407"/>
      <c r="D26" s="407"/>
      <c r="E26" s="407"/>
      <c r="F26" s="407"/>
      <c r="G26" s="407"/>
      <c r="H26" s="407"/>
      <c r="I26" s="407"/>
      <c r="J26" s="407"/>
      <c r="K26" s="407"/>
      <c r="L26" s="433"/>
      <c r="M26" s="433"/>
      <c r="N26" s="433"/>
      <c r="O26" s="433"/>
      <c r="P26" s="433"/>
      <c r="Q26" s="433"/>
      <c r="R26" s="433"/>
      <c r="S26" s="433"/>
      <c r="T26" s="433"/>
      <c r="U26" s="433"/>
      <c r="V26" s="433"/>
      <c r="W26" s="407"/>
      <c r="X26" s="407"/>
      <c r="Y26" s="407"/>
      <c r="Z26" s="407"/>
      <c r="AA26" s="407"/>
      <c r="AB26" s="407"/>
      <c r="AC26" s="407"/>
      <c r="AD26" s="407"/>
      <c r="AE26" s="407"/>
      <c r="AF26" s="407"/>
      <c r="AG26" s="407"/>
    </row>
    <row r="27" spans="1:33" ht="12.75" customHeight="1" x14ac:dyDescent="0.2">
      <c r="A27" s="407"/>
      <c r="B27" s="407"/>
      <c r="C27" s="407"/>
      <c r="D27" s="407"/>
      <c r="E27" s="407"/>
      <c r="F27" s="407"/>
      <c r="G27" s="407"/>
      <c r="H27" s="407"/>
      <c r="I27" s="407"/>
      <c r="J27" s="407"/>
      <c r="K27" s="407"/>
      <c r="L27" s="433"/>
      <c r="M27" s="433"/>
      <c r="N27" s="433"/>
      <c r="O27" s="433"/>
      <c r="P27" s="433"/>
      <c r="Q27" s="433"/>
      <c r="R27" s="433"/>
      <c r="S27" s="433"/>
      <c r="T27" s="433"/>
      <c r="U27" s="433"/>
      <c r="V27" s="433"/>
      <c r="W27" s="407"/>
      <c r="X27" s="407"/>
      <c r="Y27" s="407"/>
      <c r="Z27" s="407"/>
      <c r="AA27" s="407"/>
      <c r="AB27" s="407"/>
      <c r="AC27" s="407"/>
      <c r="AD27" s="407"/>
      <c r="AE27" s="407"/>
      <c r="AF27" s="407"/>
      <c r="AG27" s="407"/>
    </row>
    <row r="28" spans="1:33" ht="12.75" customHeight="1" x14ac:dyDescent="0.2">
      <c r="A28" s="407"/>
      <c r="B28" s="407"/>
      <c r="C28" s="407"/>
      <c r="D28" s="407"/>
      <c r="E28" s="407"/>
      <c r="F28" s="407"/>
      <c r="G28" s="407"/>
      <c r="H28" s="407"/>
      <c r="I28" s="407"/>
      <c r="J28" s="407"/>
      <c r="K28" s="407"/>
      <c r="L28" s="433"/>
      <c r="M28" s="433"/>
      <c r="N28" s="433"/>
      <c r="O28" s="433"/>
      <c r="P28" s="433"/>
      <c r="Q28" s="433"/>
      <c r="R28" s="433"/>
      <c r="S28" s="433"/>
      <c r="T28" s="433"/>
      <c r="U28" s="433"/>
      <c r="V28" s="433"/>
      <c r="W28" s="407"/>
      <c r="X28" s="407"/>
      <c r="Y28" s="407"/>
      <c r="Z28" s="407"/>
      <c r="AA28" s="407"/>
      <c r="AB28" s="407"/>
      <c r="AC28" s="407"/>
      <c r="AD28" s="407"/>
      <c r="AE28" s="407"/>
      <c r="AF28" s="407"/>
      <c r="AG28" s="407"/>
    </row>
    <row r="29" spans="1:33" ht="12.75" customHeight="1" x14ac:dyDescent="0.2">
      <c r="A29" s="407"/>
      <c r="B29" s="407"/>
      <c r="C29" s="407"/>
      <c r="D29" s="407"/>
      <c r="E29" s="407"/>
      <c r="F29" s="407"/>
      <c r="G29" s="407"/>
      <c r="H29" s="407"/>
      <c r="I29" s="407"/>
      <c r="J29" s="407"/>
      <c r="K29" s="407"/>
      <c r="L29" s="433"/>
      <c r="M29" s="433"/>
      <c r="N29" s="433"/>
      <c r="O29" s="433"/>
      <c r="P29" s="433"/>
      <c r="Q29" s="433"/>
      <c r="R29" s="433"/>
      <c r="S29" s="433"/>
      <c r="T29" s="433"/>
      <c r="U29" s="433"/>
      <c r="V29" s="433"/>
      <c r="W29" s="407"/>
      <c r="X29" s="407"/>
      <c r="Y29" s="407"/>
      <c r="Z29" s="407"/>
      <c r="AA29" s="407"/>
      <c r="AB29" s="407"/>
      <c r="AC29" s="407"/>
      <c r="AD29" s="407"/>
      <c r="AE29" s="407"/>
      <c r="AF29" s="407"/>
      <c r="AG29" s="407"/>
    </row>
    <row r="30" spans="1:33" ht="12.75" customHeight="1" x14ac:dyDescent="0.2">
      <c r="A30" s="407"/>
      <c r="B30" s="407"/>
      <c r="C30" s="407"/>
      <c r="D30" s="407"/>
      <c r="E30" s="407"/>
      <c r="F30" s="407"/>
      <c r="G30" s="407"/>
      <c r="H30" s="407"/>
      <c r="I30" s="407"/>
      <c r="J30" s="407"/>
      <c r="K30" s="407"/>
      <c r="L30" s="433"/>
      <c r="M30" s="433"/>
      <c r="N30" s="433"/>
      <c r="O30" s="433"/>
      <c r="P30" s="433"/>
      <c r="Q30" s="433"/>
      <c r="R30" s="433"/>
      <c r="S30" s="433"/>
      <c r="T30" s="433"/>
      <c r="U30" s="433"/>
      <c r="V30" s="433"/>
      <c r="W30" s="407"/>
      <c r="X30" s="407"/>
      <c r="Y30" s="407"/>
      <c r="Z30" s="407"/>
      <c r="AA30" s="407"/>
      <c r="AB30" s="407"/>
      <c r="AC30" s="407"/>
      <c r="AD30" s="407"/>
      <c r="AE30" s="407"/>
      <c r="AF30" s="407"/>
      <c r="AG30" s="407"/>
    </row>
    <row r="31" spans="1:33" ht="12.75" customHeight="1" x14ac:dyDescent="0.2">
      <c r="A31" s="407"/>
      <c r="B31" s="407"/>
      <c r="C31" s="407"/>
      <c r="D31" s="407"/>
      <c r="E31" s="407"/>
      <c r="F31" s="407"/>
      <c r="G31" s="407"/>
      <c r="H31" s="407"/>
      <c r="I31" s="407"/>
      <c r="J31" s="407"/>
      <c r="K31" s="407"/>
      <c r="L31" s="433"/>
      <c r="M31" s="433"/>
      <c r="N31" s="433"/>
      <c r="O31" s="433"/>
      <c r="P31" s="433"/>
      <c r="Q31" s="433"/>
      <c r="R31" s="433"/>
      <c r="S31" s="433"/>
      <c r="T31" s="433"/>
      <c r="U31" s="433"/>
      <c r="V31" s="433"/>
      <c r="W31" s="407"/>
      <c r="X31" s="407"/>
      <c r="Y31" s="407"/>
      <c r="Z31" s="407"/>
      <c r="AA31" s="407"/>
      <c r="AB31" s="407"/>
      <c r="AC31" s="407"/>
      <c r="AD31" s="407"/>
      <c r="AE31" s="407"/>
      <c r="AF31" s="407"/>
      <c r="AG31" s="407"/>
    </row>
    <row r="32" spans="1:33" ht="12.75" customHeight="1" x14ac:dyDescent="0.2">
      <c r="A32" s="407"/>
      <c r="B32" s="407"/>
      <c r="C32" s="407"/>
      <c r="D32" s="407"/>
      <c r="E32" s="407"/>
      <c r="F32" s="407"/>
      <c r="G32" s="407"/>
      <c r="H32" s="407"/>
      <c r="I32" s="407"/>
      <c r="J32" s="407"/>
      <c r="K32" s="407"/>
      <c r="L32" s="433"/>
      <c r="M32" s="433"/>
      <c r="N32" s="433"/>
      <c r="O32" s="433"/>
      <c r="P32" s="433"/>
      <c r="Q32" s="433"/>
      <c r="R32" s="433"/>
      <c r="S32" s="433"/>
      <c r="T32" s="433"/>
      <c r="U32" s="433"/>
      <c r="V32" s="433"/>
      <c r="W32" s="407"/>
      <c r="X32" s="407"/>
      <c r="Y32" s="407"/>
      <c r="Z32" s="407"/>
      <c r="AA32" s="407"/>
      <c r="AB32" s="407"/>
      <c r="AC32" s="407"/>
      <c r="AD32" s="407"/>
      <c r="AE32" s="407"/>
      <c r="AF32" s="407"/>
      <c r="AG32" s="407"/>
    </row>
    <row r="33" spans="1:33" ht="12.75" customHeight="1" x14ac:dyDescent="0.2">
      <c r="A33" s="407"/>
      <c r="B33" s="407"/>
      <c r="C33" s="407"/>
      <c r="D33" s="407"/>
      <c r="E33" s="407"/>
      <c r="F33" s="407"/>
      <c r="G33" s="407"/>
      <c r="H33" s="407"/>
      <c r="I33" s="407"/>
      <c r="J33" s="407"/>
      <c r="K33" s="407"/>
      <c r="L33" s="433"/>
      <c r="M33" s="433"/>
      <c r="N33" s="433"/>
      <c r="O33" s="433"/>
      <c r="P33" s="433"/>
      <c r="Q33" s="433"/>
      <c r="R33" s="433"/>
      <c r="S33" s="433"/>
      <c r="T33" s="433"/>
      <c r="U33" s="433"/>
      <c r="V33" s="433"/>
      <c r="W33" s="407"/>
      <c r="X33" s="407"/>
      <c r="Y33" s="407"/>
      <c r="Z33" s="407"/>
      <c r="AA33" s="407"/>
      <c r="AB33" s="407"/>
      <c r="AC33" s="407"/>
      <c r="AD33" s="407"/>
      <c r="AE33" s="407"/>
      <c r="AF33" s="407"/>
      <c r="AG33" s="407"/>
    </row>
    <row r="34" spans="1:33" ht="12.75" customHeight="1" x14ac:dyDescent="0.2">
      <c r="A34" s="407"/>
      <c r="B34" s="407"/>
      <c r="C34" s="407"/>
      <c r="D34" s="407"/>
      <c r="E34" s="407"/>
      <c r="F34" s="407"/>
      <c r="G34" s="407"/>
      <c r="H34" s="407"/>
      <c r="I34" s="407"/>
      <c r="J34" s="407"/>
      <c r="K34" s="407"/>
      <c r="L34" s="433"/>
      <c r="M34" s="433"/>
      <c r="N34" s="433"/>
      <c r="O34" s="433"/>
      <c r="P34" s="433"/>
      <c r="Q34" s="433"/>
      <c r="R34" s="433"/>
      <c r="S34" s="433"/>
      <c r="T34" s="433"/>
      <c r="U34" s="433"/>
      <c r="V34" s="433"/>
      <c r="W34" s="407"/>
      <c r="X34" s="407"/>
      <c r="Y34" s="407"/>
      <c r="Z34" s="407"/>
      <c r="AA34" s="407"/>
      <c r="AB34" s="407"/>
      <c r="AC34" s="407"/>
      <c r="AD34" s="407"/>
      <c r="AE34" s="407"/>
      <c r="AF34" s="407"/>
      <c r="AG34" s="407"/>
    </row>
    <row r="35" spans="1:33" ht="12.75" customHeight="1" x14ac:dyDescent="0.2">
      <c r="A35" s="407"/>
      <c r="B35" s="407"/>
      <c r="C35" s="407"/>
      <c r="D35" s="407"/>
      <c r="E35" s="407"/>
      <c r="F35" s="407"/>
      <c r="G35" s="407"/>
      <c r="H35" s="407"/>
      <c r="I35" s="407"/>
      <c r="J35" s="407"/>
      <c r="K35" s="407"/>
      <c r="L35" s="433"/>
      <c r="M35" s="433"/>
      <c r="N35" s="433"/>
      <c r="O35" s="433"/>
      <c r="P35" s="433"/>
      <c r="Q35" s="433"/>
      <c r="R35" s="433"/>
      <c r="S35" s="433"/>
      <c r="T35" s="433"/>
      <c r="U35" s="433"/>
      <c r="V35" s="433"/>
      <c r="W35" s="407"/>
      <c r="X35" s="407"/>
      <c r="Y35" s="407"/>
      <c r="Z35" s="407"/>
      <c r="AA35" s="407"/>
      <c r="AB35" s="407"/>
      <c r="AC35" s="407"/>
      <c r="AD35" s="407"/>
      <c r="AE35" s="407"/>
      <c r="AF35" s="407"/>
      <c r="AG35" s="407"/>
    </row>
    <row r="36" spans="1:33" ht="12.75" customHeight="1" x14ac:dyDescent="0.2">
      <c r="A36" s="407"/>
      <c r="B36" s="407"/>
      <c r="C36" s="407"/>
      <c r="D36" s="407"/>
      <c r="E36" s="407"/>
      <c r="F36" s="407"/>
      <c r="G36" s="407"/>
      <c r="H36" s="407"/>
      <c r="I36" s="407"/>
      <c r="J36" s="407"/>
      <c r="K36" s="407"/>
      <c r="L36" s="433"/>
      <c r="M36" s="433"/>
      <c r="N36" s="433"/>
      <c r="O36" s="433"/>
      <c r="P36" s="433"/>
      <c r="Q36" s="433"/>
      <c r="R36" s="433"/>
      <c r="S36" s="433"/>
      <c r="T36" s="433"/>
      <c r="U36" s="433"/>
      <c r="V36" s="433"/>
      <c r="W36" s="407"/>
      <c r="X36" s="407"/>
      <c r="Y36" s="407"/>
      <c r="Z36" s="407"/>
      <c r="AA36" s="407"/>
      <c r="AB36" s="407"/>
      <c r="AC36" s="407"/>
      <c r="AD36" s="407"/>
      <c r="AE36" s="407"/>
      <c r="AF36" s="407"/>
      <c r="AG36" s="407"/>
    </row>
    <row r="37" spans="1:33" ht="12.75" customHeight="1" x14ac:dyDescent="0.2">
      <c r="A37" s="407"/>
      <c r="B37" s="407"/>
      <c r="C37" s="407"/>
      <c r="D37" s="407"/>
      <c r="E37" s="407"/>
      <c r="F37" s="407"/>
      <c r="G37" s="407"/>
      <c r="H37" s="407"/>
      <c r="I37" s="407"/>
      <c r="J37" s="407"/>
      <c r="K37" s="407"/>
      <c r="L37" s="433"/>
      <c r="M37" s="433"/>
      <c r="N37" s="433"/>
      <c r="O37" s="433"/>
      <c r="P37" s="433"/>
      <c r="Q37" s="433"/>
      <c r="R37" s="433"/>
      <c r="S37" s="433"/>
      <c r="T37" s="433"/>
      <c r="U37" s="433"/>
      <c r="V37" s="433"/>
      <c r="W37" s="407"/>
      <c r="X37" s="407"/>
      <c r="Y37" s="407"/>
      <c r="Z37" s="407"/>
      <c r="AA37" s="407"/>
      <c r="AB37" s="407"/>
      <c r="AC37" s="407"/>
      <c r="AD37" s="407"/>
      <c r="AE37" s="407"/>
      <c r="AF37" s="407"/>
      <c r="AG37" s="407"/>
    </row>
    <row r="38" spans="1:33" ht="12.75" customHeight="1" x14ac:dyDescent="0.2">
      <c r="A38" s="407"/>
      <c r="B38" s="407"/>
      <c r="C38" s="407"/>
      <c r="D38" s="407"/>
      <c r="E38" s="407"/>
      <c r="F38" s="407"/>
      <c r="G38" s="407"/>
      <c r="H38" s="407"/>
      <c r="I38" s="407"/>
      <c r="J38" s="407"/>
      <c r="K38" s="407"/>
      <c r="L38" s="433"/>
      <c r="M38" s="433"/>
      <c r="N38" s="433"/>
      <c r="O38" s="433"/>
      <c r="P38" s="433"/>
      <c r="Q38" s="433"/>
      <c r="R38" s="433"/>
      <c r="S38" s="433"/>
      <c r="T38" s="433"/>
      <c r="U38" s="433"/>
      <c r="V38" s="433"/>
      <c r="W38" s="407"/>
      <c r="X38" s="407"/>
      <c r="Y38" s="407"/>
      <c r="Z38" s="407"/>
      <c r="AA38" s="407"/>
      <c r="AB38" s="407"/>
      <c r="AC38" s="407"/>
      <c r="AD38" s="407"/>
      <c r="AE38" s="407"/>
      <c r="AF38" s="407"/>
      <c r="AG38" s="407"/>
    </row>
    <row r="39" spans="1:33" ht="12.75" customHeight="1" x14ac:dyDescent="0.2">
      <c r="A39" s="407"/>
      <c r="B39" s="407"/>
      <c r="C39" s="407"/>
      <c r="D39" s="407"/>
      <c r="E39" s="407"/>
      <c r="F39" s="407"/>
      <c r="G39" s="407"/>
      <c r="H39" s="407"/>
      <c r="I39" s="407"/>
      <c r="J39" s="407"/>
      <c r="K39" s="407"/>
      <c r="L39" s="433"/>
      <c r="M39" s="433"/>
      <c r="N39" s="433"/>
      <c r="O39" s="433"/>
      <c r="P39" s="433"/>
      <c r="Q39" s="433"/>
      <c r="R39" s="433"/>
      <c r="S39" s="433"/>
      <c r="T39" s="433"/>
      <c r="U39" s="433"/>
      <c r="V39" s="433"/>
      <c r="W39" s="407"/>
      <c r="X39" s="407"/>
      <c r="Y39" s="407"/>
      <c r="Z39" s="407"/>
      <c r="AA39" s="407"/>
      <c r="AB39" s="407"/>
      <c r="AC39" s="407"/>
      <c r="AD39" s="407"/>
      <c r="AE39" s="407"/>
      <c r="AF39" s="407"/>
      <c r="AG39" s="407"/>
    </row>
    <row r="40" spans="1:33" ht="12.75" customHeight="1" x14ac:dyDescent="0.2">
      <c r="A40" s="407"/>
      <c r="B40" s="407"/>
      <c r="C40" s="407"/>
      <c r="D40" s="407"/>
      <c r="E40" s="407"/>
      <c r="F40" s="407"/>
      <c r="G40" s="407"/>
      <c r="H40" s="407"/>
      <c r="I40" s="407"/>
      <c r="J40" s="407"/>
      <c r="K40" s="407"/>
      <c r="L40" s="433"/>
      <c r="M40" s="433"/>
      <c r="N40" s="433"/>
      <c r="O40" s="433"/>
      <c r="P40" s="433"/>
      <c r="Q40" s="433"/>
      <c r="R40" s="433"/>
      <c r="S40" s="433"/>
      <c r="T40" s="433"/>
      <c r="U40" s="433"/>
      <c r="V40" s="433"/>
      <c r="W40" s="407"/>
      <c r="X40" s="407"/>
      <c r="Y40" s="407"/>
      <c r="Z40" s="407"/>
      <c r="AA40" s="407"/>
      <c r="AB40" s="407"/>
      <c r="AC40" s="407"/>
      <c r="AD40" s="407"/>
      <c r="AE40" s="407"/>
      <c r="AF40" s="407"/>
      <c r="AG40" s="407"/>
    </row>
    <row r="41" spans="1:33" ht="12.75" customHeight="1" x14ac:dyDescent="0.2">
      <c r="A41" s="407"/>
      <c r="B41" s="407"/>
      <c r="C41" s="407"/>
      <c r="D41" s="407"/>
      <c r="E41" s="407"/>
      <c r="F41" s="407"/>
      <c r="G41" s="407"/>
      <c r="H41" s="407"/>
      <c r="I41" s="407"/>
      <c r="J41" s="407"/>
      <c r="K41" s="407"/>
      <c r="L41" s="433"/>
      <c r="M41" s="433"/>
      <c r="N41" s="433"/>
      <c r="O41" s="433"/>
      <c r="P41" s="433"/>
      <c r="Q41" s="433"/>
      <c r="R41" s="433"/>
      <c r="S41" s="433"/>
      <c r="T41" s="433"/>
      <c r="U41" s="433"/>
      <c r="V41" s="433"/>
      <c r="W41" s="407"/>
      <c r="X41" s="407"/>
      <c r="Y41" s="407"/>
      <c r="Z41" s="407"/>
      <c r="AA41" s="407"/>
      <c r="AB41" s="407"/>
      <c r="AC41" s="407"/>
      <c r="AD41" s="407"/>
      <c r="AE41" s="407"/>
      <c r="AF41" s="407"/>
      <c r="AG41" s="407"/>
    </row>
    <row r="42" spans="1:33" ht="12.75" customHeight="1" x14ac:dyDescent="0.2">
      <c r="A42" s="407"/>
      <c r="B42" s="407"/>
      <c r="C42" s="407"/>
      <c r="D42" s="407"/>
      <c r="E42" s="407"/>
      <c r="F42" s="407"/>
      <c r="G42" s="407"/>
      <c r="H42" s="407"/>
      <c r="I42" s="407"/>
      <c r="J42" s="407"/>
      <c r="K42" s="407"/>
      <c r="L42" s="433"/>
      <c r="M42" s="433"/>
      <c r="N42" s="433"/>
      <c r="O42" s="433"/>
      <c r="P42" s="433"/>
      <c r="Q42" s="433"/>
      <c r="R42" s="433"/>
      <c r="S42" s="433"/>
      <c r="T42" s="433"/>
      <c r="U42" s="433"/>
      <c r="V42" s="433"/>
      <c r="W42" s="407"/>
      <c r="X42" s="407"/>
      <c r="Y42" s="407"/>
      <c r="Z42" s="407"/>
      <c r="AA42" s="407"/>
      <c r="AB42" s="407"/>
      <c r="AC42" s="407"/>
      <c r="AD42" s="407"/>
      <c r="AE42" s="407"/>
      <c r="AF42" s="407"/>
      <c r="AG42" s="407"/>
    </row>
    <row r="43" spans="1:33" ht="12.75" customHeight="1" x14ac:dyDescent="0.2">
      <c r="A43" s="407"/>
      <c r="B43" s="407"/>
      <c r="C43" s="407"/>
      <c r="D43" s="407"/>
      <c r="E43" s="407"/>
      <c r="F43" s="407"/>
      <c r="G43" s="407"/>
      <c r="H43" s="407"/>
      <c r="I43" s="407"/>
      <c r="J43" s="407"/>
      <c r="K43" s="407"/>
      <c r="L43" s="433"/>
      <c r="M43" s="433"/>
      <c r="N43" s="433"/>
      <c r="O43" s="433"/>
      <c r="P43" s="433"/>
      <c r="Q43" s="433"/>
      <c r="R43" s="433"/>
      <c r="S43" s="433"/>
      <c r="T43" s="433"/>
      <c r="U43" s="433"/>
      <c r="V43" s="433"/>
      <c r="W43" s="407"/>
      <c r="X43" s="407"/>
      <c r="Y43" s="407"/>
      <c r="Z43" s="407"/>
      <c r="AA43" s="407"/>
      <c r="AB43" s="407"/>
      <c r="AC43" s="407"/>
      <c r="AD43" s="407"/>
      <c r="AE43" s="407"/>
      <c r="AF43" s="407"/>
      <c r="AG43" s="407"/>
    </row>
    <row r="44" spans="1:33" ht="12.75" customHeight="1" x14ac:dyDescent="0.2">
      <c r="A44" s="407"/>
      <c r="B44" s="407"/>
      <c r="C44" s="407"/>
      <c r="D44" s="407"/>
      <c r="E44" s="407"/>
      <c r="F44" s="407"/>
      <c r="G44" s="407"/>
      <c r="H44" s="407"/>
      <c r="I44" s="407"/>
      <c r="J44" s="407"/>
      <c r="K44" s="407"/>
      <c r="L44" s="433"/>
      <c r="M44" s="433"/>
      <c r="N44" s="433"/>
      <c r="O44" s="433"/>
      <c r="P44" s="433"/>
      <c r="Q44" s="433"/>
      <c r="R44" s="433"/>
      <c r="S44" s="433"/>
      <c r="T44" s="433"/>
      <c r="U44" s="433"/>
      <c r="V44" s="433"/>
      <c r="W44" s="407"/>
      <c r="X44" s="407"/>
      <c r="Y44" s="407"/>
      <c r="Z44" s="407"/>
      <c r="AA44" s="407"/>
      <c r="AB44" s="407"/>
      <c r="AC44" s="407"/>
      <c r="AD44" s="407"/>
      <c r="AE44" s="407"/>
      <c r="AF44" s="407"/>
      <c r="AG44" s="407"/>
    </row>
    <row r="45" spans="1:33" ht="12.75" customHeight="1" x14ac:dyDescent="0.2">
      <c r="A45" s="407"/>
      <c r="B45" s="407"/>
      <c r="C45" s="407"/>
      <c r="D45" s="407"/>
      <c r="E45" s="407"/>
      <c r="F45" s="407"/>
      <c r="G45" s="407"/>
      <c r="H45" s="407"/>
      <c r="I45" s="407"/>
      <c r="J45" s="407"/>
      <c r="K45" s="407"/>
      <c r="L45" s="433"/>
      <c r="M45" s="433"/>
      <c r="N45" s="433"/>
      <c r="O45" s="433"/>
      <c r="P45" s="433"/>
      <c r="Q45" s="433"/>
      <c r="R45" s="433"/>
      <c r="S45" s="433"/>
      <c r="T45" s="433"/>
      <c r="U45" s="433"/>
      <c r="V45" s="433"/>
      <c r="W45" s="407"/>
      <c r="X45" s="407"/>
      <c r="Y45" s="407"/>
      <c r="Z45" s="407"/>
      <c r="AA45" s="407"/>
      <c r="AB45" s="407"/>
      <c r="AC45" s="407"/>
      <c r="AD45" s="407"/>
      <c r="AE45" s="407"/>
      <c r="AF45" s="407"/>
      <c r="AG45" s="407"/>
    </row>
    <row r="46" spans="1:33" ht="12.75" customHeight="1" x14ac:dyDescent="0.2">
      <c r="A46" s="407"/>
      <c r="B46" s="407"/>
      <c r="C46" s="407"/>
      <c r="D46" s="407"/>
      <c r="E46" s="407"/>
      <c r="F46" s="407"/>
      <c r="G46" s="407"/>
      <c r="H46" s="407"/>
      <c r="I46" s="407"/>
      <c r="J46" s="407"/>
      <c r="K46" s="407"/>
      <c r="L46" s="433"/>
      <c r="M46" s="433"/>
      <c r="N46" s="433"/>
      <c r="O46" s="433"/>
      <c r="P46" s="433"/>
      <c r="Q46" s="433"/>
      <c r="R46" s="433"/>
      <c r="S46" s="433"/>
      <c r="T46" s="433"/>
      <c r="U46" s="433"/>
      <c r="V46" s="433"/>
      <c r="W46" s="407"/>
      <c r="X46" s="407"/>
      <c r="Y46" s="407"/>
      <c r="Z46" s="407"/>
      <c r="AA46" s="407"/>
      <c r="AB46" s="407"/>
      <c r="AC46" s="407"/>
      <c r="AD46" s="407"/>
      <c r="AE46" s="407"/>
      <c r="AF46" s="407"/>
      <c r="AG46" s="407"/>
    </row>
    <row r="47" spans="1:33" ht="12.75" customHeight="1" x14ac:dyDescent="0.2">
      <c r="A47" s="407"/>
      <c r="B47" s="407"/>
      <c r="C47" s="407"/>
      <c r="D47" s="407"/>
      <c r="E47" s="407"/>
      <c r="F47" s="407"/>
      <c r="G47" s="407"/>
      <c r="H47" s="407"/>
      <c r="I47" s="407"/>
      <c r="J47" s="407"/>
      <c r="K47" s="407"/>
      <c r="L47" s="433"/>
      <c r="M47" s="433"/>
      <c r="N47" s="433"/>
      <c r="O47" s="433"/>
      <c r="P47" s="433"/>
      <c r="Q47" s="433"/>
      <c r="R47" s="433"/>
      <c r="S47" s="433"/>
      <c r="T47" s="433"/>
      <c r="U47" s="433"/>
      <c r="V47" s="433"/>
      <c r="W47" s="407"/>
      <c r="X47" s="407"/>
      <c r="Y47" s="407"/>
      <c r="Z47" s="407"/>
      <c r="AA47" s="407"/>
      <c r="AB47" s="407"/>
      <c r="AC47" s="407"/>
      <c r="AD47" s="407"/>
      <c r="AE47" s="407"/>
      <c r="AF47" s="407"/>
      <c r="AG47" s="407"/>
    </row>
    <row r="48" spans="1:33" ht="12.75" customHeight="1" x14ac:dyDescent="0.2">
      <c r="A48" s="407"/>
      <c r="B48" s="407"/>
      <c r="C48" s="407"/>
      <c r="D48" s="407"/>
      <c r="E48" s="407"/>
      <c r="F48" s="407"/>
      <c r="G48" s="407"/>
      <c r="H48" s="407"/>
      <c r="I48" s="407"/>
      <c r="J48" s="407"/>
      <c r="K48" s="407"/>
      <c r="L48" s="433"/>
      <c r="M48" s="433"/>
      <c r="N48" s="433"/>
      <c r="O48" s="433"/>
      <c r="P48" s="433"/>
      <c r="Q48" s="433"/>
      <c r="R48" s="433"/>
      <c r="S48" s="433"/>
      <c r="T48" s="433"/>
      <c r="U48" s="433"/>
      <c r="V48" s="433"/>
      <c r="W48" s="407"/>
      <c r="X48" s="407"/>
      <c r="Y48" s="407"/>
      <c r="Z48" s="407"/>
      <c r="AA48" s="407"/>
      <c r="AB48" s="407"/>
      <c r="AC48" s="407"/>
      <c r="AD48" s="407"/>
      <c r="AE48" s="407"/>
      <c r="AF48" s="407"/>
      <c r="AG48" s="407"/>
    </row>
    <row r="49" spans="1:33" ht="12.75" customHeight="1" x14ac:dyDescent="0.2">
      <c r="A49" s="407"/>
      <c r="B49" s="407"/>
      <c r="C49" s="407"/>
      <c r="D49" s="407"/>
      <c r="E49" s="407"/>
      <c r="F49" s="407"/>
      <c r="G49" s="407"/>
      <c r="H49" s="407"/>
      <c r="I49" s="407"/>
      <c r="J49" s="407"/>
      <c r="K49" s="407"/>
      <c r="L49" s="433"/>
      <c r="M49" s="433"/>
      <c r="N49" s="433"/>
      <c r="O49" s="433"/>
      <c r="P49" s="433"/>
      <c r="Q49" s="433"/>
      <c r="R49" s="433"/>
      <c r="S49" s="433"/>
      <c r="T49" s="433"/>
      <c r="U49" s="433"/>
      <c r="V49" s="433"/>
      <c r="W49" s="407"/>
      <c r="X49" s="407"/>
      <c r="Y49" s="407"/>
      <c r="Z49" s="407"/>
      <c r="AA49" s="407"/>
      <c r="AB49" s="407"/>
      <c r="AC49" s="407"/>
      <c r="AD49" s="407"/>
      <c r="AE49" s="407"/>
      <c r="AF49" s="407"/>
      <c r="AG49" s="407"/>
    </row>
    <row r="50" spans="1:33" ht="12.75" customHeight="1" x14ac:dyDescent="0.2">
      <c r="A50" s="407"/>
      <c r="B50" s="407"/>
      <c r="C50" s="407"/>
      <c r="D50" s="407"/>
      <c r="E50" s="407"/>
      <c r="F50" s="407"/>
      <c r="G50" s="407"/>
      <c r="H50" s="407"/>
      <c r="I50" s="407"/>
      <c r="J50" s="407"/>
      <c r="K50" s="407"/>
      <c r="L50" s="433"/>
      <c r="M50" s="433"/>
      <c r="N50" s="433"/>
      <c r="O50" s="433"/>
      <c r="P50" s="433"/>
      <c r="Q50" s="433"/>
      <c r="R50" s="433"/>
      <c r="S50" s="433"/>
      <c r="T50" s="433"/>
      <c r="U50" s="433"/>
      <c r="V50" s="433"/>
      <c r="W50" s="407"/>
      <c r="X50" s="407"/>
      <c r="Y50" s="407"/>
      <c r="Z50" s="407"/>
      <c r="AA50" s="407"/>
      <c r="AB50" s="407"/>
      <c r="AC50" s="407"/>
      <c r="AD50" s="407"/>
      <c r="AE50" s="407"/>
      <c r="AF50" s="407"/>
      <c r="AG50" s="407"/>
    </row>
    <row r="51" spans="1:33" ht="12.75" customHeight="1" x14ac:dyDescent="0.2">
      <c r="A51" s="407"/>
      <c r="B51" s="407"/>
      <c r="C51" s="407"/>
      <c r="D51" s="407"/>
      <c r="E51" s="407"/>
      <c r="F51" s="407"/>
      <c r="G51" s="407"/>
      <c r="H51" s="407"/>
      <c r="I51" s="407"/>
      <c r="J51" s="407"/>
      <c r="K51" s="407"/>
      <c r="L51" s="433"/>
      <c r="M51" s="433"/>
      <c r="N51" s="433"/>
      <c r="O51" s="433"/>
      <c r="P51" s="433"/>
      <c r="Q51" s="433"/>
      <c r="R51" s="433"/>
      <c r="S51" s="433"/>
      <c r="T51" s="433"/>
      <c r="U51" s="433"/>
      <c r="V51" s="433"/>
      <c r="W51" s="407"/>
      <c r="X51" s="407"/>
      <c r="Y51" s="407"/>
      <c r="Z51" s="407"/>
      <c r="AA51" s="407"/>
      <c r="AB51" s="407"/>
      <c r="AC51" s="407"/>
      <c r="AD51" s="407"/>
      <c r="AE51" s="407"/>
      <c r="AF51" s="407"/>
      <c r="AG51" s="407"/>
    </row>
    <row r="52" spans="1:33" ht="12.75" customHeight="1" x14ac:dyDescent="0.2">
      <c r="A52" s="407"/>
      <c r="B52" s="407"/>
      <c r="C52" s="407"/>
      <c r="D52" s="407"/>
      <c r="E52" s="407"/>
      <c r="F52" s="407"/>
      <c r="G52" s="407"/>
      <c r="H52" s="407"/>
      <c r="I52" s="407"/>
      <c r="J52" s="407"/>
      <c r="K52" s="407"/>
      <c r="L52" s="433"/>
      <c r="M52" s="433"/>
      <c r="N52" s="433"/>
      <c r="O52" s="433"/>
      <c r="P52" s="433"/>
      <c r="Q52" s="433"/>
      <c r="R52" s="433"/>
      <c r="S52" s="433"/>
      <c r="T52" s="433"/>
      <c r="U52" s="433"/>
      <c r="V52" s="433"/>
      <c r="W52" s="183" t="s">
        <v>33</v>
      </c>
      <c r="X52" s="408">
        <f>Памятка!E4</f>
        <v>0</v>
      </c>
      <c r="Y52" s="408"/>
      <c r="Z52" s="181"/>
      <c r="AA52" s="181"/>
      <c r="AB52" s="181"/>
      <c r="AC52" s="181"/>
      <c r="AD52" s="181"/>
      <c r="AE52" s="181"/>
      <c r="AF52" s="181"/>
      <c r="AG52" s="181"/>
    </row>
    <row r="53" spans="1:33" ht="12.75" customHeight="1" x14ac:dyDescent="0.2">
      <c r="A53" s="407"/>
      <c r="B53" s="407"/>
      <c r="C53" s="407"/>
      <c r="D53" s="407"/>
      <c r="E53" s="407"/>
      <c r="F53" s="407"/>
      <c r="G53" s="407"/>
      <c r="H53" s="407"/>
      <c r="I53" s="407"/>
      <c r="J53" s="407"/>
      <c r="K53" s="407"/>
      <c r="L53" s="433"/>
      <c r="M53" s="433"/>
      <c r="N53" s="433"/>
      <c r="O53" s="433"/>
      <c r="P53" s="433"/>
      <c r="Q53" s="433"/>
      <c r="R53" s="433"/>
      <c r="S53" s="433"/>
      <c r="T53" s="433"/>
      <c r="U53" s="433"/>
      <c r="V53" s="433"/>
      <c r="W53" s="405" t="s">
        <v>346</v>
      </c>
      <c r="X53" s="405"/>
      <c r="Y53" s="405"/>
      <c r="Z53" s="405"/>
      <c r="AA53" s="405"/>
      <c r="AB53" s="405"/>
      <c r="AC53" s="405"/>
      <c r="AD53" s="405"/>
      <c r="AE53" s="405"/>
      <c r="AF53" s="405"/>
      <c r="AG53" s="405"/>
    </row>
    <row r="54" spans="1:33" ht="12.75" customHeight="1" x14ac:dyDescent="0.2">
      <c r="A54" s="407"/>
      <c r="B54" s="407"/>
      <c r="C54" s="407"/>
      <c r="D54" s="407"/>
      <c r="E54" s="407"/>
      <c r="F54" s="407"/>
      <c r="G54" s="407"/>
      <c r="H54" s="407"/>
      <c r="I54" s="407"/>
      <c r="J54" s="407"/>
      <c r="K54" s="407"/>
      <c r="L54" s="433"/>
      <c r="M54" s="433"/>
      <c r="N54" s="433"/>
      <c r="O54" s="433"/>
      <c r="P54" s="433"/>
      <c r="Q54" s="433"/>
      <c r="R54" s="433"/>
      <c r="S54" s="433"/>
      <c r="T54" s="433"/>
      <c r="U54" s="433"/>
      <c r="V54" s="433"/>
      <c r="W54" s="405"/>
      <c r="X54" s="405"/>
      <c r="Y54" s="405"/>
      <c r="Z54" s="405"/>
      <c r="AA54" s="405"/>
      <c r="AB54" s="405"/>
      <c r="AC54" s="405"/>
      <c r="AD54" s="405"/>
      <c r="AE54" s="405"/>
      <c r="AF54" s="405"/>
      <c r="AG54" s="405"/>
    </row>
    <row r="55" spans="1:33" ht="12.75" customHeight="1" x14ac:dyDescent="0.2">
      <c r="A55" s="407"/>
      <c r="B55" s="407"/>
      <c r="C55" s="407"/>
      <c r="D55" s="407"/>
      <c r="E55" s="407"/>
      <c r="F55" s="407"/>
      <c r="G55" s="407"/>
      <c r="H55" s="407"/>
      <c r="I55" s="407"/>
      <c r="J55" s="407"/>
      <c r="K55" s="407"/>
      <c r="L55" s="433"/>
      <c r="M55" s="433"/>
      <c r="N55" s="433"/>
      <c r="O55" s="433"/>
      <c r="P55" s="433"/>
      <c r="Q55" s="433"/>
      <c r="R55" s="433"/>
      <c r="S55" s="433"/>
      <c r="T55" s="433"/>
      <c r="U55" s="433"/>
      <c r="V55" s="433"/>
      <c r="W55" s="405"/>
      <c r="X55" s="405"/>
      <c r="Y55" s="405"/>
      <c r="Z55" s="405"/>
      <c r="AA55" s="405"/>
      <c r="AB55" s="405"/>
      <c r="AC55" s="405"/>
      <c r="AD55" s="405"/>
      <c r="AE55" s="405"/>
      <c r="AF55" s="405"/>
      <c r="AG55" s="405"/>
    </row>
    <row r="56" spans="1:33" ht="12.75" customHeight="1" x14ac:dyDescent="0.2">
      <c r="A56" s="407"/>
      <c r="B56" s="407"/>
      <c r="C56" s="407"/>
      <c r="D56" s="407"/>
      <c r="E56" s="407"/>
      <c r="F56" s="407"/>
      <c r="G56" s="407"/>
      <c r="H56" s="407"/>
      <c r="I56" s="407"/>
      <c r="J56" s="407"/>
      <c r="K56" s="407"/>
      <c r="L56" s="433"/>
      <c r="M56" s="433"/>
      <c r="N56" s="433"/>
      <c r="O56" s="433"/>
      <c r="P56" s="433"/>
      <c r="Q56" s="433"/>
      <c r="R56" s="433"/>
      <c r="S56" s="433"/>
      <c r="T56" s="433"/>
      <c r="U56" s="433"/>
      <c r="V56" s="433"/>
      <c r="W56" s="405"/>
      <c r="X56" s="405"/>
      <c r="Y56" s="405"/>
      <c r="Z56" s="405"/>
      <c r="AA56" s="405"/>
      <c r="AB56" s="405"/>
      <c r="AC56" s="405"/>
      <c r="AD56" s="405"/>
      <c r="AE56" s="405"/>
      <c r="AF56" s="405"/>
      <c r="AG56" s="405"/>
    </row>
    <row r="57" spans="1:33" ht="12.75" customHeight="1" x14ac:dyDescent="0.2">
      <c r="A57" s="407"/>
      <c r="B57" s="407"/>
      <c r="C57" s="407"/>
      <c r="D57" s="407"/>
      <c r="E57" s="407"/>
      <c r="F57" s="407"/>
      <c r="G57" s="407"/>
      <c r="H57" s="407"/>
      <c r="I57" s="407"/>
      <c r="J57" s="407"/>
      <c r="K57" s="407"/>
      <c r="L57" s="433"/>
      <c r="M57" s="433"/>
      <c r="N57" s="433"/>
      <c r="O57" s="433"/>
      <c r="P57" s="433"/>
      <c r="Q57" s="433"/>
      <c r="R57" s="433"/>
      <c r="S57" s="433"/>
      <c r="T57" s="433"/>
      <c r="U57" s="433"/>
      <c r="V57" s="433"/>
      <c r="W57" s="405"/>
      <c r="X57" s="405"/>
      <c r="Y57" s="405"/>
      <c r="Z57" s="405"/>
      <c r="AA57" s="405"/>
      <c r="AB57" s="405"/>
      <c r="AC57" s="405"/>
      <c r="AD57" s="405"/>
      <c r="AE57" s="405"/>
      <c r="AF57" s="405"/>
      <c r="AG57" s="405"/>
    </row>
    <row r="58" spans="1:33" ht="12.75" customHeight="1" thickBot="1" x14ac:dyDescent="0.25">
      <c r="A58" s="407"/>
      <c r="B58" s="407"/>
      <c r="C58" s="407"/>
      <c r="D58" s="407"/>
      <c r="E58" s="407"/>
      <c r="F58" s="407"/>
      <c r="G58" s="407"/>
      <c r="H58" s="407"/>
      <c r="I58" s="407"/>
      <c r="J58" s="407"/>
      <c r="K58" s="407"/>
      <c r="L58" s="433"/>
      <c r="M58" s="433"/>
      <c r="N58" s="433"/>
      <c r="O58" s="433"/>
      <c r="P58" s="433"/>
      <c r="Q58" s="433"/>
      <c r="R58" s="433"/>
      <c r="S58" s="433"/>
      <c r="T58" s="433"/>
      <c r="U58" s="433"/>
      <c r="V58" s="433"/>
      <c r="W58" s="405"/>
      <c r="X58" s="405"/>
      <c r="Y58" s="405"/>
      <c r="Z58" s="405"/>
      <c r="AA58" s="405"/>
      <c r="AB58" s="405"/>
      <c r="AC58" s="405"/>
      <c r="AD58" s="405"/>
      <c r="AE58" s="405"/>
      <c r="AF58" s="405"/>
      <c r="AG58" s="405"/>
    </row>
    <row r="59" spans="1:33" ht="12.75" customHeight="1" x14ac:dyDescent="0.2">
      <c r="A59" s="407" t="s">
        <v>327</v>
      </c>
      <c r="B59" s="407"/>
      <c r="C59" s="407"/>
      <c r="D59" s="407"/>
      <c r="E59" s="407"/>
      <c r="F59" s="407"/>
      <c r="G59" s="407"/>
      <c r="H59" s="407"/>
      <c r="I59" s="407"/>
      <c r="J59" s="407"/>
      <c r="K59" s="407"/>
      <c r="L59" s="405" t="s">
        <v>362</v>
      </c>
      <c r="M59" s="405"/>
      <c r="N59" s="405"/>
      <c r="O59" s="405"/>
      <c r="P59" s="405"/>
      <c r="Q59" s="405"/>
      <c r="R59" s="405"/>
      <c r="S59" s="405"/>
      <c r="T59" s="405"/>
      <c r="U59" s="405"/>
      <c r="V59" s="405"/>
      <c r="W59" s="409" t="s">
        <v>347</v>
      </c>
      <c r="X59" s="410"/>
      <c r="Y59" s="410"/>
      <c r="Z59" s="410"/>
      <c r="AA59" s="410"/>
      <c r="AB59" s="410"/>
      <c r="AC59" s="410"/>
      <c r="AD59" s="410"/>
      <c r="AE59" s="410"/>
      <c r="AF59" s="410"/>
      <c r="AG59" s="411"/>
    </row>
    <row r="60" spans="1:33" ht="13.5" x14ac:dyDescent="0.2">
      <c r="A60" s="407"/>
      <c r="B60" s="407"/>
      <c r="C60" s="407"/>
      <c r="D60" s="407"/>
      <c r="E60" s="407"/>
      <c r="F60" s="407"/>
      <c r="G60" s="407"/>
      <c r="H60" s="407"/>
      <c r="I60" s="407"/>
      <c r="J60" s="407"/>
      <c r="K60" s="407"/>
      <c r="L60" s="405"/>
      <c r="M60" s="405"/>
      <c r="N60" s="405"/>
      <c r="O60" s="405"/>
      <c r="P60" s="405"/>
      <c r="Q60" s="405"/>
      <c r="R60" s="405"/>
      <c r="S60" s="405"/>
      <c r="T60" s="405"/>
      <c r="U60" s="405"/>
      <c r="V60" s="405"/>
      <c r="W60" s="389" t="s">
        <v>348</v>
      </c>
      <c r="X60" s="386"/>
      <c r="Y60" s="386"/>
      <c r="Z60" s="386"/>
      <c r="AA60" s="386"/>
      <c r="AB60" s="386"/>
      <c r="AC60" s="386"/>
      <c r="AD60" s="386"/>
      <c r="AE60" s="386"/>
      <c r="AF60" s="386"/>
      <c r="AG60" s="387"/>
    </row>
    <row r="61" spans="1:33" ht="13.5" x14ac:dyDescent="0.2">
      <c r="A61" s="407"/>
      <c r="B61" s="407"/>
      <c r="C61" s="407"/>
      <c r="D61" s="407"/>
      <c r="E61" s="407"/>
      <c r="F61" s="407"/>
      <c r="G61" s="407"/>
      <c r="H61" s="407"/>
      <c r="I61" s="407"/>
      <c r="J61" s="407"/>
      <c r="K61" s="407"/>
      <c r="L61" s="405"/>
      <c r="M61" s="405"/>
      <c r="N61" s="405"/>
      <c r="O61" s="405"/>
      <c r="P61" s="405"/>
      <c r="Q61" s="405"/>
      <c r="R61" s="405"/>
      <c r="S61" s="405"/>
      <c r="T61" s="405"/>
      <c r="U61" s="405"/>
      <c r="V61" s="405"/>
      <c r="W61" s="389" t="s">
        <v>328</v>
      </c>
      <c r="X61" s="386"/>
      <c r="Y61" s="386"/>
      <c r="Z61" s="386"/>
      <c r="AA61" s="393">
        <f>Фамилия</f>
        <v>0</v>
      </c>
      <c r="AB61" s="393"/>
      <c r="AC61" s="393"/>
      <c r="AD61" s="394">
        <f>Имя</f>
        <v>0</v>
      </c>
      <c r="AE61" s="394"/>
      <c r="AF61" s="386" t="s">
        <v>349</v>
      </c>
      <c r="AG61" s="387"/>
    </row>
    <row r="62" spans="1:33" ht="13.5" x14ac:dyDescent="0.2">
      <c r="A62" s="407"/>
      <c r="B62" s="407"/>
      <c r="C62" s="407"/>
      <c r="D62" s="407"/>
      <c r="E62" s="407"/>
      <c r="F62" s="407"/>
      <c r="G62" s="407"/>
      <c r="H62" s="407"/>
      <c r="I62" s="407"/>
      <c r="J62" s="407"/>
      <c r="K62" s="407"/>
      <c r="L62" s="405"/>
      <c r="M62" s="405"/>
      <c r="N62" s="405"/>
      <c r="O62" s="405"/>
      <c r="P62" s="405"/>
      <c r="Q62" s="405"/>
      <c r="R62" s="405"/>
      <c r="S62" s="405"/>
      <c r="T62" s="405"/>
      <c r="U62" s="405"/>
      <c r="V62" s="405"/>
      <c r="W62" s="389" t="s">
        <v>357</v>
      </c>
      <c r="X62" s="386"/>
      <c r="Y62" s="386"/>
      <c r="Z62" s="386"/>
      <c r="AA62" s="386"/>
      <c r="AB62" s="386"/>
      <c r="AC62" s="386"/>
      <c r="AD62" s="386"/>
      <c r="AE62" s="386"/>
      <c r="AF62" s="386"/>
      <c r="AG62" s="387"/>
    </row>
    <row r="63" spans="1:33" ht="13.5" x14ac:dyDescent="0.2">
      <c r="A63" s="407"/>
      <c r="B63" s="407"/>
      <c r="C63" s="407"/>
      <c r="D63" s="407"/>
      <c r="E63" s="407"/>
      <c r="F63" s="407"/>
      <c r="G63" s="407"/>
      <c r="H63" s="407"/>
      <c r="I63" s="407"/>
      <c r="J63" s="407"/>
      <c r="K63" s="407"/>
      <c r="L63" s="405"/>
      <c r="M63" s="405"/>
      <c r="N63" s="405"/>
      <c r="O63" s="405"/>
      <c r="P63" s="405"/>
      <c r="Q63" s="405"/>
      <c r="R63" s="405"/>
      <c r="S63" s="405"/>
      <c r="T63" s="405"/>
      <c r="U63" s="405"/>
      <c r="V63" s="405"/>
      <c r="W63" s="404" t="s">
        <v>350</v>
      </c>
      <c r="X63" s="386"/>
      <c r="Y63" s="386"/>
      <c r="Z63" s="386"/>
      <c r="AA63" s="386"/>
      <c r="AB63" s="386"/>
      <c r="AC63" s="386"/>
      <c r="AD63" s="386"/>
      <c r="AE63" s="386"/>
      <c r="AF63" s="386"/>
      <c r="AG63" s="387"/>
    </row>
    <row r="64" spans="1:33" ht="13.5" x14ac:dyDescent="0.2">
      <c r="A64" s="407"/>
      <c r="B64" s="407"/>
      <c r="C64" s="407"/>
      <c r="D64" s="407"/>
      <c r="E64" s="407"/>
      <c r="F64" s="407"/>
      <c r="G64" s="407"/>
      <c r="H64" s="407"/>
      <c r="I64" s="407"/>
      <c r="J64" s="407"/>
      <c r="K64" s="407"/>
      <c r="L64" s="405"/>
      <c r="M64" s="405"/>
      <c r="N64" s="405"/>
      <c r="O64" s="405"/>
      <c r="P64" s="405"/>
      <c r="Q64" s="405"/>
      <c r="R64" s="405"/>
      <c r="S64" s="405"/>
      <c r="T64" s="405"/>
      <c r="U64" s="405"/>
      <c r="V64" s="405"/>
      <c r="W64" s="389" t="s">
        <v>358</v>
      </c>
      <c r="X64" s="386"/>
      <c r="Y64" s="386"/>
      <c r="Z64" s="386"/>
      <c r="AA64" s="386"/>
      <c r="AB64" s="386"/>
      <c r="AC64" s="386"/>
      <c r="AD64" s="386"/>
      <c r="AE64" s="386"/>
      <c r="AF64" s="386"/>
      <c r="AG64" s="387"/>
    </row>
    <row r="65" spans="1:33" ht="13.5" x14ac:dyDescent="0.2">
      <c r="A65" s="407"/>
      <c r="B65" s="407"/>
      <c r="C65" s="407"/>
      <c r="D65" s="407"/>
      <c r="E65" s="407"/>
      <c r="F65" s="407"/>
      <c r="G65" s="407"/>
      <c r="H65" s="407"/>
      <c r="I65" s="407"/>
      <c r="J65" s="407"/>
      <c r="K65" s="407"/>
      <c r="L65" s="405"/>
      <c r="M65" s="405"/>
      <c r="N65" s="405"/>
      <c r="O65" s="405"/>
      <c r="P65" s="405"/>
      <c r="Q65" s="405"/>
      <c r="R65" s="405"/>
      <c r="S65" s="405"/>
      <c r="T65" s="405"/>
      <c r="U65" s="405"/>
      <c r="V65" s="405"/>
      <c r="W65" s="390" t="s">
        <v>412</v>
      </c>
      <c r="X65" s="391"/>
      <c r="Y65" s="391"/>
      <c r="Z65" s="391"/>
      <c r="AA65" s="391"/>
      <c r="AB65" s="391"/>
      <c r="AC65" s="391"/>
      <c r="AD65" s="391"/>
      <c r="AE65" s="391"/>
      <c r="AF65" s="391"/>
      <c r="AG65" s="392"/>
    </row>
    <row r="66" spans="1:33" ht="13.5" x14ac:dyDescent="0.2">
      <c r="A66" s="407"/>
      <c r="B66" s="407"/>
      <c r="C66" s="407"/>
      <c r="D66" s="407"/>
      <c r="E66" s="407"/>
      <c r="F66" s="407"/>
      <c r="G66" s="407"/>
      <c r="H66" s="407"/>
      <c r="I66" s="407"/>
      <c r="J66" s="407"/>
      <c r="K66" s="407"/>
      <c r="L66" s="405"/>
      <c r="M66" s="405"/>
      <c r="N66" s="405"/>
      <c r="O66" s="405"/>
      <c r="P66" s="405"/>
      <c r="Q66" s="405"/>
      <c r="R66" s="405"/>
      <c r="S66" s="405"/>
      <c r="T66" s="405"/>
      <c r="U66" s="405"/>
      <c r="V66" s="405"/>
      <c r="W66" s="390" t="s">
        <v>413</v>
      </c>
      <c r="X66" s="391"/>
      <c r="Y66" s="391"/>
      <c r="Z66" s="391"/>
      <c r="AA66" s="391"/>
      <c r="AB66" s="391"/>
      <c r="AC66" s="391"/>
      <c r="AD66" s="391"/>
      <c r="AE66" s="391"/>
      <c r="AF66" s="391"/>
      <c r="AG66" s="392"/>
    </row>
    <row r="67" spans="1:33" ht="13.5" x14ac:dyDescent="0.2">
      <c r="A67" s="407"/>
      <c r="B67" s="407"/>
      <c r="C67" s="407"/>
      <c r="D67" s="407"/>
      <c r="E67" s="407"/>
      <c r="F67" s="407"/>
      <c r="G67" s="407"/>
      <c r="H67" s="407"/>
      <c r="I67" s="407"/>
      <c r="J67" s="407"/>
      <c r="K67" s="407"/>
      <c r="L67" s="405"/>
      <c r="M67" s="405"/>
      <c r="N67" s="405"/>
      <c r="O67" s="405"/>
      <c r="P67" s="405"/>
      <c r="Q67" s="405"/>
      <c r="R67" s="405"/>
      <c r="S67" s="405"/>
      <c r="T67" s="405"/>
      <c r="U67" s="405"/>
      <c r="V67" s="405"/>
      <c r="W67" s="390" t="s">
        <v>351</v>
      </c>
      <c r="X67" s="391"/>
      <c r="Y67" s="391"/>
      <c r="Z67" s="391"/>
      <c r="AA67" s="391"/>
      <c r="AB67" s="391"/>
      <c r="AC67" s="391"/>
      <c r="AD67" s="391"/>
      <c r="AE67" s="391"/>
      <c r="AF67" s="391"/>
      <c r="AG67" s="392"/>
    </row>
    <row r="68" spans="1:33" ht="13.5" x14ac:dyDescent="0.2">
      <c r="A68" s="407"/>
      <c r="B68" s="407"/>
      <c r="C68" s="407"/>
      <c r="D68" s="407"/>
      <c r="E68" s="407"/>
      <c r="F68" s="407"/>
      <c r="G68" s="407"/>
      <c r="H68" s="407"/>
      <c r="I68" s="407"/>
      <c r="J68" s="407"/>
      <c r="K68" s="407"/>
      <c r="L68" s="405"/>
      <c r="M68" s="405"/>
      <c r="N68" s="405"/>
      <c r="O68" s="405"/>
      <c r="P68" s="405"/>
      <c r="Q68" s="405"/>
      <c r="R68" s="405"/>
      <c r="S68" s="405"/>
      <c r="T68" s="405"/>
      <c r="U68" s="405"/>
      <c r="V68" s="405"/>
      <c r="W68" s="385" t="s">
        <v>352</v>
      </c>
      <c r="X68" s="386"/>
      <c r="Y68" s="386"/>
      <c r="Z68" s="386"/>
      <c r="AA68" s="386"/>
      <c r="AB68" s="386"/>
      <c r="AC68" s="386"/>
      <c r="AD68" s="386"/>
      <c r="AE68" s="386"/>
      <c r="AF68" s="386"/>
      <c r="AG68" s="387"/>
    </row>
    <row r="69" spans="1:33" ht="13.5" x14ac:dyDescent="0.2">
      <c r="A69" s="407"/>
      <c r="B69" s="407"/>
      <c r="C69" s="407"/>
      <c r="D69" s="407"/>
      <c r="E69" s="407"/>
      <c r="F69" s="407"/>
      <c r="G69" s="407"/>
      <c r="H69" s="407"/>
      <c r="I69" s="407"/>
      <c r="J69" s="407"/>
      <c r="K69" s="407"/>
      <c r="L69" s="405"/>
      <c r="M69" s="405"/>
      <c r="N69" s="405"/>
      <c r="O69" s="405"/>
      <c r="P69" s="405"/>
      <c r="Q69" s="405"/>
      <c r="R69" s="405"/>
      <c r="S69" s="405"/>
      <c r="T69" s="405"/>
      <c r="U69" s="405"/>
      <c r="V69" s="405"/>
      <c r="W69" s="390" t="s">
        <v>353</v>
      </c>
      <c r="X69" s="391"/>
      <c r="Y69" s="391"/>
      <c r="Z69" s="391"/>
      <c r="AA69" s="391"/>
      <c r="AB69" s="391"/>
      <c r="AC69" s="391"/>
      <c r="AD69" s="391"/>
      <c r="AE69" s="391"/>
      <c r="AF69" s="391"/>
      <c r="AG69" s="392"/>
    </row>
    <row r="70" spans="1:33" ht="13.5" x14ac:dyDescent="0.2">
      <c r="A70" s="407"/>
      <c r="B70" s="407"/>
      <c r="C70" s="407"/>
      <c r="D70" s="407"/>
      <c r="E70" s="407"/>
      <c r="F70" s="407"/>
      <c r="G70" s="407"/>
      <c r="H70" s="407"/>
      <c r="I70" s="407"/>
      <c r="J70" s="407"/>
      <c r="K70" s="407"/>
      <c r="L70" s="405"/>
      <c r="M70" s="405"/>
      <c r="N70" s="405"/>
      <c r="O70" s="405"/>
      <c r="P70" s="405"/>
      <c r="Q70" s="405"/>
      <c r="R70" s="405"/>
      <c r="S70" s="405"/>
      <c r="T70" s="405"/>
      <c r="U70" s="405"/>
      <c r="V70" s="405"/>
      <c r="W70" s="380" t="s">
        <v>355</v>
      </c>
      <c r="X70" s="383"/>
      <c r="Y70" s="383"/>
      <c r="Z70" s="383"/>
      <c r="AA70" s="383"/>
      <c r="AB70" s="383"/>
      <c r="AC70" s="383"/>
      <c r="AD70" s="383"/>
      <c r="AE70" s="383"/>
      <c r="AF70" s="383"/>
      <c r="AG70" s="384"/>
    </row>
    <row r="71" spans="1:33" ht="13.5" x14ac:dyDescent="0.2">
      <c r="A71" s="407"/>
      <c r="B71" s="407"/>
      <c r="C71" s="407"/>
      <c r="D71" s="407"/>
      <c r="E71" s="407"/>
      <c r="F71" s="407"/>
      <c r="G71" s="407"/>
      <c r="H71" s="407"/>
      <c r="I71" s="407"/>
      <c r="J71" s="407"/>
      <c r="K71" s="407"/>
      <c r="L71" s="405"/>
      <c r="M71" s="405"/>
      <c r="N71" s="405"/>
      <c r="O71" s="405"/>
      <c r="P71" s="405"/>
      <c r="Q71" s="405"/>
      <c r="R71" s="405"/>
      <c r="S71" s="405"/>
      <c r="T71" s="405"/>
      <c r="U71" s="405"/>
      <c r="V71" s="405"/>
      <c r="W71" s="185" t="s">
        <v>383</v>
      </c>
      <c r="X71" s="186"/>
      <c r="Y71" s="186"/>
      <c r="Z71" s="186"/>
      <c r="AA71" s="186"/>
      <c r="AB71" s="186"/>
      <c r="AC71" s="186"/>
      <c r="AD71" s="186"/>
      <c r="AE71" s="186"/>
      <c r="AF71" s="186"/>
      <c r="AG71" s="187"/>
    </row>
    <row r="72" spans="1:33" ht="13.5" x14ac:dyDescent="0.2">
      <c r="A72" s="407"/>
      <c r="B72" s="407"/>
      <c r="C72" s="407"/>
      <c r="D72" s="407"/>
      <c r="E72" s="407"/>
      <c r="F72" s="407"/>
      <c r="G72" s="407"/>
      <c r="H72" s="407"/>
      <c r="I72" s="407"/>
      <c r="J72" s="407"/>
      <c r="K72" s="407"/>
      <c r="L72" s="405"/>
      <c r="M72" s="405"/>
      <c r="N72" s="405"/>
      <c r="O72" s="405"/>
      <c r="P72" s="405"/>
      <c r="Q72" s="405"/>
      <c r="R72" s="405"/>
      <c r="S72" s="405"/>
      <c r="T72" s="405"/>
      <c r="U72" s="405"/>
      <c r="V72" s="405"/>
      <c r="W72" s="385" t="s">
        <v>356</v>
      </c>
      <c r="X72" s="386"/>
      <c r="Y72" s="386"/>
      <c r="Z72" s="386"/>
      <c r="AA72" s="386"/>
      <c r="AB72" s="386"/>
      <c r="AC72" s="386"/>
      <c r="AD72" s="386"/>
      <c r="AE72" s="386"/>
      <c r="AF72" s="386"/>
      <c r="AG72" s="387"/>
    </row>
    <row r="73" spans="1:33" ht="13.5" x14ac:dyDescent="0.2">
      <c r="A73" s="407"/>
      <c r="B73" s="407"/>
      <c r="C73" s="407"/>
      <c r="D73" s="407"/>
      <c r="E73" s="407"/>
      <c r="F73" s="407"/>
      <c r="G73" s="407"/>
      <c r="H73" s="407"/>
      <c r="I73" s="407"/>
      <c r="J73" s="407"/>
      <c r="K73" s="407"/>
      <c r="L73" s="405"/>
      <c r="M73" s="405"/>
      <c r="N73" s="405"/>
      <c r="O73" s="405"/>
      <c r="P73" s="405"/>
      <c r="Q73" s="405"/>
      <c r="R73" s="405"/>
      <c r="S73" s="405"/>
      <c r="T73" s="405"/>
      <c r="U73" s="405"/>
      <c r="V73" s="405"/>
      <c r="W73" s="188" t="s">
        <v>33</v>
      </c>
      <c r="X73" s="388">
        <f>Памятка!E4</f>
        <v>0</v>
      </c>
      <c r="Y73" s="388"/>
      <c r="Z73" s="186"/>
      <c r="AA73" s="186"/>
      <c r="AB73" s="186"/>
      <c r="AC73" s="186"/>
      <c r="AD73" s="186"/>
      <c r="AE73" s="186"/>
      <c r="AF73" s="186"/>
      <c r="AG73" s="187"/>
    </row>
    <row r="74" spans="1:33" ht="14.25" thickBot="1" x14ac:dyDescent="0.25">
      <c r="A74" s="407"/>
      <c r="B74" s="407"/>
      <c r="C74" s="407"/>
      <c r="D74" s="407"/>
      <c r="E74" s="407"/>
      <c r="F74" s="407"/>
      <c r="G74" s="407"/>
      <c r="H74" s="407"/>
      <c r="I74" s="407"/>
      <c r="J74" s="407"/>
      <c r="K74" s="407"/>
      <c r="L74" s="405"/>
      <c r="M74" s="405"/>
      <c r="N74" s="405"/>
      <c r="O74" s="405"/>
      <c r="P74" s="405"/>
      <c r="Q74" s="405"/>
      <c r="R74" s="405"/>
      <c r="S74" s="405"/>
      <c r="T74" s="405"/>
      <c r="U74" s="405"/>
      <c r="V74" s="405"/>
      <c r="W74" s="189"/>
      <c r="X74" s="190"/>
      <c r="Y74" s="190"/>
      <c r="Z74" s="191"/>
      <c r="AA74" s="191"/>
      <c r="AB74" s="191"/>
      <c r="AC74" s="191"/>
      <c r="AD74" s="191"/>
      <c r="AE74" s="191"/>
      <c r="AF74" s="191"/>
      <c r="AG74" s="192"/>
    </row>
    <row r="75" spans="1:33" ht="13.5" x14ac:dyDescent="0.2">
      <c r="A75" s="407"/>
      <c r="B75" s="407"/>
      <c r="C75" s="407"/>
      <c r="D75" s="407"/>
      <c r="E75" s="407"/>
      <c r="F75" s="407"/>
      <c r="G75" s="407"/>
      <c r="H75" s="407"/>
      <c r="I75" s="407"/>
      <c r="J75" s="407"/>
      <c r="K75" s="407"/>
      <c r="L75" s="405"/>
      <c r="M75" s="405"/>
      <c r="N75" s="405"/>
      <c r="O75" s="405"/>
      <c r="P75" s="405"/>
      <c r="Q75" s="405"/>
      <c r="R75" s="405"/>
      <c r="S75" s="405"/>
      <c r="T75" s="405"/>
      <c r="U75" s="405"/>
      <c r="V75" s="405"/>
      <c r="W75" s="181"/>
      <c r="X75" s="181"/>
      <c r="Y75" s="181"/>
      <c r="Z75" s="181"/>
      <c r="AA75" s="181"/>
      <c r="AB75" s="181"/>
      <c r="AC75" s="181"/>
      <c r="AD75" s="181"/>
      <c r="AE75" s="181"/>
      <c r="AF75" s="181"/>
      <c r="AG75" s="181"/>
    </row>
    <row r="76" spans="1:33" ht="12.75" customHeight="1" x14ac:dyDescent="0.2">
      <c r="A76" s="407"/>
      <c r="B76" s="407"/>
      <c r="C76" s="407"/>
      <c r="D76" s="407"/>
      <c r="E76" s="407"/>
      <c r="F76" s="407"/>
      <c r="G76" s="407"/>
      <c r="H76" s="407"/>
      <c r="I76" s="407"/>
      <c r="J76" s="407"/>
      <c r="K76" s="407"/>
      <c r="L76" s="405"/>
      <c r="M76" s="405"/>
      <c r="N76" s="405"/>
      <c r="O76" s="405"/>
      <c r="P76" s="405"/>
      <c r="Q76" s="405"/>
      <c r="R76" s="405"/>
      <c r="S76" s="405"/>
      <c r="T76" s="405"/>
      <c r="U76" s="405"/>
      <c r="V76" s="405"/>
    </row>
    <row r="77" spans="1:33" ht="12.75" customHeight="1" x14ac:dyDescent="0.2">
      <c r="A77" s="407"/>
      <c r="B77" s="407"/>
      <c r="C77" s="407"/>
      <c r="D77" s="407"/>
      <c r="E77" s="407"/>
      <c r="F77" s="407"/>
      <c r="G77" s="407"/>
      <c r="H77" s="407"/>
      <c r="I77" s="407"/>
      <c r="J77" s="407"/>
      <c r="K77" s="407"/>
      <c r="L77" s="405"/>
      <c r="M77" s="405"/>
      <c r="N77" s="405"/>
      <c r="O77" s="405"/>
      <c r="P77" s="405"/>
      <c r="Q77" s="405"/>
      <c r="R77" s="405"/>
      <c r="S77" s="405"/>
      <c r="T77" s="405"/>
      <c r="U77" s="405"/>
      <c r="V77" s="405"/>
    </row>
    <row r="78" spans="1:33" ht="12.75" customHeight="1" x14ac:dyDescent="0.2">
      <c r="A78" s="407"/>
      <c r="B78" s="407"/>
      <c r="C78" s="407"/>
      <c r="D78" s="407"/>
      <c r="E78" s="407"/>
      <c r="F78" s="407"/>
      <c r="G78" s="407"/>
      <c r="H78" s="407"/>
      <c r="I78" s="407"/>
      <c r="J78" s="407"/>
      <c r="K78" s="407"/>
      <c r="L78" s="405"/>
      <c r="M78" s="405"/>
      <c r="N78" s="405"/>
      <c r="O78" s="405"/>
      <c r="P78" s="405"/>
      <c r="Q78" s="405"/>
      <c r="R78" s="405"/>
      <c r="S78" s="405"/>
      <c r="T78" s="405"/>
      <c r="U78" s="405"/>
      <c r="V78" s="405"/>
    </row>
    <row r="79" spans="1:33" ht="12.75" customHeight="1" x14ac:dyDescent="0.2">
      <c r="A79" s="407"/>
      <c r="B79" s="407"/>
      <c r="C79" s="407"/>
      <c r="D79" s="407"/>
      <c r="E79" s="407"/>
      <c r="F79" s="407"/>
      <c r="G79" s="407"/>
      <c r="H79" s="407"/>
      <c r="I79" s="407"/>
      <c r="J79" s="407"/>
      <c r="K79" s="407"/>
      <c r="L79" s="405"/>
      <c r="M79" s="405"/>
      <c r="N79" s="405"/>
      <c r="O79" s="405"/>
      <c r="P79" s="405"/>
      <c r="Q79" s="405"/>
      <c r="R79" s="405"/>
      <c r="S79" s="405"/>
      <c r="T79" s="405"/>
      <c r="U79" s="405"/>
      <c r="V79" s="405"/>
    </row>
    <row r="80" spans="1:33" ht="12.75" customHeight="1" x14ac:dyDescent="0.2">
      <c r="A80" s="407"/>
      <c r="B80" s="407"/>
      <c r="C80" s="407"/>
      <c r="D80" s="407"/>
      <c r="E80" s="407"/>
      <c r="F80" s="407"/>
      <c r="G80" s="407"/>
      <c r="H80" s="407"/>
      <c r="I80" s="407"/>
      <c r="J80" s="407"/>
      <c r="K80" s="407"/>
      <c r="L80" s="405"/>
      <c r="M80" s="405"/>
      <c r="N80" s="405"/>
      <c r="O80" s="405"/>
      <c r="P80" s="405"/>
      <c r="Q80" s="405"/>
      <c r="R80" s="405"/>
      <c r="S80" s="405"/>
      <c r="T80" s="405"/>
      <c r="U80" s="405"/>
      <c r="V80" s="405"/>
    </row>
    <row r="81" spans="1:22" ht="12.75" customHeight="1" x14ac:dyDescent="0.2">
      <c r="A81" s="407"/>
      <c r="B81" s="407"/>
      <c r="C81" s="407"/>
      <c r="D81" s="407"/>
      <c r="E81" s="407"/>
      <c r="F81" s="407"/>
      <c r="G81" s="407"/>
      <c r="H81" s="407"/>
      <c r="I81" s="407"/>
      <c r="J81" s="407"/>
      <c r="K81" s="407"/>
      <c r="L81" s="405"/>
      <c r="M81" s="405"/>
      <c r="N81" s="405"/>
      <c r="O81" s="405"/>
      <c r="P81" s="405"/>
      <c r="Q81" s="405"/>
      <c r="R81" s="405"/>
      <c r="S81" s="405"/>
      <c r="T81" s="405"/>
      <c r="U81" s="405"/>
      <c r="V81" s="405"/>
    </row>
    <row r="82" spans="1:22" ht="12.75" customHeight="1" x14ac:dyDescent="0.2">
      <c r="A82" s="407"/>
      <c r="B82" s="407"/>
      <c r="C82" s="407"/>
      <c r="D82" s="407"/>
      <c r="E82" s="407"/>
      <c r="F82" s="407"/>
      <c r="G82" s="407"/>
      <c r="H82" s="407"/>
      <c r="I82" s="407"/>
      <c r="J82" s="407"/>
      <c r="K82" s="407"/>
      <c r="L82" s="405"/>
      <c r="M82" s="405"/>
      <c r="N82" s="405"/>
      <c r="O82" s="405"/>
      <c r="P82" s="405"/>
      <c r="Q82" s="405"/>
      <c r="R82" s="405"/>
      <c r="S82" s="405"/>
      <c r="T82" s="405"/>
      <c r="U82" s="405"/>
      <c r="V82" s="405"/>
    </row>
    <row r="83" spans="1:22" ht="12.75" customHeight="1" x14ac:dyDescent="0.2">
      <c r="A83" s="407"/>
      <c r="B83" s="407"/>
      <c r="C83" s="407"/>
      <c r="D83" s="407"/>
      <c r="E83" s="407"/>
      <c r="F83" s="407"/>
      <c r="G83" s="407"/>
      <c r="H83" s="407"/>
      <c r="I83" s="407"/>
      <c r="J83" s="407"/>
      <c r="K83" s="407"/>
      <c r="L83" s="405"/>
      <c r="M83" s="405"/>
      <c r="N83" s="405"/>
      <c r="O83" s="405"/>
      <c r="P83" s="405"/>
      <c r="Q83" s="405"/>
      <c r="R83" s="405"/>
      <c r="S83" s="405"/>
      <c r="T83" s="405"/>
      <c r="U83" s="405"/>
      <c r="V83" s="405"/>
    </row>
    <row r="84" spans="1:22" ht="12.75" customHeight="1" x14ac:dyDescent="0.2">
      <c r="A84" s="407"/>
      <c r="B84" s="407"/>
      <c r="C84" s="407"/>
      <c r="D84" s="407"/>
      <c r="E84" s="407"/>
      <c r="F84" s="407"/>
      <c r="G84" s="407"/>
      <c r="H84" s="407"/>
      <c r="I84" s="407"/>
      <c r="J84" s="407"/>
      <c r="K84" s="407"/>
      <c r="L84" s="405"/>
      <c r="M84" s="405"/>
      <c r="N84" s="405"/>
      <c r="O84" s="405"/>
      <c r="P84" s="405"/>
      <c r="Q84" s="405"/>
      <c r="R84" s="405"/>
      <c r="S84" s="405"/>
      <c r="T84" s="405"/>
      <c r="U84" s="405"/>
      <c r="V84" s="405"/>
    </row>
    <row r="85" spans="1:22" ht="12.75" customHeight="1" x14ac:dyDescent="0.2">
      <c r="A85" s="424" t="s">
        <v>361</v>
      </c>
      <c r="B85" s="425"/>
      <c r="C85" s="425"/>
      <c r="D85" s="425"/>
      <c r="E85" s="425"/>
      <c r="F85" s="425"/>
      <c r="G85" s="425"/>
      <c r="H85" s="425"/>
      <c r="I85" s="425"/>
      <c r="J85" s="425"/>
      <c r="K85" s="425"/>
      <c r="L85" s="405"/>
      <c r="M85" s="405"/>
      <c r="N85" s="405"/>
      <c r="O85" s="405"/>
      <c r="P85" s="405"/>
      <c r="Q85" s="405"/>
      <c r="R85" s="405"/>
      <c r="S85" s="405"/>
      <c r="T85" s="405"/>
      <c r="U85" s="405"/>
      <c r="V85" s="405"/>
    </row>
    <row r="86" spans="1:22" ht="12.75" customHeight="1" x14ac:dyDescent="0.2">
      <c r="A86" s="425"/>
      <c r="B86" s="425"/>
      <c r="C86" s="425"/>
      <c r="D86" s="425"/>
      <c r="E86" s="425"/>
      <c r="F86" s="425"/>
      <c r="G86" s="425"/>
      <c r="H86" s="425"/>
      <c r="I86" s="425"/>
      <c r="J86" s="425"/>
      <c r="K86" s="425"/>
      <c r="L86" s="405"/>
      <c r="M86" s="405"/>
      <c r="N86" s="405"/>
      <c r="O86" s="405"/>
      <c r="P86" s="405"/>
      <c r="Q86" s="405"/>
      <c r="R86" s="405"/>
      <c r="S86" s="405"/>
      <c r="T86" s="405"/>
      <c r="U86" s="405"/>
      <c r="V86" s="405"/>
    </row>
    <row r="87" spans="1:22" ht="12.75" customHeight="1" x14ac:dyDescent="0.2">
      <c r="A87" s="425"/>
      <c r="B87" s="425"/>
      <c r="C87" s="425"/>
      <c r="D87" s="425"/>
      <c r="E87" s="425"/>
      <c r="F87" s="425"/>
      <c r="G87" s="425"/>
      <c r="H87" s="425"/>
      <c r="I87" s="425"/>
      <c r="J87" s="425"/>
      <c r="K87" s="425"/>
      <c r="L87" s="405"/>
      <c r="M87" s="405"/>
      <c r="N87" s="405"/>
      <c r="O87" s="405"/>
      <c r="P87" s="405"/>
      <c r="Q87" s="405"/>
      <c r="R87" s="405"/>
      <c r="S87" s="405"/>
      <c r="T87" s="405"/>
      <c r="U87" s="405"/>
      <c r="V87" s="405"/>
    </row>
    <row r="88" spans="1:22" ht="12.75" customHeight="1" x14ac:dyDescent="0.2">
      <c r="A88" s="396" t="s">
        <v>321</v>
      </c>
      <c r="B88" s="396"/>
      <c r="C88" s="396"/>
      <c r="D88" s="396"/>
      <c r="E88" s="396"/>
      <c r="F88" s="396"/>
      <c r="G88" s="396"/>
      <c r="H88" s="396"/>
      <c r="I88" s="396"/>
      <c r="J88" s="396"/>
      <c r="K88" s="396"/>
      <c r="L88" s="405"/>
      <c r="M88" s="405"/>
      <c r="N88" s="405"/>
      <c r="O88" s="405"/>
      <c r="P88" s="405"/>
      <c r="Q88" s="405"/>
      <c r="R88" s="405"/>
      <c r="S88" s="405"/>
      <c r="T88" s="405"/>
      <c r="U88" s="405"/>
      <c r="V88" s="405"/>
    </row>
    <row r="89" spans="1:22" ht="12.75" customHeight="1" x14ac:dyDescent="0.2">
      <c r="A89" s="184" t="s">
        <v>33</v>
      </c>
      <c r="B89" s="422">
        <f>Памятка!E4</f>
        <v>0</v>
      </c>
      <c r="C89" s="422"/>
      <c r="D89" s="177"/>
      <c r="E89" s="177"/>
      <c r="F89" s="177"/>
      <c r="G89" s="177"/>
      <c r="H89" s="177"/>
      <c r="I89" s="177"/>
      <c r="J89" s="177"/>
      <c r="K89" s="177"/>
      <c r="L89" s="405"/>
      <c r="M89" s="405"/>
      <c r="N89" s="405"/>
      <c r="O89" s="405"/>
      <c r="P89" s="405"/>
      <c r="Q89" s="405"/>
      <c r="R89" s="405"/>
      <c r="S89" s="405"/>
      <c r="T89" s="405"/>
      <c r="U89" s="405"/>
      <c r="V89" s="405"/>
    </row>
    <row r="90" spans="1:22" ht="12.75" customHeight="1" x14ac:dyDescent="0.2">
      <c r="A90" s="395" t="s">
        <v>406</v>
      </c>
      <c r="B90" s="395"/>
      <c r="C90" s="395"/>
      <c r="D90" s="395"/>
      <c r="E90" s="395"/>
      <c r="F90" s="395"/>
      <c r="G90" s="395"/>
      <c r="H90" s="395"/>
      <c r="I90" s="395"/>
      <c r="J90" s="395"/>
      <c r="K90" s="395"/>
      <c r="L90" s="405"/>
      <c r="M90" s="405"/>
      <c r="N90" s="405"/>
      <c r="O90" s="405"/>
      <c r="P90" s="405"/>
      <c r="Q90" s="405"/>
      <c r="R90" s="405"/>
      <c r="S90" s="405"/>
      <c r="T90" s="405"/>
      <c r="U90" s="405"/>
      <c r="V90" s="405"/>
    </row>
    <row r="91" spans="1:22" ht="12.75" customHeight="1" x14ac:dyDescent="0.2">
      <c r="A91" s="395"/>
      <c r="B91" s="395"/>
      <c r="C91" s="395"/>
      <c r="D91" s="395"/>
      <c r="E91" s="395"/>
      <c r="F91" s="395"/>
      <c r="G91" s="395"/>
      <c r="H91" s="395"/>
      <c r="I91" s="395"/>
      <c r="J91" s="395"/>
      <c r="K91" s="395"/>
      <c r="L91" s="405"/>
      <c r="M91" s="405"/>
      <c r="N91" s="405"/>
      <c r="O91" s="405"/>
      <c r="P91" s="405"/>
      <c r="Q91" s="405"/>
      <c r="R91" s="405"/>
      <c r="S91" s="405"/>
      <c r="T91" s="405"/>
      <c r="U91" s="405"/>
      <c r="V91" s="405"/>
    </row>
    <row r="92" spans="1:22" ht="12.75" customHeight="1" x14ac:dyDescent="0.2">
      <c r="A92" s="177"/>
      <c r="B92" s="177"/>
      <c r="C92" s="177"/>
      <c r="D92" s="177"/>
      <c r="E92" s="177"/>
      <c r="F92" s="177"/>
      <c r="G92" s="177"/>
      <c r="H92" s="177"/>
      <c r="I92" s="177"/>
      <c r="J92" s="177"/>
      <c r="K92" s="177"/>
      <c r="L92" s="405"/>
      <c r="M92" s="405"/>
      <c r="N92" s="405"/>
      <c r="O92" s="405"/>
      <c r="P92" s="405"/>
      <c r="Q92" s="405"/>
      <c r="R92" s="405"/>
      <c r="S92" s="405"/>
      <c r="T92" s="405"/>
      <c r="U92" s="405"/>
      <c r="V92" s="405"/>
    </row>
    <row r="93" spans="1:22" ht="12.75" customHeight="1" x14ac:dyDescent="0.2">
      <c r="A93" s="396" t="s">
        <v>335</v>
      </c>
      <c r="B93" s="396"/>
      <c r="C93" s="396"/>
      <c r="D93" s="396"/>
      <c r="E93" s="396"/>
      <c r="F93" s="396"/>
      <c r="G93" s="396"/>
      <c r="H93" s="396"/>
      <c r="I93" s="396"/>
      <c r="J93" s="396"/>
      <c r="K93" s="396"/>
      <c r="L93" s="405"/>
      <c r="M93" s="405"/>
      <c r="N93" s="405"/>
      <c r="O93" s="405"/>
      <c r="P93" s="405"/>
      <c r="Q93" s="405"/>
      <c r="R93" s="405"/>
      <c r="S93" s="405"/>
      <c r="T93" s="405"/>
      <c r="U93" s="405"/>
      <c r="V93" s="405"/>
    </row>
    <row r="94" spans="1:22" ht="12.75" customHeight="1" x14ac:dyDescent="0.2">
      <c r="A94" s="396"/>
      <c r="B94" s="396"/>
      <c r="C94" s="396"/>
      <c r="D94" s="396"/>
      <c r="E94" s="396"/>
      <c r="F94" s="396"/>
      <c r="G94" s="396"/>
      <c r="H94" s="396"/>
      <c r="I94" s="396"/>
      <c r="J94" s="396"/>
      <c r="K94" s="396"/>
      <c r="L94" s="405"/>
      <c r="M94" s="405"/>
      <c r="N94" s="405"/>
      <c r="O94" s="405"/>
      <c r="P94" s="405"/>
      <c r="Q94" s="405"/>
      <c r="R94" s="405"/>
      <c r="S94" s="405"/>
      <c r="T94" s="405"/>
      <c r="U94" s="405"/>
      <c r="V94" s="405"/>
    </row>
    <row r="95" spans="1:22" ht="12.75" customHeight="1" x14ac:dyDescent="0.2">
      <c r="A95" s="396"/>
      <c r="B95" s="396"/>
      <c r="C95" s="396"/>
      <c r="D95" s="396"/>
      <c r="E95" s="396"/>
      <c r="F95" s="396"/>
      <c r="G95" s="396"/>
      <c r="H95" s="396"/>
      <c r="I95" s="396"/>
      <c r="J95" s="396"/>
      <c r="K95" s="396"/>
      <c r="L95" s="405"/>
      <c r="M95" s="405"/>
      <c r="N95" s="405"/>
      <c r="O95" s="405"/>
      <c r="P95" s="405"/>
      <c r="Q95" s="405"/>
      <c r="R95" s="405"/>
      <c r="S95" s="405"/>
      <c r="T95" s="405"/>
      <c r="U95" s="405"/>
      <c r="V95" s="405"/>
    </row>
    <row r="96" spans="1:22" ht="12.75" customHeight="1" x14ac:dyDescent="0.2">
      <c r="A96" s="396"/>
      <c r="B96" s="396"/>
      <c r="C96" s="396"/>
      <c r="D96" s="396"/>
      <c r="E96" s="396"/>
      <c r="F96" s="396"/>
      <c r="G96" s="396"/>
      <c r="H96" s="396"/>
      <c r="I96" s="396"/>
      <c r="J96" s="396"/>
      <c r="K96" s="396"/>
      <c r="L96" s="405"/>
      <c r="M96" s="405"/>
      <c r="N96" s="405"/>
      <c r="O96" s="405"/>
      <c r="P96" s="405"/>
      <c r="Q96" s="405"/>
      <c r="R96" s="405"/>
      <c r="S96" s="405"/>
      <c r="T96" s="405"/>
      <c r="U96" s="405"/>
      <c r="V96" s="405"/>
    </row>
    <row r="97" spans="1:22" ht="12.75" customHeight="1" x14ac:dyDescent="0.2">
      <c r="A97" s="396"/>
      <c r="B97" s="396"/>
      <c r="C97" s="396"/>
      <c r="D97" s="396"/>
      <c r="E97" s="396"/>
      <c r="F97" s="396"/>
      <c r="G97" s="396"/>
      <c r="H97" s="396"/>
      <c r="I97" s="396"/>
      <c r="J97" s="396"/>
      <c r="K97" s="396"/>
      <c r="L97" s="184" t="s">
        <v>33</v>
      </c>
      <c r="M97" s="454">
        <f>Памятка!E4</f>
        <v>0</v>
      </c>
      <c r="N97" s="454"/>
      <c r="O97" s="184"/>
      <c r="P97" s="184"/>
      <c r="Q97" s="184"/>
      <c r="R97" s="184"/>
      <c r="S97" s="184"/>
      <c r="T97" s="184"/>
      <c r="U97" s="184"/>
      <c r="V97" s="184"/>
    </row>
    <row r="98" spans="1:22" ht="12.75" customHeight="1" x14ac:dyDescent="0.2">
      <c r="L98" s="452" t="s">
        <v>363</v>
      </c>
      <c r="M98" s="452"/>
      <c r="N98" s="452"/>
      <c r="O98" s="452"/>
      <c r="P98" s="452"/>
      <c r="Q98" s="452"/>
      <c r="R98" s="452"/>
      <c r="S98" s="452"/>
      <c r="T98" s="452"/>
      <c r="U98" s="452"/>
      <c r="V98" s="452"/>
    </row>
    <row r="99" spans="1:22" ht="12.75" customHeight="1" x14ac:dyDescent="0.2">
      <c r="L99" s="452"/>
      <c r="M99" s="452"/>
      <c r="N99" s="452"/>
      <c r="O99" s="452"/>
      <c r="P99" s="452"/>
      <c r="Q99" s="452"/>
      <c r="R99" s="452"/>
      <c r="S99" s="452"/>
      <c r="T99" s="452"/>
      <c r="U99" s="452"/>
      <c r="V99" s="452"/>
    </row>
    <row r="100" spans="1:22" ht="12.75" customHeight="1" x14ac:dyDescent="0.2">
      <c r="L100" s="452"/>
      <c r="M100" s="452"/>
      <c r="N100" s="452"/>
      <c r="O100" s="452"/>
      <c r="P100" s="452"/>
      <c r="Q100" s="452"/>
      <c r="R100" s="452"/>
      <c r="S100" s="452"/>
      <c r="T100" s="452"/>
      <c r="U100" s="452"/>
      <c r="V100" s="452"/>
    </row>
    <row r="101" spans="1:22" ht="12.75" customHeight="1" x14ac:dyDescent="0.2">
      <c r="L101" s="452"/>
      <c r="M101" s="452"/>
      <c r="N101" s="452"/>
      <c r="O101" s="452"/>
      <c r="P101" s="452"/>
      <c r="Q101" s="452"/>
      <c r="R101" s="452"/>
      <c r="S101" s="452"/>
      <c r="T101" s="452"/>
      <c r="U101" s="452"/>
      <c r="V101" s="452"/>
    </row>
    <row r="102" spans="1:22" ht="12.75" customHeight="1" x14ac:dyDescent="0.2">
      <c r="L102" s="452"/>
      <c r="M102" s="452"/>
      <c r="N102" s="452"/>
      <c r="O102" s="452"/>
      <c r="P102" s="452"/>
      <c r="Q102" s="452"/>
      <c r="R102" s="452"/>
      <c r="S102" s="452"/>
      <c r="T102" s="452"/>
      <c r="U102" s="452"/>
      <c r="V102" s="452"/>
    </row>
    <row r="103" spans="1:22" ht="13.5" customHeight="1" thickBot="1" x14ac:dyDescent="0.25">
      <c r="L103" s="453"/>
      <c r="M103" s="453"/>
      <c r="N103" s="453"/>
      <c r="O103" s="453"/>
      <c r="P103" s="453"/>
      <c r="Q103" s="453"/>
      <c r="R103" s="453"/>
      <c r="S103" s="453"/>
      <c r="T103" s="453"/>
      <c r="U103" s="453"/>
      <c r="V103" s="453"/>
    </row>
    <row r="104" spans="1:22" ht="12.75" customHeight="1" x14ac:dyDescent="0.2">
      <c r="A104" s="397" t="s">
        <v>326</v>
      </c>
      <c r="B104" s="398"/>
      <c r="C104" s="398"/>
      <c r="D104" s="398"/>
      <c r="E104" s="398"/>
      <c r="F104" s="398"/>
      <c r="G104" s="398"/>
      <c r="H104" s="398"/>
      <c r="I104" s="398"/>
      <c r="J104" s="398"/>
      <c r="K104" s="399"/>
      <c r="L104" s="426" t="s">
        <v>329</v>
      </c>
      <c r="M104" s="406"/>
      <c r="N104" s="406"/>
      <c r="O104" s="406"/>
      <c r="P104" s="406"/>
      <c r="Q104" s="406"/>
      <c r="R104" s="406"/>
      <c r="S104" s="406"/>
      <c r="T104" s="406"/>
      <c r="U104" s="406"/>
      <c r="V104" s="427"/>
    </row>
    <row r="105" spans="1:22" x14ac:dyDescent="0.2">
      <c r="A105" s="400"/>
      <c r="B105" s="401"/>
      <c r="C105" s="401"/>
      <c r="D105" s="401"/>
      <c r="E105" s="401"/>
      <c r="F105" s="401"/>
      <c r="G105" s="401"/>
      <c r="H105" s="401"/>
      <c r="I105" s="401"/>
      <c r="J105" s="401"/>
      <c r="K105" s="402"/>
      <c r="L105" s="428"/>
      <c r="M105" s="407"/>
      <c r="N105" s="407"/>
      <c r="O105" s="407"/>
      <c r="P105" s="407"/>
      <c r="Q105" s="407"/>
      <c r="R105" s="407"/>
      <c r="S105" s="407"/>
      <c r="T105" s="407"/>
      <c r="U105" s="407"/>
      <c r="V105" s="429"/>
    </row>
    <row r="106" spans="1:22" ht="12.75" customHeight="1" x14ac:dyDescent="0.2">
      <c r="A106" s="403" t="s">
        <v>322</v>
      </c>
      <c r="B106" s="381"/>
      <c r="C106" s="381"/>
      <c r="D106" s="447">
        <f>Фамилия</f>
        <v>0</v>
      </c>
      <c r="E106" s="447"/>
      <c r="F106" s="448">
        <f>Имя</f>
        <v>0</v>
      </c>
      <c r="G106" s="448"/>
      <c r="H106" s="381" t="s">
        <v>323</v>
      </c>
      <c r="I106" s="381"/>
      <c r="J106" s="381"/>
      <c r="K106" s="382"/>
      <c r="L106" s="428" t="s">
        <v>328</v>
      </c>
      <c r="M106" s="407"/>
      <c r="N106" s="407"/>
      <c r="O106" s="407"/>
      <c r="P106" s="443">
        <f>Фамилия</f>
        <v>0</v>
      </c>
      <c r="Q106" s="443"/>
      <c r="R106" s="443"/>
      <c r="S106" s="444">
        <f>Имя</f>
        <v>0</v>
      </c>
      <c r="T106" s="444"/>
      <c r="U106" s="407" t="s">
        <v>332</v>
      </c>
      <c r="V106" s="429"/>
    </row>
    <row r="107" spans="1:22" ht="12.75" customHeight="1" x14ac:dyDescent="0.2">
      <c r="A107" s="390" t="s">
        <v>330</v>
      </c>
      <c r="B107" s="391"/>
      <c r="C107" s="391"/>
      <c r="D107" s="391"/>
      <c r="E107" s="391"/>
      <c r="F107" s="391"/>
      <c r="G107" s="391"/>
      <c r="H107" s="391"/>
      <c r="I107" s="391"/>
      <c r="J107" s="391"/>
      <c r="K107" s="392"/>
      <c r="L107" s="428" t="s">
        <v>330</v>
      </c>
      <c r="M107" s="407"/>
      <c r="N107" s="407"/>
      <c r="O107" s="407"/>
      <c r="P107" s="407"/>
      <c r="Q107" s="407"/>
      <c r="R107" s="407"/>
      <c r="S107" s="407"/>
      <c r="T107" s="407"/>
      <c r="U107" s="407"/>
      <c r="V107" s="429"/>
    </row>
    <row r="108" spans="1:22" ht="13.5" x14ac:dyDescent="0.2">
      <c r="A108" s="390" t="s">
        <v>359</v>
      </c>
      <c r="B108" s="391"/>
      <c r="C108" s="391"/>
      <c r="D108" s="391"/>
      <c r="E108" s="391"/>
      <c r="F108" s="391"/>
      <c r="G108" s="391"/>
      <c r="H108" s="391"/>
      <c r="I108" s="391"/>
      <c r="J108" s="391"/>
      <c r="K108" s="392"/>
      <c r="L108" s="428" t="s">
        <v>331</v>
      </c>
      <c r="M108" s="395"/>
      <c r="N108" s="395"/>
      <c r="O108" s="395"/>
      <c r="P108" s="395"/>
      <c r="Q108" s="395"/>
      <c r="R108" s="395"/>
      <c r="S108" s="395"/>
      <c r="T108" s="395"/>
      <c r="U108" s="395"/>
      <c r="V108" s="446"/>
    </row>
    <row r="109" spans="1:22" ht="12.75" customHeight="1" x14ac:dyDescent="0.2">
      <c r="A109" s="390" t="s">
        <v>408</v>
      </c>
      <c r="B109" s="391"/>
      <c r="C109" s="391"/>
      <c r="D109" s="391"/>
      <c r="E109" s="391"/>
      <c r="F109" s="391"/>
      <c r="G109" s="391"/>
      <c r="H109" s="391"/>
      <c r="I109" s="391"/>
      <c r="J109" s="391"/>
      <c r="K109" s="392"/>
      <c r="L109" s="445" t="s">
        <v>409</v>
      </c>
      <c r="M109" s="395"/>
      <c r="N109" s="395"/>
      <c r="O109" s="395"/>
      <c r="P109" s="395"/>
      <c r="Q109" s="395"/>
      <c r="R109" s="395"/>
      <c r="S109" s="395"/>
      <c r="T109" s="395"/>
      <c r="U109" s="395"/>
      <c r="V109" s="446"/>
    </row>
    <row r="110" spans="1:22" ht="13.5" x14ac:dyDescent="0.2">
      <c r="A110" s="390" t="s">
        <v>407</v>
      </c>
      <c r="B110" s="391"/>
      <c r="C110" s="391"/>
      <c r="D110" s="391"/>
      <c r="E110" s="391"/>
      <c r="F110" s="391"/>
      <c r="G110" s="391"/>
      <c r="H110" s="391"/>
      <c r="I110" s="391"/>
      <c r="J110" s="391"/>
      <c r="K110" s="392"/>
      <c r="L110" s="445"/>
      <c r="M110" s="395"/>
      <c r="N110" s="395"/>
      <c r="O110" s="395"/>
      <c r="P110" s="395"/>
      <c r="Q110" s="395"/>
      <c r="R110" s="395"/>
      <c r="S110" s="395"/>
      <c r="T110" s="395"/>
      <c r="U110" s="395"/>
      <c r="V110" s="446"/>
    </row>
    <row r="111" spans="1:22" ht="13.5" x14ac:dyDescent="0.2">
      <c r="A111" s="390" t="s">
        <v>351</v>
      </c>
      <c r="B111" s="391"/>
      <c r="C111" s="391"/>
      <c r="D111" s="391"/>
      <c r="E111" s="391"/>
      <c r="F111" s="391"/>
      <c r="G111" s="391"/>
      <c r="H111" s="391"/>
      <c r="I111" s="391"/>
      <c r="J111" s="391"/>
      <c r="K111" s="392"/>
      <c r="L111" s="445"/>
      <c r="M111" s="395"/>
      <c r="N111" s="395"/>
      <c r="O111" s="395"/>
      <c r="P111" s="395"/>
      <c r="Q111" s="395"/>
      <c r="R111" s="395"/>
      <c r="S111" s="395"/>
      <c r="T111" s="395"/>
      <c r="U111" s="395"/>
      <c r="V111" s="446"/>
    </row>
    <row r="112" spans="1:22" ht="13.5" x14ac:dyDescent="0.2">
      <c r="A112" s="449" t="s">
        <v>360</v>
      </c>
      <c r="B112" s="391"/>
      <c r="C112" s="391"/>
      <c r="D112" s="391"/>
      <c r="E112" s="391"/>
      <c r="F112" s="391"/>
      <c r="G112" s="391"/>
      <c r="H112" s="391"/>
      <c r="I112" s="391"/>
      <c r="J112" s="391"/>
      <c r="K112" s="392"/>
      <c r="L112" s="445"/>
      <c r="M112" s="395"/>
      <c r="N112" s="395"/>
      <c r="O112" s="395"/>
      <c r="P112" s="395"/>
      <c r="Q112" s="395"/>
      <c r="R112" s="395"/>
      <c r="S112" s="395"/>
      <c r="T112" s="395"/>
      <c r="U112" s="395"/>
      <c r="V112" s="446"/>
    </row>
    <row r="113" spans="1:22" ht="13.5" x14ac:dyDescent="0.2">
      <c r="A113" s="390" t="s">
        <v>353</v>
      </c>
      <c r="B113" s="391"/>
      <c r="C113" s="391"/>
      <c r="D113" s="391"/>
      <c r="E113" s="391"/>
      <c r="F113" s="391"/>
      <c r="G113" s="391"/>
      <c r="H113" s="391"/>
      <c r="I113" s="391"/>
      <c r="J113" s="391"/>
      <c r="K113" s="392"/>
      <c r="L113" s="445" t="s">
        <v>333</v>
      </c>
      <c r="M113" s="395"/>
      <c r="N113" s="395"/>
      <c r="O113" s="395"/>
      <c r="P113" s="395"/>
      <c r="Q113" s="395"/>
      <c r="R113" s="395"/>
      <c r="S113" s="395"/>
      <c r="T113" s="395"/>
      <c r="U113" s="395"/>
      <c r="V113" s="446"/>
    </row>
    <row r="114" spans="1:22" x14ac:dyDescent="0.2">
      <c r="A114" s="380" t="s">
        <v>354</v>
      </c>
      <c r="B114" s="381"/>
      <c r="C114" s="381"/>
      <c r="D114" s="381"/>
      <c r="E114" s="381"/>
      <c r="F114" s="381"/>
      <c r="G114" s="381"/>
      <c r="H114" s="381"/>
      <c r="I114" s="381"/>
      <c r="J114" s="381"/>
      <c r="K114" s="382"/>
      <c r="L114" s="445"/>
      <c r="M114" s="395"/>
      <c r="N114" s="395"/>
      <c r="O114" s="395"/>
      <c r="P114" s="395"/>
      <c r="Q114" s="395"/>
      <c r="R114" s="395"/>
      <c r="S114" s="395"/>
      <c r="T114" s="395"/>
      <c r="U114" s="395"/>
      <c r="V114" s="446"/>
    </row>
    <row r="115" spans="1:22" ht="13.5" x14ac:dyDescent="0.2">
      <c r="A115" s="188" t="s">
        <v>33</v>
      </c>
      <c r="B115" s="388">
        <f>Памятка!E4</f>
        <v>0</v>
      </c>
      <c r="C115" s="388"/>
      <c r="D115" s="182"/>
      <c r="E115" s="182"/>
      <c r="F115" s="182"/>
      <c r="G115" s="182"/>
      <c r="H115" s="182"/>
      <c r="I115" s="182"/>
      <c r="J115" s="182"/>
      <c r="K115" s="193"/>
      <c r="L115" s="196" t="s">
        <v>33</v>
      </c>
      <c r="M115" s="442">
        <f>Памятка!E4</f>
        <v>0</v>
      </c>
      <c r="N115" s="442"/>
      <c r="O115" s="180"/>
      <c r="P115" s="180"/>
      <c r="Q115" s="180"/>
      <c r="R115" s="180"/>
      <c r="S115" s="180"/>
      <c r="T115" s="180"/>
      <c r="U115" s="180"/>
      <c r="V115" s="197"/>
    </row>
    <row r="116" spans="1:22" ht="13.5" thickBot="1" x14ac:dyDescent="0.25">
      <c r="A116" s="194"/>
      <c r="B116" s="190"/>
      <c r="C116" s="190"/>
      <c r="D116" s="190"/>
      <c r="E116" s="190"/>
      <c r="F116" s="190"/>
      <c r="G116" s="190"/>
      <c r="H116" s="190"/>
      <c r="I116" s="190"/>
      <c r="J116" s="190"/>
      <c r="K116" s="195"/>
      <c r="L116" s="198"/>
      <c r="M116" s="199"/>
      <c r="N116" s="199"/>
      <c r="O116" s="199"/>
      <c r="P116" s="199"/>
      <c r="Q116" s="199"/>
      <c r="R116" s="199"/>
      <c r="S116" s="199"/>
      <c r="T116" s="199"/>
      <c r="U116" s="199"/>
      <c r="V116" s="200"/>
    </row>
    <row r="124" spans="1:22" x14ac:dyDescent="0.2">
      <c r="L124" s="182"/>
    </row>
    <row r="125" spans="1:22" x14ac:dyDescent="0.2">
      <c r="A125" s="180"/>
      <c r="B125" s="180"/>
      <c r="C125" s="180"/>
      <c r="D125" s="180"/>
      <c r="E125" s="180"/>
      <c r="F125" s="180"/>
      <c r="G125" s="180"/>
      <c r="H125" s="180"/>
      <c r="I125" s="180"/>
      <c r="J125" s="180"/>
      <c r="K125" s="180"/>
      <c r="L125" s="182"/>
      <c r="M125" s="182"/>
      <c r="N125" s="182"/>
      <c r="O125" s="182"/>
      <c r="P125" s="182"/>
      <c r="Q125" s="182"/>
      <c r="R125" s="182"/>
      <c r="S125" s="182"/>
      <c r="T125" s="182"/>
      <c r="U125" s="182"/>
      <c r="V125" s="182"/>
    </row>
    <row r="126" spans="1:22" x14ac:dyDescent="0.2">
      <c r="A126" s="180"/>
      <c r="B126" s="180"/>
      <c r="C126" s="180"/>
      <c r="D126" s="180"/>
      <c r="E126" s="180"/>
      <c r="F126" s="180"/>
      <c r="G126" s="180"/>
      <c r="H126" s="180"/>
      <c r="I126" s="180"/>
      <c r="J126" s="180"/>
      <c r="K126" s="180"/>
      <c r="L126" s="182"/>
      <c r="M126" s="182"/>
      <c r="N126" s="182"/>
      <c r="O126" s="182"/>
      <c r="P126" s="182"/>
      <c r="Q126" s="182"/>
      <c r="R126" s="182"/>
      <c r="S126" s="182"/>
      <c r="T126" s="182"/>
      <c r="U126" s="182"/>
      <c r="V126" s="182"/>
    </row>
    <row r="127" spans="1:22" x14ac:dyDescent="0.2">
      <c r="A127" s="180"/>
      <c r="B127" s="180"/>
      <c r="C127" s="180"/>
      <c r="D127" s="180"/>
      <c r="E127" s="180"/>
      <c r="F127" s="180"/>
      <c r="G127" s="180"/>
      <c r="H127" s="180"/>
      <c r="I127" s="180"/>
      <c r="J127" s="180"/>
      <c r="K127" s="180"/>
      <c r="L127" s="182"/>
      <c r="M127" s="182"/>
      <c r="N127" s="182"/>
      <c r="O127" s="182"/>
      <c r="P127" s="182"/>
      <c r="Q127" s="182"/>
      <c r="R127" s="182"/>
      <c r="S127" s="182"/>
      <c r="T127" s="182"/>
      <c r="U127" s="182"/>
      <c r="V127" s="182"/>
    </row>
    <row r="128" spans="1:22" x14ac:dyDescent="0.2">
      <c r="A128" s="180"/>
      <c r="B128" s="180"/>
      <c r="C128" s="180"/>
      <c r="D128" s="180"/>
      <c r="E128" s="180"/>
      <c r="F128" s="180"/>
      <c r="G128" s="180"/>
      <c r="H128" s="180"/>
      <c r="I128" s="180"/>
      <c r="J128" s="180"/>
      <c r="K128" s="180"/>
      <c r="L128" s="182"/>
      <c r="M128" s="182"/>
      <c r="N128" s="182"/>
      <c r="O128" s="182"/>
      <c r="P128" s="182"/>
      <c r="Q128" s="182"/>
      <c r="R128" s="182"/>
      <c r="S128" s="182"/>
      <c r="T128" s="182"/>
      <c r="U128" s="182"/>
      <c r="V128" s="182"/>
    </row>
    <row r="129" spans="1:22" x14ac:dyDescent="0.2">
      <c r="A129" s="180"/>
      <c r="B129" s="180"/>
      <c r="C129" s="180"/>
      <c r="D129" s="180"/>
      <c r="E129" s="180"/>
      <c r="F129" s="180"/>
      <c r="G129" s="180"/>
      <c r="H129" s="180"/>
      <c r="I129" s="180"/>
      <c r="J129" s="180"/>
      <c r="K129" s="180"/>
      <c r="L129" s="182"/>
      <c r="M129" s="182"/>
      <c r="N129" s="182"/>
      <c r="O129" s="182"/>
      <c r="P129" s="182"/>
      <c r="Q129" s="182"/>
      <c r="R129" s="182"/>
      <c r="S129" s="182"/>
      <c r="T129" s="182"/>
      <c r="U129" s="182"/>
      <c r="V129" s="182"/>
    </row>
    <row r="130" spans="1:22" x14ac:dyDescent="0.2">
      <c r="A130" s="180"/>
      <c r="B130" s="180"/>
      <c r="C130" s="180"/>
      <c r="D130" s="180"/>
      <c r="E130" s="180"/>
      <c r="F130" s="180"/>
      <c r="G130" s="180"/>
      <c r="H130" s="180"/>
      <c r="I130" s="180"/>
      <c r="J130" s="180"/>
      <c r="K130" s="180"/>
      <c r="L130" s="182"/>
      <c r="M130" s="182"/>
      <c r="N130" s="182"/>
      <c r="O130" s="182"/>
      <c r="P130" s="182"/>
      <c r="Q130" s="182"/>
      <c r="R130" s="182"/>
      <c r="S130" s="182"/>
      <c r="T130" s="182"/>
      <c r="U130" s="182"/>
      <c r="V130" s="182"/>
    </row>
    <row r="131" spans="1:22" x14ac:dyDescent="0.2">
      <c r="A131" s="180"/>
      <c r="B131" s="180"/>
      <c r="C131" s="180"/>
      <c r="D131" s="180"/>
      <c r="E131" s="180"/>
      <c r="F131" s="180"/>
      <c r="G131" s="180"/>
      <c r="H131" s="180"/>
      <c r="I131" s="180"/>
      <c r="J131" s="180"/>
      <c r="K131" s="180"/>
      <c r="L131" s="182"/>
      <c r="M131" s="182"/>
      <c r="N131" s="182"/>
      <c r="O131" s="182"/>
      <c r="P131" s="182"/>
      <c r="Q131" s="182"/>
      <c r="R131" s="182"/>
      <c r="S131" s="182"/>
      <c r="T131" s="182"/>
      <c r="U131" s="182"/>
      <c r="V131" s="182"/>
    </row>
    <row r="132" spans="1:22" x14ac:dyDescent="0.2">
      <c r="A132" s="180"/>
      <c r="B132" s="180"/>
      <c r="C132" s="180"/>
      <c r="D132" s="180"/>
      <c r="E132" s="180"/>
      <c r="F132" s="180"/>
      <c r="G132" s="180"/>
      <c r="H132" s="180"/>
      <c r="I132" s="180"/>
      <c r="J132" s="180"/>
      <c r="K132" s="180"/>
      <c r="L132" s="182"/>
      <c r="M132" s="182"/>
      <c r="N132" s="182"/>
      <c r="O132" s="182"/>
      <c r="P132" s="182"/>
      <c r="Q132" s="182"/>
      <c r="R132" s="182"/>
      <c r="S132" s="182"/>
      <c r="T132" s="182"/>
      <c r="U132" s="182"/>
      <c r="V132" s="182"/>
    </row>
    <row r="133" spans="1:22" x14ac:dyDescent="0.2">
      <c r="A133" s="180"/>
      <c r="B133" s="180"/>
      <c r="C133" s="180"/>
      <c r="D133" s="180"/>
      <c r="E133" s="180"/>
      <c r="F133" s="180"/>
      <c r="G133" s="180"/>
      <c r="H133" s="180"/>
      <c r="I133" s="180"/>
      <c r="J133" s="180"/>
      <c r="K133" s="180"/>
      <c r="L133" s="182"/>
      <c r="M133" s="182"/>
      <c r="N133" s="182"/>
      <c r="O133" s="182"/>
      <c r="P133" s="182"/>
      <c r="Q133" s="182"/>
      <c r="R133" s="182"/>
      <c r="S133" s="182"/>
      <c r="T133" s="182"/>
      <c r="U133" s="182"/>
      <c r="V133" s="182"/>
    </row>
    <row r="134" spans="1:22" x14ac:dyDescent="0.2">
      <c r="A134" s="180"/>
      <c r="B134" s="180"/>
      <c r="C134" s="180"/>
      <c r="D134" s="180"/>
      <c r="E134" s="180"/>
      <c r="F134" s="180"/>
      <c r="G134" s="180"/>
      <c r="H134" s="180"/>
      <c r="I134" s="180"/>
      <c r="J134" s="180"/>
      <c r="K134" s="180"/>
      <c r="L134" s="182"/>
      <c r="M134" s="182"/>
      <c r="N134" s="182"/>
      <c r="O134" s="182"/>
      <c r="P134" s="182"/>
      <c r="Q134" s="182"/>
      <c r="R134" s="182"/>
      <c r="S134" s="182"/>
      <c r="T134" s="182"/>
      <c r="U134" s="182"/>
      <c r="V134" s="182"/>
    </row>
    <row r="135" spans="1:22" x14ac:dyDescent="0.2">
      <c r="A135" s="182"/>
      <c r="B135" s="182"/>
      <c r="C135" s="182"/>
      <c r="D135" s="182"/>
      <c r="E135" s="182"/>
      <c r="F135" s="182"/>
      <c r="G135" s="182"/>
      <c r="H135" s="182"/>
      <c r="I135" s="182"/>
      <c r="J135" s="182"/>
      <c r="K135" s="182"/>
      <c r="L135" s="182"/>
      <c r="M135" s="182"/>
      <c r="N135" s="182"/>
      <c r="O135" s="182"/>
      <c r="P135" s="182"/>
      <c r="Q135" s="182"/>
      <c r="R135" s="182"/>
      <c r="S135" s="182"/>
      <c r="T135" s="182"/>
      <c r="U135" s="182"/>
      <c r="V135" s="182"/>
    </row>
    <row r="136" spans="1:22" x14ac:dyDescent="0.2">
      <c r="A136" s="182"/>
      <c r="B136" s="182"/>
      <c r="C136" s="182"/>
      <c r="D136" s="182"/>
      <c r="E136" s="182"/>
      <c r="F136" s="182"/>
      <c r="G136" s="182"/>
      <c r="H136" s="182"/>
      <c r="I136" s="182"/>
      <c r="J136" s="182"/>
      <c r="K136" s="182"/>
      <c r="L136" s="182"/>
      <c r="M136" s="182"/>
      <c r="N136" s="182"/>
      <c r="O136" s="182"/>
      <c r="P136" s="182"/>
      <c r="Q136" s="182"/>
      <c r="R136" s="182"/>
      <c r="S136" s="182"/>
      <c r="T136" s="182"/>
      <c r="U136" s="182"/>
      <c r="V136" s="182"/>
    </row>
    <row r="137" spans="1:22" x14ac:dyDescent="0.2">
      <c r="A137" s="182"/>
      <c r="B137" s="182"/>
      <c r="C137" s="182"/>
      <c r="D137" s="182"/>
      <c r="E137" s="182"/>
      <c r="F137" s="182"/>
      <c r="G137" s="182"/>
      <c r="H137" s="182"/>
      <c r="I137" s="182"/>
      <c r="J137" s="182"/>
      <c r="K137" s="182"/>
      <c r="L137" s="182"/>
      <c r="M137" s="182"/>
      <c r="N137" s="182"/>
      <c r="O137" s="182"/>
      <c r="P137" s="182"/>
      <c r="Q137" s="182"/>
      <c r="R137" s="182"/>
      <c r="S137" s="182"/>
      <c r="T137" s="182"/>
      <c r="U137" s="182"/>
      <c r="V137" s="182"/>
    </row>
    <row r="138" spans="1:22" x14ac:dyDescent="0.2">
      <c r="A138" s="182"/>
      <c r="B138" s="182"/>
      <c r="C138" s="182"/>
      <c r="D138" s="182"/>
      <c r="E138" s="182"/>
      <c r="F138" s="182"/>
      <c r="G138" s="182"/>
      <c r="H138" s="182"/>
      <c r="I138" s="182"/>
      <c r="J138" s="182"/>
      <c r="K138" s="182"/>
      <c r="L138" s="182"/>
      <c r="M138" s="182"/>
      <c r="N138" s="182"/>
      <c r="O138" s="182"/>
      <c r="P138" s="182"/>
      <c r="Q138" s="182"/>
      <c r="R138" s="182"/>
      <c r="S138" s="182"/>
      <c r="T138" s="182"/>
      <c r="U138" s="182"/>
      <c r="V138" s="182"/>
    </row>
    <row r="139" spans="1:22" x14ac:dyDescent="0.2">
      <c r="A139" s="182"/>
      <c r="B139" s="182"/>
      <c r="C139" s="182"/>
      <c r="D139" s="182"/>
      <c r="E139" s="182"/>
      <c r="F139" s="182"/>
      <c r="G139" s="182"/>
      <c r="H139" s="182"/>
      <c r="I139" s="182"/>
      <c r="J139" s="182"/>
      <c r="K139" s="182"/>
      <c r="L139" s="182"/>
      <c r="M139" s="182"/>
      <c r="N139" s="182"/>
      <c r="O139" s="182"/>
      <c r="P139" s="182"/>
      <c r="Q139" s="182"/>
      <c r="R139" s="182"/>
      <c r="S139" s="182"/>
      <c r="T139" s="182"/>
      <c r="U139" s="182"/>
      <c r="V139" s="182"/>
    </row>
    <row r="140" spans="1:22" x14ac:dyDescent="0.2">
      <c r="A140" s="182"/>
      <c r="B140" s="182"/>
      <c r="C140" s="182"/>
      <c r="D140" s="182"/>
      <c r="E140" s="182"/>
      <c r="F140" s="182"/>
      <c r="G140" s="182"/>
      <c r="H140" s="182"/>
      <c r="I140" s="182"/>
      <c r="J140" s="182"/>
      <c r="K140" s="182"/>
      <c r="L140" s="182"/>
      <c r="M140" s="182"/>
      <c r="N140" s="182"/>
      <c r="O140" s="182"/>
      <c r="P140" s="182"/>
      <c r="Q140" s="182"/>
      <c r="R140" s="182"/>
      <c r="S140" s="182"/>
      <c r="T140" s="182"/>
      <c r="U140" s="182"/>
      <c r="V140" s="182"/>
    </row>
    <row r="141" spans="1:22" x14ac:dyDescent="0.2">
      <c r="A141" s="182"/>
      <c r="B141" s="182"/>
      <c r="C141" s="182"/>
      <c r="D141" s="182"/>
      <c r="E141" s="182"/>
      <c r="F141" s="182"/>
      <c r="G141" s="182"/>
      <c r="H141" s="182"/>
      <c r="I141" s="182"/>
      <c r="J141" s="182"/>
      <c r="K141" s="182"/>
      <c r="L141" s="182"/>
      <c r="M141" s="182"/>
      <c r="N141" s="182"/>
      <c r="O141" s="182"/>
      <c r="P141" s="182"/>
      <c r="Q141" s="182"/>
      <c r="R141" s="182"/>
      <c r="S141" s="182"/>
      <c r="T141" s="182"/>
      <c r="U141" s="182"/>
      <c r="V141" s="182"/>
    </row>
    <row r="142" spans="1:22" x14ac:dyDescent="0.2">
      <c r="A142" s="182"/>
      <c r="B142" s="182"/>
      <c r="C142" s="182"/>
      <c r="D142" s="182"/>
      <c r="E142" s="182"/>
      <c r="F142" s="182"/>
      <c r="G142" s="182"/>
      <c r="H142" s="182"/>
      <c r="I142" s="182"/>
      <c r="J142" s="182"/>
      <c r="K142" s="182"/>
      <c r="L142" s="182"/>
      <c r="M142" s="182"/>
      <c r="N142" s="182"/>
      <c r="O142" s="182"/>
      <c r="P142" s="182"/>
      <c r="Q142" s="182"/>
      <c r="R142" s="182"/>
      <c r="S142" s="182"/>
      <c r="T142" s="182"/>
      <c r="U142" s="182"/>
      <c r="V142" s="182"/>
    </row>
    <row r="143" spans="1:22" x14ac:dyDescent="0.2">
      <c r="A143" s="182"/>
      <c r="B143" s="182"/>
      <c r="C143" s="182"/>
      <c r="D143" s="182"/>
      <c r="E143" s="182"/>
      <c r="F143" s="182"/>
      <c r="G143" s="182"/>
      <c r="H143" s="182"/>
      <c r="I143" s="182"/>
      <c r="J143" s="182"/>
      <c r="K143" s="182"/>
      <c r="L143" s="182"/>
      <c r="M143" s="182"/>
      <c r="N143" s="182"/>
      <c r="O143" s="182"/>
      <c r="P143" s="182"/>
      <c r="Q143" s="182"/>
      <c r="R143" s="182"/>
      <c r="S143" s="182"/>
      <c r="T143" s="182"/>
      <c r="U143" s="182"/>
      <c r="V143" s="182"/>
    </row>
    <row r="144" spans="1:22" x14ac:dyDescent="0.2">
      <c r="A144" s="182"/>
      <c r="B144" s="182"/>
      <c r="C144" s="182"/>
      <c r="D144" s="182"/>
      <c r="E144" s="182"/>
      <c r="F144" s="182"/>
      <c r="G144" s="182"/>
      <c r="H144" s="182"/>
      <c r="I144" s="182"/>
      <c r="J144" s="182"/>
      <c r="K144" s="182"/>
      <c r="L144" s="182"/>
      <c r="M144" s="182"/>
      <c r="N144" s="182"/>
      <c r="O144" s="182"/>
      <c r="P144" s="182"/>
      <c r="Q144" s="182"/>
      <c r="R144" s="182"/>
      <c r="S144" s="182"/>
      <c r="T144" s="182"/>
      <c r="U144" s="182"/>
      <c r="V144" s="182"/>
    </row>
    <row r="145" spans="1:22" x14ac:dyDescent="0.2">
      <c r="A145" s="182"/>
      <c r="B145" s="182"/>
      <c r="C145" s="182"/>
      <c r="D145" s="182"/>
      <c r="E145" s="182"/>
      <c r="F145" s="182"/>
      <c r="G145" s="182"/>
      <c r="H145" s="182"/>
      <c r="I145" s="182"/>
      <c r="J145" s="182"/>
      <c r="K145" s="182"/>
      <c r="L145" s="182"/>
      <c r="M145" s="182"/>
      <c r="N145" s="182"/>
      <c r="O145" s="182"/>
      <c r="P145" s="182"/>
      <c r="Q145" s="182"/>
      <c r="R145" s="182"/>
      <c r="S145" s="182"/>
      <c r="T145" s="182"/>
      <c r="U145" s="182"/>
      <c r="V145" s="182"/>
    </row>
    <row r="146" spans="1:22" x14ac:dyDescent="0.2">
      <c r="A146" s="182"/>
      <c r="B146" s="182"/>
      <c r="C146" s="182"/>
      <c r="D146" s="182"/>
      <c r="E146" s="182"/>
      <c r="F146" s="182"/>
      <c r="G146" s="182"/>
      <c r="H146" s="182"/>
      <c r="I146" s="182"/>
      <c r="J146" s="182"/>
      <c r="K146" s="182"/>
      <c r="L146" s="182"/>
      <c r="M146" s="182"/>
      <c r="N146" s="182"/>
      <c r="O146" s="182"/>
      <c r="P146" s="182"/>
      <c r="Q146" s="182"/>
      <c r="R146" s="182"/>
      <c r="S146" s="182"/>
      <c r="T146" s="182"/>
      <c r="U146" s="182"/>
      <c r="V146" s="182"/>
    </row>
    <row r="147" spans="1:22" x14ac:dyDescent="0.2">
      <c r="A147" s="182"/>
      <c r="B147" s="182"/>
      <c r="C147" s="182"/>
      <c r="D147" s="182"/>
      <c r="E147" s="182"/>
      <c r="F147" s="182"/>
      <c r="G147" s="182"/>
      <c r="H147" s="182"/>
      <c r="I147" s="182"/>
      <c r="J147" s="182"/>
      <c r="K147" s="182"/>
      <c r="L147" s="182"/>
      <c r="M147" s="182"/>
      <c r="N147" s="182"/>
      <c r="O147" s="182"/>
      <c r="P147" s="182"/>
      <c r="Q147" s="182"/>
      <c r="R147" s="182"/>
      <c r="S147" s="182"/>
      <c r="T147" s="182"/>
      <c r="U147" s="182"/>
      <c r="V147" s="182"/>
    </row>
    <row r="148" spans="1:22" x14ac:dyDescent="0.2">
      <c r="A148" s="182"/>
      <c r="B148" s="182"/>
      <c r="C148" s="182"/>
      <c r="D148" s="182"/>
      <c r="E148" s="182"/>
      <c r="F148" s="182"/>
      <c r="G148" s="182"/>
      <c r="H148" s="182"/>
      <c r="I148" s="182"/>
      <c r="J148" s="182"/>
      <c r="K148" s="182"/>
      <c r="L148" s="182"/>
      <c r="M148" s="182"/>
      <c r="N148" s="182"/>
      <c r="O148" s="182"/>
      <c r="P148" s="182"/>
      <c r="Q148" s="182"/>
      <c r="R148" s="182"/>
      <c r="S148" s="182"/>
      <c r="T148" s="182"/>
      <c r="U148" s="182"/>
      <c r="V148" s="182"/>
    </row>
    <row r="149" spans="1:22" x14ac:dyDescent="0.2">
      <c r="A149" s="182"/>
      <c r="B149" s="182"/>
      <c r="C149" s="182"/>
      <c r="D149" s="182"/>
      <c r="E149" s="182"/>
      <c r="F149" s="182"/>
      <c r="G149" s="182"/>
      <c r="H149" s="182"/>
      <c r="I149" s="182"/>
      <c r="J149" s="182"/>
      <c r="K149" s="182"/>
      <c r="L149" s="182"/>
      <c r="M149" s="182"/>
      <c r="N149" s="182"/>
      <c r="O149" s="182"/>
      <c r="P149" s="182"/>
      <c r="Q149" s="182"/>
      <c r="R149" s="182"/>
      <c r="S149" s="182"/>
      <c r="T149" s="182"/>
      <c r="U149" s="182"/>
      <c r="V149" s="182"/>
    </row>
    <row r="150" spans="1:22" x14ac:dyDescent="0.2">
      <c r="A150" s="182"/>
      <c r="B150" s="182"/>
      <c r="C150" s="182"/>
      <c r="D150" s="182"/>
      <c r="E150" s="182"/>
      <c r="F150" s="182"/>
      <c r="G150" s="182"/>
      <c r="H150" s="182"/>
      <c r="I150" s="182"/>
      <c r="J150" s="182"/>
      <c r="K150" s="182"/>
      <c r="L150" s="182"/>
      <c r="M150" s="182"/>
      <c r="N150" s="182"/>
      <c r="O150" s="182"/>
      <c r="P150" s="182"/>
      <c r="Q150" s="182"/>
      <c r="R150" s="182"/>
      <c r="S150" s="182"/>
      <c r="T150" s="182"/>
      <c r="U150" s="182"/>
      <c r="V150" s="182"/>
    </row>
    <row r="151" spans="1:22" x14ac:dyDescent="0.2">
      <c r="A151" s="182"/>
      <c r="B151" s="182"/>
      <c r="C151" s="182"/>
      <c r="D151" s="182"/>
      <c r="E151" s="182"/>
      <c r="F151" s="182"/>
      <c r="G151" s="182"/>
      <c r="H151" s="182"/>
      <c r="I151" s="182"/>
      <c r="J151" s="182"/>
      <c r="K151" s="182"/>
      <c r="L151" s="182"/>
      <c r="M151" s="182"/>
      <c r="N151" s="182"/>
      <c r="O151" s="182"/>
      <c r="P151" s="182"/>
      <c r="Q151" s="182"/>
      <c r="R151" s="182"/>
      <c r="S151" s="182"/>
      <c r="T151" s="182"/>
      <c r="U151" s="182"/>
      <c r="V151" s="182"/>
    </row>
  </sheetData>
  <sheetProtection selectLockedCells="1" selectUnlockedCells="1"/>
  <mergeCells count="72">
    <mergeCell ref="R1:V4"/>
    <mergeCell ref="M6:U7"/>
    <mergeCell ref="L107:V107"/>
    <mergeCell ref="L108:V108"/>
    <mergeCell ref="L109:V112"/>
    <mergeCell ref="L59:V96"/>
    <mergeCell ref="L98:V103"/>
    <mergeCell ref="M97:N97"/>
    <mergeCell ref="L104:V105"/>
    <mergeCell ref="M115:N115"/>
    <mergeCell ref="P106:R106"/>
    <mergeCell ref="S106:T106"/>
    <mergeCell ref="L113:V114"/>
    <mergeCell ref="B115:C115"/>
    <mergeCell ref="A107:K107"/>
    <mergeCell ref="A108:K108"/>
    <mergeCell ref="U106:V106"/>
    <mergeCell ref="D106:E106"/>
    <mergeCell ref="F106:G106"/>
    <mergeCell ref="H106:K106"/>
    <mergeCell ref="L106:O106"/>
    <mergeCell ref="A110:K110"/>
    <mergeCell ref="A111:K111"/>
    <mergeCell ref="A112:K112"/>
    <mergeCell ref="A113:K113"/>
    <mergeCell ref="AC1:AG4"/>
    <mergeCell ref="X5:AF7"/>
    <mergeCell ref="W8:AG11"/>
    <mergeCell ref="A88:K88"/>
    <mergeCell ref="B89:C89"/>
    <mergeCell ref="H1:K7"/>
    <mergeCell ref="A59:K84"/>
    <mergeCell ref="A85:K87"/>
    <mergeCell ref="L8:V16"/>
    <mergeCell ref="L17:V58"/>
    <mergeCell ref="W18:AG18"/>
    <mergeCell ref="A8:K9"/>
    <mergeCell ref="A10:K19"/>
    <mergeCell ref="A20:K58"/>
    <mergeCell ref="W12:AG12"/>
    <mergeCell ref="W13:AG13"/>
    <mergeCell ref="W14:AG14"/>
    <mergeCell ref="W15:AG15"/>
    <mergeCell ref="W16:AG16"/>
    <mergeCell ref="W17:AG17"/>
    <mergeCell ref="W19:AG20"/>
    <mergeCell ref="W53:AG58"/>
    <mergeCell ref="W21:AG51"/>
    <mergeCell ref="X52:Y52"/>
    <mergeCell ref="W59:AG59"/>
    <mergeCell ref="W60:AG60"/>
    <mergeCell ref="W61:Z61"/>
    <mergeCell ref="AA61:AC61"/>
    <mergeCell ref="AD61:AE61"/>
    <mergeCell ref="AF61:AG61"/>
    <mergeCell ref="A109:K109"/>
    <mergeCell ref="A90:K91"/>
    <mergeCell ref="A93:K97"/>
    <mergeCell ref="A104:K105"/>
    <mergeCell ref="A106:C106"/>
    <mergeCell ref="W62:AG62"/>
    <mergeCell ref="W63:AG63"/>
    <mergeCell ref="A114:K114"/>
    <mergeCell ref="W70:AG70"/>
    <mergeCell ref="W72:AG72"/>
    <mergeCell ref="X73:Y73"/>
    <mergeCell ref="W64:AG64"/>
    <mergeCell ref="W65:AG65"/>
    <mergeCell ref="W66:AG66"/>
    <mergeCell ref="W67:AG67"/>
    <mergeCell ref="W68:AG68"/>
    <mergeCell ref="W69:AG69"/>
  </mergeCells>
  <pageMargins left="0.25" right="0.25" top="0.75" bottom="0.75" header="0.3" footer="0.3"/>
  <pageSetup paperSize="9" scale="99" firstPageNumber="0" orientation="portrait" horizontalDpi="300" verticalDpi="300" r:id="rId1"/>
  <headerFooter alignWithMargins="0"/>
  <rowBreaks count="1" manualBreakCount="1">
    <brk id="58" max="3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10</vt:i4>
      </vt:variant>
      <vt:variant>
        <vt:lpstr>Именованные диапазоны</vt:lpstr>
      </vt:variant>
      <vt:variant>
        <vt:i4>10</vt:i4>
      </vt:variant>
    </vt:vector>
  </HeadingPairs>
  <TitlesOfParts>
    <vt:vector size="20" baseType="lpstr">
      <vt:lpstr>Памятка</vt:lpstr>
      <vt:lpstr>карта ИТ</vt:lpstr>
      <vt:lpstr>разовые</vt:lpstr>
      <vt:lpstr>энтерально</vt:lpstr>
      <vt:lpstr>парентерально</vt:lpstr>
      <vt:lpstr>энтерально педиатрия</vt:lpstr>
      <vt:lpstr>назначения</vt:lpstr>
      <vt:lpstr>на кровать</vt:lpstr>
      <vt:lpstr>согласия</vt:lpstr>
      <vt:lpstr>ПЭП</vt:lpstr>
      <vt:lpstr>Возраст</vt:lpstr>
      <vt:lpstr>группакрови</vt:lpstr>
      <vt:lpstr>Имя</vt:lpstr>
      <vt:lpstr>номеристории</vt:lpstr>
      <vt:lpstr>'карта ИТ'!Область_печати</vt:lpstr>
      <vt:lpstr>'на кровать'!Область_печати</vt:lpstr>
      <vt:lpstr>назначения!Область_печати</vt:lpstr>
      <vt:lpstr>Отчество</vt:lpstr>
      <vt:lpstr>резус</vt:lpstr>
      <vt:lpstr>Фамилия</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Отделение детской реанимации и интенсивной терапии (ординаторская)</dc:creator>
  <cp:lastModifiedBy>L K</cp:lastModifiedBy>
  <cp:lastPrinted>2020-10-31T12:32:32Z</cp:lastPrinted>
  <dcterms:created xsi:type="dcterms:W3CDTF">2020-10-06T13:21:15Z</dcterms:created>
  <dcterms:modified xsi:type="dcterms:W3CDTF">2021-04-26T17:21:09Z</dcterms:modified>
</cp:coreProperties>
</file>