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bunce\Dropbox\John2\Callicebus_behavior_manuscript_github\original_files\"/>
    </mc:Choice>
  </mc:AlternateContent>
  <bookViews>
    <workbookView xWindow="1817" yWindow="60" windowWidth="18960" windowHeight="8014" activeTab="2"/>
  </bookViews>
  <sheets>
    <sheet name="raw" sheetId="1" r:id="rId1"/>
    <sheet name="DailyProp" sheetId="4" r:id="rId2"/>
    <sheet name="DailyPropDiscYORpatches" sheetId="5" r:id="rId3"/>
  </sheets>
  <calcPr calcId="152511"/>
</workbook>
</file>

<file path=xl/calcChain.xml><?xml version="1.0" encoding="utf-8"?>
<calcChain xmlns="http://schemas.openxmlformats.org/spreadsheetml/2006/main">
  <c r="F115" i="4" l="1"/>
  <c r="AK111" i="4"/>
  <c r="AK113" i="4" s="1"/>
  <c r="AK109" i="4"/>
  <c r="AL109" i="4" s="1"/>
  <c r="AK4" i="4"/>
  <c r="AL4" i="4"/>
  <c r="AM4" i="4"/>
  <c r="AN4" i="4" s="1"/>
  <c r="AK5" i="4"/>
  <c r="AL5" i="4"/>
  <c r="AM5" i="4"/>
  <c r="AN5" i="4" s="1"/>
  <c r="AK6" i="4"/>
  <c r="AL6" i="4"/>
  <c r="AM6" i="4"/>
  <c r="AN6" i="4"/>
  <c r="AK7" i="4"/>
  <c r="AL7" i="4"/>
  <c r="AM7" i="4"/>
  <c r="AN7" i="4" s="1"/>
  <c r="AK8" i="4"/>
  <c r="AL8" i="4"/>
  <c r="AM8" i="4"/>
  <c r="AN8" i="4" s="1"/>
  <c r="AK9" i="4"/>
  <c r="AL9" i="4"/>
  <c r="AM9" i="4"/>
  <c r="AN9" i="4" s="1"/>
  <c r="AK10" i="4"/>
  <c r="AL10" i="4"/>
  <c r="AM10" i="4"/>
  <c r="AN10" i="4" s="1"/>
  <c r="AK11" i="4"/>
  <c r="AL11" i="4"/>
  <c r="AM11" i="4"/>
  <c r="AN11" i="4" s="1"/>
  <c r="AK12" i="4"/>
  <c r="AL12" i="4"/>
  <c r="AM12" i="4"/>
  <c r="AN12" i="4" s="1"/>
  <c r="AK13" i="4"/>
  <c r="AL13" i="4"/>
  <c r="AM13" i="4"/>
  <c r="AN13" i="4" s="1"/>
  <c r="AK14" i="4"/>
  <c r="AL14" i="4"/>
  <c r="AM14" i="4"/>
  <c r="AN14" i="4" s="1"/>
  <c r="AK15" i="4"/>
  <c r="AL15" i="4"/>
  <c r="AM15" i="4"/>
  <c r="AN15" i="4" s="1"/>
  <c r="AK16" i="4"/>
  <c r="AL16" i="4"/>
  <c r="AM16" i="4"/>
  <c r="AN16" i="4" s="1"/>
  <c r="AK17" i="4"/>
  <c r="AL17" i="4"/>
  <c r="AM17" i="4"/>
  <c r="AN17" i="4"/>
  <c r="AK18" i="4"/>
  <c r="AL18" i="4"/>
  <c r="AM18" i="4"/>
  <c r="AN18" i="4" s="1"/>
  <c r="AK19" i="4"/>
  <c r="AL19" i="4"/>
  <c r="AM19" i="4"/>
  <c r="AN19" i="4" s="1"/>
  <c r="AK20" i="4"/>
  <c r="AL20" i="4"/>
  <c r="AM20" i="4"/>
  <c r="AN20" i="4" s="1"/>
  <c r="AK21" i="4"/>
  <c r="AL21" i="4"/>
  <c r="AM21" i="4"/>
  <c r="AN21" i="4" s="1"/>
  <c r="AK22" i="4"/>
  <c r="AL22" i="4"/>
  <c r="AM22" i="4"/>
  <c r="AN22" i="4" s="1"/>
  <c r="AK23" i="4"/>
  <c r="AL23" i="4"/>
  <c r="AM23" i="4"/>
  <c r="AN23" i="4" s="1"/>
  <c r="AK24" i="4"/>
  <c r="AL24" i="4"/>
  <c r="AM24" i="4"/>
  <c r="AN24" i="4" s="1"/>
  <c r="AK25" i="4"/>
  <c r="AL25" i="4"/>
  <c r="AM25" i="4"/>
  <c r="AN25" i="4" s="1"/>
  <c r="AK26" i="4"/>
  <c r="AL26" i="4"/>
  <c r="AM26" i="4"/>
  <c r="AN26" i="4" s="1"/>
  <c r="AK27" i="4"/>
  <c r="AL27" i="4"/>
  <c r="AM27" i="4"/>
  <c r="AN27" i="4" s="1"/>
  <c r="AK28" i="4"/>
  <c r="AL28" i="4"/>
  <c r="AM28" i="4"/>
  <c r="AN28" i="4" s="1"/>
  <c r="AK29" i="4"/>
  <c r="AL29" i="4"/>
  <c r="AM29" i="4"/>
  <c r="AN29" i="4" s="1"/>
  <c r="AK30" i="4"/>
  <c r="AL30" i="4"/>
  <c r="AM30" i="4"/>
  <c r="AN30" i="4" s="1"/>
  <c r="AK31" i="4"/>
  <c r="AL31" i="4"/>
  <c r="AM31" i="4"/>
  <c r="AN31" i="4" s="1"/>
  <c r="AK32" i="4"/>
  <c r="AL32" i="4"/>
  <c r="AM32" i="4"/>
  <c r="AN32" i="4" s="1"/>
  <c r="AK33" i="4"/>
  <c r="AL33" i="4"/>
  <c r="AM33" i="4"/>
  <c r="AN33" i="4" s="1"/>
  <c r="AK34" i="4"/>
  <c r="AL34" i="4"/>
  <c r="AM34" i="4"/>
  <c r="AN34" i="4" s="1"/>
  <c r="AK35" i="4"/>
  <c r="AL35" i="4"/>
  <c r="AM35" i="4"/>
  <c r="AN35" i="4" s="1"/>
  <c r="AK36" i="4"/>
  <c r="AL36" i="4"/>
  <c r="AM36" i="4"/>
  <c r="AN36" i="4" s="1"/>
  <c r="AK37" i="4"/>
  <c r="AL37" i="4"/>
  <c r="AM37" i="4"/>
  <c r="AN37" i="4" s="1"/>
  <c r="AK38" i="4"/>
  <c r="AL38" i="4"/>
  <c r="AM38" i="4"/>
  <c r="AN38" i="4" s="1"/>
  <c r="AK39" i="4"/>
  <c r="AL39" i="4"/>
  <c r="AM39" i="4"/>
  <c r="AN39" i="4" s="1"/>
  <c r="AK40" i="4"/>
  <c r="AL40" i="4"/>
  <c r="AM40" i="4"/>
  <c r="AN40" i="4" s="1"/>
  <c r="AK41" i="4"/>
  <c r="AL41" i="4"/>
  <c r="AM41" i="4"/>
  <c r="AN41" i="4" s="1"/>
  <c r="AK42" i="4"/>
  <c r="AL42" i="4"/>
  <c r="AM42" i="4"/>
  <c r="AN42" i="4" s="1"/>
  <c r="AK43" i="4"/>
  <c r="AL43" i="4"/>
  <c r="AM43" i="4"/>
  <c r="AN43" i="4" s="1"/>
  <c r="AK44" i="4"/>
  <c r="AL44" i="4"/>
  <c r="AM44" i="4"/>
  <c r="AN44" i="4" s="1"/>
  <c r="AK45" i="4"/>
  <c r="AL45" i="4"/>
  <c r="AM45" i="4"/>
  <c r="AN45" i="4" s="1"/>
  <c r="AK46" i="4"/>
  <c r="AL46" i="4"/>
  <c r="AM46" i="4"/>
  <c r="AN46" i="4" s="1"/>
  <c r="AK47" i="4"/>
  <c r="AL47" i="4"/>
  <c r="AM47" i="4"/>
  <c r="AN47" i="4" s="1"/>
  <c r="AK48" i="4"/>
  <c r="AL48" i="4"/>
  <c r="AM48" i="4"/>
  <c r="AN48" i="4" s="1"/>
  <c r="AK49" i="4"/>
  <c r="AL49" i="4"/>
  <c r="AM49" i="4"/>
  <c r="AN49" i="4" s="1"/>
  <c r="AK50" i="4"/>
  <c r="AL50" i="4"/>
  <c r="AM50" i="4"/>
  <c r="AN50" i="4" s="1"/>
  <c r="AK51" i="4"/>
  <c r="AL51" i="4"/>
  <c r="AM51" i="4"/>
  <c r="AN51" i="4" s="1"/>
  <c r="AK52" i="4"/>
  <c r="AL52" i="4"/>
  <c r="AM52" i="4"/>
  <c r="AN52" i="4" s="1"/>
  <c r="AK53" i="4"/>
  <c r="AL53" i="4"/>
  <c r="AM53" i="4"/>
  <c r="AN53" i="4" s="1"/>
  <c r="AK54" i="4"/>
  <c r="AL54" i="4"/>
  <c r="AM54" i="4"/>
  <c r="AN54" i="4" s="1"/>
  <c r="AK55" i="4"/>
  <c r="AL55" i="4"/>
  <c r="AM55" i="4"/>
  <c r="AN55" i="4" s="1"/>
  <c r="AK56" i="4"/>
  <c r="AL56" i="4"/>
  <c r="AM56" i="4"/>
  <c r="AN56" i="4" s="1"/>
  <c r="AK57" i="4"/>
  <c r="AL57" i="4"/>
  <c r="AM57" i="4"/>
  <c r="AN57" i="4" s="1"/>
  <c r="AK58" i="4"/>
  <c r="AL58" i="4"/>
  <c r="AM58" i="4"/>
  <c r="AN58" i="4" s="1"/>
  <c r="AK59" i="4"/>
  <c r="AL59" i="4"/>
  <c r="AM59" i="4"/>
  <c r="AN59" i="4" s="1"/>
  <c r="AK60" i="4"/>
  <c r="AL60" i="4"/>
  <c r="AM60" i="4"/>
  <c r="AN60" i="4"/>
  <c r="AK61" i="4"/>
  <c r="AL61" i="4"/>
  <c r="AM61" i="4"/>
  <c r="AN61" i="4"/>
  <c r="AK62" i="4"/>
  <c r="AL62" i="4"/>
  <c r="AM62" i="4"/>
  <c r="AN62" i="4"/>
  <c r="AK63" i="4"/>
  <c r="AL63" i="4"/>
  <c r="AM63" i="4"/>
  <c r="AN63" i="4"/>
  <c r="AK64" i="4"/>
  <c r="AL64" i="4"/>
  <c r="AM64" i="4"/>
  <c r="AN64" i="4"/>
  <c r="AK65" i="4"/>
  <c r="AL65" i="4"/>
  <c r="AM65" i="4"/>
  <c r="AN65" i="4"/>
  <c r="AK66" i="4"/>
  <c r="AL66" i="4"/>
  <c r="AM66" i="4"/>
  <c r="AN66" i="4"/>
  <c r="AK67" i="4"/>
  <c r="AL67" i="4"/>
  <c r="AM67" i="4"/>
  <c r="AN67" i="4" s="1"/>
  <c r="AK68" i="4"/>
  <c r="AL68" i="4"/>
  <c r="AM68" i="4"/>
  <c r="AN68" i="4"/>
  <c r="AK69" i="4"/>
  <c r="AL69" i="4"/>
  <c r="AM69" i="4"/>
  <c r="AN69" i="4"/>
  <c r="AK70" i="4"/>
  <c r="AL70" i="4"/>
  <c r="AM70" i="4"/>
  <c r="AN70" i="4"/>
  <c r="AK71" i="4"/>
  <c r="AL71" i="4"/>
  <c r="AM71" i="4"/>
  <c r="AN71" i="4"/>
  <c r="AK72" i="4"/>
  <c r="AL72" i="4"/>
  <c r="AM72" i="4"/>
  <c r="AN72" i="4"/>
  <c r="AK73" i="4"/>
  <c r="AL73" i="4"/>
  <c r="AM73" i="4"/>
  <c r="AN73" i="4"/>
  <c r="AK74" i="4"/>
  <c r="AL74" i="4"/>
  <c r="AM74" i="4"/>
  <c r="AN74" i="4"/>
  <c r="AK75" i="4"/>
  <c r="AL75" i="4"/>
  <c r="AM75" i="4"/>
  <c r="AN75" i="4" s="1"/>
  <c r="AK76" i="4"/>
  <c r="AL76" i="4"/>
  <c r="AM76" i="4"/>
  <c r="AN76" i="4"/>
  <c r="AK77" i="4"/>
  <c r="AL77" i="4"/>
  <c r="AM77" i="4"/>
  <c r="AN77" i="4" s="1"/>
  <c r="AK78" i="4"/>
  <c r="AL78" i="4"/>
  <c r="AM78" i="4"/>
  <c r="AN78" i="4" s="1"/>
  <c r="AK79" i="4"/>
  <c r="AL79" i="4"/>
  <c r="AM79" i="4"/>
  <c r="AN79" i="4"/>
  <c r="AK80" i="4"/>
  <c r="AL80" i="4"/>
  <c r="AM80" i="4"/>
  <c r="AN80" i="4"/>
  <c r="AK81" i="4"/>
  <c r="AL81" i="4"/>
  <c r="AM81" i="4"/>
  <c r="AN81" i="4" s="1"/>
  <c r="AK82" i="4"/>
  <c r="AL82" i="4"/>
  <c r="AM82" i="4"/>
  <c r="AN82" i="4" s="1"/>
  <c r="AK83" i="4"/>
  <c r="AL83" i="4"/>
  <c r="AM83" i="4"/>
  <c r="AN83" i="4" s="1"/>
  <c r="AK84" i="4"/>
  <c r="AL84" i="4"/>
  <c r="AM84" i="4"/>
  <c r="AN84" i="4" s="1"/>
  <c r="AK85" i="4"/>
  <c r="AL85" i="4"/>
  <c r="AM85" i="4"/>
  <c r="AN85" i="4" s="1"/>
  <c r="AK86" i="4"/>
  <c r="AL86" i="4"/>
  <c r="AM86" i="4"/>
  <c r="AN86" i="4" s="1"/>
  <c r="AK87" i="4"/>
  <c r="AL87" i="4"/>
  <c r="AM87" i="4"/>
  <c r="AN87" i="4" s="1"/>
  <c r="AK88" i="4"/>
  <c r="AL88" i="4"/>
  <c r="AM88" i="4"/>
  <c r="AN88" i="4" s="1"/>
  <c r="AK89" i="4"/>
  <c r="AL89" i="4"/>
  <c r="AM89" i="4"/>
  <c r="AN89" i="4"/>
  <c r="AK90" i="4"/>
  <c r="AL90" i="4"/>
  <c r="AM90" i="4"/>
  <c r="AN90" i="4"/>
  <c r="AK91" i="4"/>
  <c r="AL91" i="4"/>
  <c r="AM91" i="4"/>
  <c r="AN91" i="4"/>
  <c r="AK92" i="4"/>
  <c r="AL92" i="4"/>
  <c r="AM92" i="4"/>
  <c r="AN92" i="4"/>
  <c r="AK93" i="4"/>
  <c r="AL93" i="4"/>
  <c r="AM93" i="4"/>
  <c r="AN93" i="4"/>
  <c r="AK94" i="4"/>
  <c r="AL94" i="4"/>
  <c r="AM94" i="4"/>
  <c r="AN94" i="4"/>
  <c r="AK95" i="4"/>
  <c r="AL95" i="4"/>
  <c r="AM95" i="4"/>
  <c r="AN95" i="4"/>
  <c r="AK96" i="4"/>
  <c r="AL96" i="4"/>
  <c r="AM96" i="4"/>
  <c r="AN96" i="4"/>
  <c r="AK97" i="4"/>
  <c r="AL97" i="4"/>
  <c r="AM97" i="4"/>
  <c r="AN97" i="4"/>
  <c r="AK98" i="4"/>
  <c r="AL98" i="4"/>
  <c r="AM98" i="4"/>
  <c r="AN98" i="4"/>
  <c r="AK99" i="4"/>
  <c r="AL99" i="4"/>
  <c r="AM99" i="4"/>
  <c r="AN99" i="4"/>
  <c r="AK100" i="4"/>
  <c r="AL100" i="4"/>
  <c r="AM100" i="4"/>
  <c r="AN100" i="4"/>
  <c r="AK101" i="4"/>
  <c r="AL101" i="4"/>
  <c r="AM101" i="4"/>
  <c r="AN101" i="4"/>
  <c r="AK102" i="4"/>
  <c r="AL102" i="4"/>
  <c r="AM102" i="4"/>
  <c r="AN102" i="4"/>
  <c r="AK103" i="4"/>
  <c r="AL103" i="4"/>
  <c r="AM103" i="4"/>
  <c r="AN103" i="4"/>
  <c r="AK104" i="4"/>
  <c r="AL104" i="4"/>
  <c r="AM104" i="4"/>
  <c r="AN104" i="4"/>
  <c r="AK105" i="4"/>
  <c r="AL105" i="4"/>
  <c r="AM105" i="4"/>
  <c r="AN105" i="4"/>
  <c r="AK106" i="4"/>
  <c r="AL106" i="4"/>
  <c r="AM106" i="4"/>
  <c r="AN106" i="4"/>
  <c r="AK107" i="4"/>
  <c r="AL107" i="4"/>
  <c r="AM107" i="4"/>
  <c r="AN107" i="4"/>
  <c r="AK3" i="4"/>
  <c r="AM3" i="4"/>
  <c r="AL3" i="4"/>
  <c r="L3" i="4"/>
  <c r="J3" i="4"/>
  <c r="J109" i="4" s="1"/>
  <c r="AW112" i="4"/>
  <c r="AW109" i="4"/>
  <c r="AY106" i="4"/>
  <c r="L23" i="5"/>
  <c r="L25" i="5"/>
  <c r="M27" i="5"/>
  <c r="M28" i="5"/>
  <c r="M35" i="5"/>
  <c r="L39" i="5"/>
  <c r="L41" i="5"/>
  <c r="M43" i="5"/>
  <c r="M44" i="5"/>
  <c r="M51" i="5"/>
  <c r="L55" i="5"/>
  <c r="L57" i="5"/>
  <c r="M59" i="5"/>
  <c r="M60" i="5"/>
  <c r="M67" i="5"/>
  <c r="L71" i="5"/>
  <c r="L73" i="5"/>
  <c r="M75" i="5"/>
  <c r="M76" i="5"/>
  <c r="M83" i="5"/>
  <c r="L87" i="5"/>
  <c r="L89" i="5"/>
  <c r="M91" i="5"/>
  <c r="M92" i="5"/>
  <c r="M99" i="5"/>
  <c r="L103" i="5"/>
  <c r="L105" i="5"/>
  <c r="M107" i="5"/>
  <c r="M4" i="5"/>
  <c r="M11" i="5"/>
  <c r="L15" i="5"/>
  <c r="L17" i="5"/>
  <c r="M19" i="5"/>
  <c r="M20" i="5"/>
  <c r="H9" i="5"/>
  <c r="H15" i="5"/>
  <c r="H16" i="5"/>
  <c r="H20" i="5"/>
  <c r="H27" i="5"/>
  <c r="H31" i="5"/>
  <c r="H41" i="5"/>
  <c r="H47" i="5"/>
  <c r="H48" i="5"/>
  <c r="H52" i="5"/>
  <c r="H59" i="5"/>
  <c r="H63" i="5"/>
  <c r="H73" i="5"/>
  <c r="H79" i="5"/>
  <c r="H80" i="5"/>
  <c r="H84" i="5"/>
  <c r="H91" i="5"/>
  <c r="H95" i="5"/>
  <c r="H105" i="5"/>
  <c r="G12" i="5"/>
  <c r="G20" i="5"/>
  <c r="G28" i="5"/>
  <c r="G36" i="5"/>
  <c r="G44" i="5"/>
  <c r="G52" i="5"/>
  <c r="G60" i="5"/>
  <c r="G68" i="5"/>
  <c r="G76" i="5"/>
  <c r="G84" i="5"/>
  <c r="G92" i="5"/>
  <c r="G96" i="5"/>
  <c r="G97" i="5"/>
  <c r="G103" i="5"/>
  <c r="G107" i="5"/>
  <c r="G7" i="5"/>
  <c r="C3" i="5"/>
  <c r="C4" i="5"/>
  <c r="L4" i="5" s="1"/>
  <c r="C5" i="5"/>
  <c r="C6" i="5"/>
  <c r="C7" i="5"/>
  <c r="C8" i="5"/>
  <c r="C9" i="5"/>
  <c r="L9" i="5" s="1"/>
  <c r="C10" i="5"/>
  <c r="C11" i="5"/>
  <c r="C12" i="5"/>
  <c r="C13" i="5"/>
  <c r="C14" i="5"/>
  <c r="C15" i="5"/>
  <c r="C16" i="5"/>
  <c r="C17" i="5"/>
  <c r="H17" i="5" s="1"/>
  <c r="C18" i="5"/>
  <c r="C19" i="5"/>
  <c r="C20" i="5"/>
  <c r="L20" i="5" s="1"/>
  <c r="C21" i="5"/>
  <c r="C22" i="5"/>
  <c r="C23" i="5"/>
  <c r="C24" i="5"/>
  <c r="C25" i="5"/>
  <c r="M25" i="5" s="1"/>
  <c r="C26" i="5"/>
  <c r="C27" i="5"/>
  <c r="C28" i="5"/>
  <c r="C29" i="5"/>
  <c r="C30" i="5"/>
  <c r="C31" i="5"/>
  <c r="C32" i="5"/>
  <c r="C33" i="5"/>
  <c r="H33" i="5" s="1"/>
  <c r="C34" i="5"/>
  <c r="C35" i="5"/>
  <c r="C36" i="5"/>
  <c r="L36" i="5" s="1"/>
  <c r="C37" i="5"/>
  <c r="C38" i="5"/>
  <c r="C39" i="5"/>
  <c r="C40" i="5"/>
  <c r="C41" i="5"/>
  <c r="M41" i="5" s="1"/>
  <c r="C42" i="5"/>
  <c r="C43" i="5"/>
  <c r="C44" i="5"/>
  <c r="C45" i="5"/>
  <c r="C46" i="5"/>
  <c r="C47" i="5"/>
  <c r="C48" i="5"/>
  <c r="C49" i="5"/>
  <c r="H49" i="5" s="1"/>
  <c r="C50" i="5"/>
  <c r="C51" i="5"/>
  <c r="C52" i="5"/>
  <c r="L52" i="5" s="1"/>
  <c r="C53" i="5"/>
  <c r="C54" i="5"/>
  <c r="C55" i="5"/>
  <c r="C56" i="5"/>
  <c r="C57" i="5"/>
  <c r="M57" i="5" s="1"/>
  <c r="C58" i="5"/>
  <c r="C59" i="5"/>
  <c r="C60" i="5"/>
  <c r="C61" i="5"/>
  <c r="C62" i="5"/>
  <c r="C63" i="5"/>
  <c r="C64" i="5"/>
  <c r="C65" i="5"/>
  <c r="H65" i="5" s="1"/>
  <c r="C66" i="5"/>
  <c r="C67" i="5"/>
  <c r="C68" i="5"/>
  <c r="L68" i="5" s="1"/>
  <c r="C69" i="5"/>
  <c r="C70" i="5"/>
  <c r="C71" i="5"/>
  <c r="C72" i="5"/>
  <c r="C73" i="5"/>
  <c r="M73" i="5" s="1"/>
  <c r="C74" i="5"/>
  <c r="C75" i="5"/>
  <c r="C76" i="5"/>
  <c r="C77" i="5"/>
  <c r="C78" i="5"/>
  <c r="C79" i="5"/>
  <c r="C80" i="5"/>
  <c r="C81" i="5"/>
  <c r="H81" i="5" s="1"/>
  <c r="C82" i="5"/>
  <c r="C83" i="5"/>
  <c r="C84" i="5"/>
  <c r="L84" i="5" s="1"/>
  <c r="C85" i="5"/>
  <c r="C86" i="5"/>
  <c r="C87" i="5"/>
  <c r="C88" i="5"/>
  <c r="C89" i="5"/>
  <c r="M89" i="5" s="1"/>
  <c r="C90" i="5"/>
  <c r="C91" i="5"/>
  <c r="C92" i="5"/>
  <c r="C93" i="5"/>
  <c r="C94" i="5"/>
  <c r="C95" i="5"/>
  <c r="C96" i="5"/>
  <c r="C97" i="5"/>
  <c r="H97" i="5" s="1"/>
  <c r="C98" i="5"/>
  <c r="C99" i="5"/>
  <c r="C100" i="5"/>
  <c r="C101" i="5"/>
  <c r="C102" i="5"/>
  <c r="C103" i="5"/>
  <c r="C104" i="5"/>
  <c r="C105" i="5"/>
  <c r="M105" i="5" s="1"/>
  <c r="C106" i="5"/>
  <c r="C107" i="5"/>
  <c r="A109" i="5"/>
  <c r="J109" i="5"/>
  <c r="K111" i="5"/>
  <c r="K113" i="5" s="1"/>
  <c r="K109" i="5"/>
  <c r="E112" i="5"/>
  <c r="F111" i="5"/>
  <c r="F113" i="5" s="1"/>
  <c r="F109" i="5"/>
  <c r="E109" i="5"/>
  <c r="B109" i="5"/>
  <c r="AY132" i="4"/>
  <c r="AZ126" i="4"/>
  <c r="AW125" i="4"/>
  <c r="AW126" i="4"/>
  <c r="AW127" i="4"/>
  <c r="AW128" i="4"/>
  <c r="AW124" i="4"/>
  <c r="AW130" i="4" s="1"/>
  <c r="AX130" i="4"/>
  <c r="AY125" i="4"/>
  <c r="AZ125" i="4" s="1"/>
  <c r="AY126" i="4"/>
  <c r="AY127" i="4"/>
  <c r="AZ127" i="4" s="1"/>
  <c r="AY128" i="4"/>
  <c r="AZ128" i="4" s="1"/>
  <c r="AY124" i="4"/>
  <c r="AY130" i="4" s="1"/>
  <c r="AZ109" i="4"/>
  <c r="AY119" i="4" s="1"/>
  <c r="BA107" i="4"/>
  <c r="AX119" i="4"/>
  <c r="AX121" i="4" s="1"/>
  <c r="F15" i="4"/>
  <c r="F3" i="4"/>
  <c r="F109" i="4" s="1"/>
  <c r="BG44" i="4"/>
  <c r="BH44" i="4" s="1"/>
  <c r="BG11" i="4"/>
  <c r="BH4" i="4"/>
  <c r="BH3" i="4"/>
  <c r="BH107" i="4"/>
  <c r="BH103" i="4"/>
  <c r="BH102" i="4"/>
  <c r="BH101" i="4"/>
  <c r="BH100" i="4"/>
  <c r="BH99" i="4"/>
  <c r="BH98" i="4"/>
  <c r="BH97" i="4"/>
  <c r="BH96" i="4"/>
  <c r="BH95" i="4"/>
  <c r="BH93" i="4"/>
  <c r="BH92" i="4"/>
  <c r="BH91" i="4"/>
  <c r="BH90" i="4"/>
  <c r="BH89" i="4"/>
  <c r="BH88" i="4"/>
  <c r="BH87" i="4"/>
  <c r="BH86" i="4"/>
  <c r="BH85" i="4"/>
  <c r="BH84" i="4"/>
  <c r="BH83" i="4"/>
  <c r="BH82" i="4"/>
  <c r="BH81" i="4"/>
  <c r="BH80" i="4"/>
  <c r="BH79" i="4"/>
  <c r="BH78" i="4"/>
  <c r="BH77" i="4"/>
  <c r="BH76" i="4"/>
  <c r="BH75" i="4"/>
  <c r="BH74" i="4"/>
  <c r="BH73" i="4"/>
  <c r="BH72" i="4"/>
  <c r="BH71" i="4"/>
  <c r="BH70" i="4"/>
  <c r="BH69" i="4"/>
  <c r="BH68" i="4"/>
  <c r="BH67" i="4"/>
  <c r="BH65" i="4"/>
  <c r="BH64" i="4"/>
  <c r="BH63" i="4"/>
  <c r="BH61" i="4"/>
  <c r="BH60" i="4"/>
  <c r="BH59" i="4"/>
  <c r="BH57" i="4"/>
  <c r="BH56" i="4"/>
  <c r="BH55" i="4"/>
  <c r="BH54" i="4"/>
  <c r="BH53" i="4"/>
  <c r="BH52" i="4"/>
  <c r="BH51" i="4"/>
  <c r="BH50" i="4"/>
  <c r="BH49" i="4"/>
  <c r="BH48" i="4"/>
  <c r="BH47" i="4"/>
  <c r="BH45" i="4"/>
  <c r="BH43" i="4"/>
  <c r="BH40" i="4"/>
  <c r="BH39" i="4"/>
  <c r="BH37" i="4"/>
  <c r="BH36" i="4"/>
  <c r="BH35" i="4"/>
  <c r="BH34" i="4"/>
  <c r="BH32" i="4"/>
  <c r="BH31" i="4"/>
  <c r="BH29" i="4"/>
  <c r="BH28" i="4"/>
  <c r="BH27" i="4"/>
  <c r="BH24" i="4"/>
  <c r="BH23" i="4"/>
  <c r="BH21" i="4"/>
  <c r="BH20" i="4"/>
  <c r="BH19" i="4"/>
  <c r="BH17" i="4"/>
  <c r="BH16" i="4"/>
  <c r="BH15" i="4"/>
  <c r="BH12" i="4"/>
  <c r="BH11" i="4"/>
  <c r="BH10" i="4"/>
  <c r="BH9" i="4"/>
  <c r="BH8" i="4"/>
  <c r="BH7" i="4"/>
  <c r="BH6" i="4"/>
  <c r="BH5" i="4"/>
  <c r="BE4" i="4"/>
  <c r="BE5" i="4"/>
  <c r="BE6" i="4"/>
  <c r="BE7" i="4"/>
  <c r="BE8" i="4"/>
  <c r="BE9" i="4"/>
  <c r="BE10" i="4"/>
  <c r="BE11" i="4"/>
  <c r="BE12" i="4"/>
  <c r="BE15" i="4"/>
  <c r="BE16" i="4"/>
  <c r="BE17" i="4"/>
  <c r="BE19" i="4"/>
  <c r="BE20" i="4"/>
  <c r="BE21" i="4"/>
  <c r="BE23" i="4"/>
  <c r="BE24" i="4"/>
  <c r="BE27" i="4"/>
  <c r="BE28" i="4"/>
  <c r="BE29" i="4"/>
  <c r="BE31" i="4"/>
  <c r="BE32" i="4"/>
  <c r="BE34" i="4"/>
  <c r="BE35" i="4"/>
  <c r="BE36" i="4"/>
  <c r="BE37" i="4"/>
  <c r="BE39" i="4"/>
  <c r="BE40" i="4"/>
  <c r="BE43" i="4"/>
  <c r="BE44" i="4"/>
  <c r="BE45" i="4"/>
  <c r="BE47" i="4"/>
  <c r="BE48" i="4"/>
  <c r="BE50" i="4"/>
  <c r="BE51" i="4"/>
  <c r="BE52" i="4"/>
  <c r="BE54" i="4"/>
  <c r="BE55" i="4"/>
  <c r="BE56" i="4"/>
  <c r="BE57" i="4"/>
  <c r="BE59" i="4"/>
  <c r="BE60" i="4"/>
  <c r="BE63" i="4"/>
  <c r="BE64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90" i="4"/>
  <c r="BE91" i="4"/>
  <c r="BE92" i="4"/>
  <c r="BE95" i="4"/>
  <c r="BE96" i="4"/>
  <c r="BE97" i="4"/>
  <c r="BE98" i="4"/>
  <c r="BE99" i="4"/>
  <c r="BE100" i="4"/>
  <c r="BE102" i="4"/>
  <c r="BE103" i="4"/>
  <c r="BE104" i="4"/>
  <c r="BE107" i="4"/>
  <c r="BE3" i="4"/>
  <c r="BD104" i="4"/>
  <c r="BD105" i="4"/>
  <c r="BE105" i="4" s="1"/>
  <c r="B109" i="4"/>
  <c r="BL109" i="4"/>
  <c r="BJ109" i="4"/>
  <c r="BF109" i="4"/>
  <c r="BC109" i="4"/>
  <c r="AU109" i="4"/>
  <c r="AS109" i="4"/>
  <c r="AQ109" i="4"/>
  <c r="AO109" i="4"/>
  <c r="AI109" i="4"/>
  <c r="AG109" i="4"/>
  <c r="AE109" i="4"/>
  <c r="AC109" i="4"/>
  <c r="AA109" i="4"/>
  <c r="Y109" i="4"/>
  <c r="W109" i="4"/>
  <c r="U109" i="4"/>
  <c r="S109" i="4"/>
  <c r="Q109" i="4"/>
  <c r="O109" i="4"/>
  <c r="M109" i="4"/>
  <c r="K109" i="4"/>
  <c r="I109" i="4"/>
  <c r="G109" i="4"/>
  <c r="E109" i="4"/>
  <c r="D109" i="4"/>
  <c r="C109" i="4"/>
  <c r="BG103" i="4"/>
  <c r="BD4" i="4"/>
  <c r="BD5" i="4"/>
  <c r="BD6" i="4"/>
  <c r="BD7" i="4"/>
  <c r="BD8" i="4"/>
  <c r="BD9" i="4"/>
  <c r="BD10" i="4"/>
  <c r="BD11" i="4"/>
  <c r="BD12" i="4"/>
  <c r="BD13" i="4"/>
  <c r="BE13" i="4" s="1"/>
  <c r="BD14" i="4"/>
  <c r="BE14" i="4" s="1"/>
  <c r="BD15" i="4"/>
  <c r="BD16" i="4"/>
  <c r="BD17" i="4"/>
  <c r="BD18" i="4"/>
  <c r="BE18" i="4" s="1"/>
  <c r="BD19" i="4"/>
  <c r="BD20" i="4"/>
  <c r="BD21" i="4"/>
  <c r="BD22" i="4"/>
  <c r="BE22" i="4" s="1"/>
  <c r="BD23" i="4"/>
  <c r="BD24" i="4"/>
  <c r="BD25" i="4"/>
  <c r="BE25" i="4" s="1"/>
  <c r="BD26" i="4"/>
  <c r="BE26" i="4" s="1"/>
  <c r="BD27" i="4"/>
  <c r="BD28" i="4"/>
  <c r="BD29" i="4"/>
  <c r="BD30" i="4"/>
  <c r="BE30" i="4" s="1"/>
  <c r="BD31" i="4"/>
  <c r="BD32" i="4"/>
  <c r="BD33" i="4"/>
  <c r="BE33" i="4" s="1"/>
  <c r="BD34" i="4"/>
  <c r="BD35" i="4"/>
  <c r="BD36" i="4"/>
  <c r="BD37" i="4"/>
  <c r="BD38" i="4"/>
  <c r="BE38" i="4" s="1"/>
  <c r="BD39" i="4"/>
  <c r="BD40" i="4"/>
  <c r="BD41" i="4"/>
  <c r="BE41" i="4" s="1"/>
  <c r="BD42" i="4"/>
  <c r="BE42" i="4" s="1"/>
  <c r="BD43" i="4"/>
  <c r="BD44" i="4"/>
  <c r="BD45" i="4"/>
  <c r="BD46" i="4"/>
  <c r="BE46" i="4" s="1"/>
  <c r="BD47" i="4"/>
  <c r="BD48" i="4"/>
  <c r="BD49" i="4"/>
  <c r="BE49" i="4" s="1"/>
  <c r="BD50" i="4"/>
  <c r="BD51" i="4"/>
  <c r="BD52" i="4"/>
  <c r="BD53" i="4"/>
  <c r="BE53" i="4" s="1"/>
  <c r="BD54" i="4"/>
  <c r="BD55" i="4"/>
  <c r="BD56" i="4"/>
  <c r="BD57" i="4"/>
  <c r="BD58" i="4"/>
  <c r="BE58" i="4" s="1"/>
  <c r="BD59" i="4"/>
  <c r="BD60" i="4"/>
  <c r="BD61" i="4"/>
  <c r="BE61" i="4" s="1"/>
  <c r="BD62" i="4"/>
  <c r="BE62" i="4" s="1"/>
  <c r="BD63" i="4"/>
  <c r="BD64" i="4"/>
  <c r="BD65" i="4"/>
  <c r="BE65" i="4" s="1"/>
  <c r="BD66" i="4"/>
  <c r="BE66" i="4" s="1"/>
  <c r="BD67" i="4"/>
  <c r="BD68" i="4"/>
  <c r="BD69" i="4"/>
  <c r="BD70" i="4"/>
  <c r="BD71" i="4"/>
  <c r="BD72" i="4"/>
  <c r="BD73" i="4"/>
  <c r="BD74" i="4"/>
  <c r="BD75" i="4"/>
  <c r="BD76" i="4"/>
  <c r="BD77" i="4"/>
  <c r="BD78" i="4"/>
  <c r="BD79" i="4"/>
  <c r="BD80" i="4"/>
  <c r="BD81" i="4"/>
  <c r="BD82" i="4"/>
  <c r="BD83" i="4"/>
  <c r="BD84" i="4"/>
  <c r="BD85" i="4"/>
  <c r="BD86" i="4"/>
  <c r="BD87" i="4"/>
  <c r="BD88" i="4"/>
  <c r="BD89" i="4"/>
  <c r="BE89" i="4" s="1"/>
  <c r="BD90" i="4"/>
  <c r="BD91" i="4"/>
  <c r="BD92" i="4"/>
  <c r="BD93" i="4"/>
  <c r="BE93" i="4" s="1"/>
  <c r="BD94" i="4"/>
  <c r="BE94" i="4" s="1"/>
  <c r="BD95" i="4"/>
  <c r="BD96" i="4"/>
  <c r="BD97" i="4"/>
  <c r="BD98" i="4"/>
  <c r="BD99" i="4"/>
  <c r="BD100" i="4"/>
  <c r="BD101" i="4"/>
  <c r="BE101" i="4" s="1"/>
  <c r="BD102" i="4"/>
  <c r="BD103" i="4"/>
  <c r="BD106" i="4"/>
  <c r="BE106" i="4" s="1"/>
  <c r="BD107" i="4"/>
  <c r="BD3" i="4"/>
  <c r="BG4" i="4"/>
  <c r="BA3" i="4"/>
  <c r="BA109" i="4" s="1"/>
  <c r="BB3" i="4"/>
  <c r="BB109" i="4" s="1"/>
  <c r="AX4" i="4"/>
  <c r="AX111" i="4" s="1"/>
  <c r="AX113" i="4" s="1"/>
  <c r="AY4" i="4"/>
  <c r="BM107" i="4"/>
  <c r="BM106" i="4"/>
  <c r="BM105" i="4"/>
  <c r="BM104" i="4"/>
  <c r="BM103" i="4"/>
  <c r="BM102" i="4"/>
  <c r="BM101" i="4"/>
  <c r="BM100" i="4"/>
  <c r="BM99" i="4"/>
  <c r="BM98" i="4"/>
  <c r="BM97" i="4"/>
  <c r="BM96" i="4"/>
  <c r="BM95" i="4"/>
  <c r="BM94" i="4"/>
  <c r="BM93" i="4"/>
  <c r="BM92" i="4"/>
  <c r="BM91" i="4"/>
  <c r="BM90" i="4"/>
  <c r="BM89" i="4"/>
  <c r="BM88" i="4"/>
  <c r="BM87" i="4"/>
  <c r="BM86" i="4"/>
  <c r="BM85" i="4"/>
  <c r="BM84" i="4"/>
  <c r="BM83" i="4"/>
  <c r="BM82" i="4"/>
  <c r="BM81" i="4"/>
  <c r="BM80" i="4"/>
  <c r="BM79" i="4"/>
  <c r="BM78" i="4"/>
  <c r="BM77" i="4"/>
  <c r="BM76" i="4"/>
  <c r="BM75" i="4"/>
  <c r="BM74" i="4"/>
  <c r="BM73" i="4"/>
  <c r="BM72" i="4"/>
  <c r="BM71" i="4"/>
  <c r="BM70" i="4"/>
  <c r="BM69" i="4"/>
  <c r="BM68" i="4"/>
  <c r="BM67" i="4"/>
  <c r="BM66" i="4"/>
  <c r="BM65" i="4"/>
  <c r="BM64" i="4"/>
  <c r="BM63" i="4"/>
  <c r="BM62" i="4"/>
  <c r="BM61" i="4"/>
  <c r="BM60" i="4"/>
  <c r="BM59" i="4"/>
  <c r="BM58" i="4"/>
  <c r="BM57" i="4"/>
  <c r="BM56" i="4"/>
  <c r="BM55" i="4"/>
  <c r="BM54" i="4"/>
  <c r="BM53" i="4"/>
  <c r="BM52" i="4"/>
  <c r="BM51" i="4"/>
  <c r="BM50" i="4"/>
  <c r="BM49" i="4"/>
  <c r="BM48" i="4"/>
  <c r="BM47" i="4"/>
  <c r="BM46" i="4"/>
  <c r="BM45" i="4"/>
  <c r="BM44" i="4"/>
  <c r="BM43" i="4"/>
  <c r="BM42" i="4"/>
  <c r="BM41" i="4"/>
  <c r="BM40" i="4"/>
  <c r="BM39" i="4"/>
  <c r="BM38" i="4"/>
  <c r="BM37" i="4"/>
  <c r="BM36" i="4"/>
  <c r="BM35" i="4"/>
  <c r="BM34" i="4"/>
  <c r="BM33" i="4"/>
  <c r="BM32" i="4"/>
  <c r="BM31" i="4"/>
  <c r="BM30" i="4"/>
  <c r="BM29" i="4"/>
  <c r="BM28" i="4"/>
  <c r="BM27" i="4"/>
  <c r="BM26" i="4"/>
  <c r="BM25" i="4"/>
  <c r="BM24" i="4"/>
  <c r="BM23" i="4"/>
  <c r="BM22" i="4"/>
  <c r="BM21" i="4"/>
  <c r="BM20" i="4"/>
  <c r="BM19" i="4"/>
  <c r="BM18" i="4"/>
  <c r="BM17" i="4"/>
  <c r="BM16" i="4"/>
  <c r="BM15" i="4"/>
  <c r="BM14" i="4"/>
  <c r="BM13" i="4"/>
  <c r="BM12" i="4"/>
  <c r="BM11" i="4"/>
  <c r="BM10" i="4"/>
  <c r="BM9" i="4"/>
  <c r="BM8" i="4"/>
  <c r="BM7" i="4"/>
  <c r="BM6" i="4"/>
  <c r="BM5" i="4"/>
  <c r="BM109" i="4" s="1"/>
  <c r="BM4" i="4"/>
  <c r="BM3" i="4"/>
  <c r="BM111" i="4" s="1"/>
  <c r="BM113" i="4" s="1"/>
  <c r="BM115" i="4" s="1"/>
  <c r="BK107" i="4"/>
  <c r="BK106" i="4"/>
  <c r="BK105" i="4"/>
  <c r="BK104" i="4"/>
  <c r="BK103" i="4"/>
  <c r="BK102" i="4"/>
  <c r="BK101" i="4"/>
  <c r="BK100" i="4"/>
  <c r="BK99" i="4"/>
  <c r="BK98" i="4"/>
  <c r="BK97" i="4"/>
  <c r="BK96" i="4"/>
  <c r="BK95" i="4"/>
  <c r="BK94" i="4"/>
  <c r="BK93" i="4"/>
  <c r="BK92" i="4"/>
  <c r="BK91" i="4"/>
  <c r="BK90" i="4"/>
  <c r="BK89" i="4"/>
  <c r="BK88" i="4"/>
  <c r="BK87" i="4"/>
  <c r="BK86" i="4"/>
  <c r="BK85" i="4"/>
  <c r="BK84" i="4"/>
  <c r="BK83" i="4"/>
  <c r="BK82" i="4"/>
  <c r="BK81" i="4"/>
  <c r="BK80" i="4"/>
  <c r="BK79" i="4"/>
  <c r="BK78" i="4"/>
  <c r="BK77" i="4"/>
  <c r="BK76" i="4"/>
  <c r="BK75" i="4"/>
  <c r="BK74" i="4"/>
  <c r="BK73" i="4"/>
  <c r="BK72" i="4"/>
  <c r="BK71" i="4"/>
  <c r="BK70" i="4"/>
  <c r="BK69" i="4"/>
  <c r="BK68" i="4"/>
  <c r="BK67" i="4"/>
  <c r="BK66" i="4"/>
  <c r="BK65" i="4"/>
  <c r="BK64" i="4"/>
  <c r="BK63" i="4"/>
  <c r="BK62" i="4"/>
  <c r="BK61" i="4"/>
  <c r="BK60" i="4"/>
  <c r="BK59" i="4"/>
  <c r="BK58" i="4"/>
  <c r="BK57" i="4"/>
  <c r="BK56" i="4"/>
  <c r="BK55" i="4"/>
  <c r="BK54" i="4"/>
  <c r="BK53" i="4"/>
  <c r="BK52" i="4"/>
  <c r="BK51" i="4"/>
  <c r="BK50" i="4"/>
  <c r="BK49" i="4"/>
  <c r="BK48" i="4"/>
  <c r="BK47" i="4"/>
  <c r="BK46" i="4"/>
  <c r="BK45" i="4"/>
  <c r="BK44" i="4"/>
  <c r="BK43" i="4"/>
  <c r="BK42" i="4"/>
  <c r="BK41" i="4"/>
  <c r="BK40" i="4"/>
  <c r="BK39" i="4"/>
  <c r="BK38" i="4"/>
  <c r="BK37" i="4"/>
  <c r="BK36" i="4"/>
  <c r="BK35" i="4"/>
  <c r="BK34" i="4"/>
  <c r="BK33" i="4"/>
  <c r="BK32" i="4"/>
  <c r="BK31" i="4"/>
  <c r="BK30" i="4"/>
  <c r="BK29" i="4"/>
  <c r="BK28" i="4"/>
  <c r="BK27" i="4"/>
  <c r="BK26" i="4"/>
  <c r="BK25" i="4"/>
  <c r="BK24" i="4"/>
  <c r="BK23" i="4"/>
  <c r="BK22" i="4"/>
  <c r="BK21" i="4"/>
  <c r="BK20" i="4"/>
  <c r="BK19" i="4"/>
  <c r="BK18" i="4"/>
  <c r="BK17" i="4"/>
  <c r="BK16" i="4"/>
  <c r="BK15" i="4"/>
  <c r="BK14" i="4"/>
  <c r="BK13" i="4"/>
  <c r="BK12" i="4"/>
  <c r="BK11" i="4"/>
  <c r="BK10" i="4"/>
  <c r="BK9" i="4"/>
  <c r="BK8" i="4"/>
  <c r="BK7" i="4"/>
  <c r="BK6" i="4"/>
  <c r="BK5" i="4"/>
  <c r="BK4" i="4"/>
  <c r="BK3" i="4"/>
  <c r="BK109" i="4" s="1"/>
  <c r="BG107" i="4"/>
  <c r="BG106" i="4"/>
  <c r="BH106" i="4" s="1"/>
  <c r="BG105" i="4"/>
  <c r="BH105" i="4" s="1"/>
  <c r="BG104" i="4"/>
  <c r="BH104" i="4" s="1"/>
  <c r="BG102" i="4"/>
  <c r="BG101" i="4"/>
  <c r="BG100" i="4"/>
  <c r="BG99" i="4"/>
  <c r="BG98" i="4"/>
  <c r="BG97" i="4"/>
  <c r="BG96" i="4"/>
  <c r="BG95" i="4"/>
  <c r="BG94" i="4"/>
  <c r="BH94" i="4" s="1"/>
  <c r="BG93" i="4"/>
  <c r="BG92" i="4"/>
  <c r="BG91" i="4"/>
  <c r="BG90" i="4"/>
  <c r="BG89" i="4"/>
  <c r="BG88" i="4"/>
  <c r="BG87" i="4"/>
  <c r="BG86" i="4"/>
  <c r="BG85" i="4"/>
  <c r="BG84" i="4"/>
  <c r="BG83" i="4"/>
  <c r="BG82" i="4"/>
  <c r="BG81" i="4"/>
  <c r="BG80" i="4"/>
  <c r="BG79" i="4"/>
  <c r="BG78" i="4"/>
  <c r="BG77" i="4"/>
  <c r="BG76" i="4"/>
  <c r="BG75" i="4"/>
  <c r="BG74" i="4"/>
  <c r="BG73" i="4"/>
  <c r="BG72" i="4"/>
  <c r="BG71" i="4"/>
  <c r="BG70" i="4"/>
  <c r="BG69" i="4"/>
  <c r="BG68" i="4"/>
  <c r="BG67" i="4"/>
  <c r="BG66" i="4"/>
  <c r="BH66" i="4" s="1"/>
  <c r="BG65" i="4"/>
  <c r="BG64" i="4"/>
  <c r="BG63" i="4"/>
  <c r="BG62" i="4"/>
  <c r="BH62" i="4" s="1"/>
  <c r="BG61" i="4"/>
  <c r="BG60" i="4"/>
  <c r="BG59" i="4"/>
  <c r="BG58" i="4"/>
  <c r="BH58" i="4" s="1"/>
  <c r="BG57" i="4"/>
  <c r="BG56" i="4"/>
  <c r="BG55" i="4"/>
  <c r="BG54" i="4"/>
  <c r="BG53" i="4"/>
  <c r="BG52" i="4"/>
  <c r="BG51" i="4"/>
  <c r="BG50" i="4"/>
  <c r="BG49" i="4"/>
  <c r="BG48" i="4"/>
  <c r="BG47" i="4"/>
  <c r="BG46" i="4"/>
  <c r="BH46" i="4" s="1"/>
  <c r="BG45" i="4"/>
  <c r="BG43" i="4"/>
  <c r="BG42" i="4"/>
  <c r="BH42" i="4" s="1"/>
  <c r="BG41" i="4"/>
  <c r="BH41" i="4" s="1"/>
  <c r="BG40" i="4"/>
  <c r="BG39" i="4"/>
  <c r="BG38" i="4"/>
  <c r="BH38" i="4" s="1"/>
  <c r="BG37" i="4"/>
  <c r="BG36" i="4"/>
  <c r="BG35" i="4"/>
  <c r="BG34" i="4"/>
  <c r="BG33" i="4"/>
  <c r="BH33" i="4" s="1"/>
  <c r="BG32" i="4"/>
  <c r="BG31" i="4"/>
  <c r="BG30" i="4"/>
  <c r="BH30" i="4" s="1"/>
  <c r="BG29" i="4"/>
  <c r="BG28" i="4"/>
  <c r="BG27" i="4"/>
  <c r="BG26" i="4"/>
  <c r="BH26" i="4" s="1"/>
  <c r="BG25" i="4"/>
  <c r="BH25" i="4" s="1"/>
  <c r="BG24" i="4"/>
  <c r="BG23" i="4"/>
  <c r="BG22" i="4"/>
  <c r="BH22" i="4" s="1"/>
  <c r="BG21" i="4"/>
  <c r="BG20" i="4"/>
  <c r="BG19" i="4"/>
  <c r="BG18" i="4"/>
  <c r="BH18" i="4" s="1"/>
  <c r="BG17" i="4"/>
  <c r="BG16" i="4"/>
  <c r="BG15" i="4"/>
  <c r="BG14" i="4"/>
  <c r="BH14" i="4" s="1"/>
  <c r="BG13" i="4"/>
  <c r="BH13" i="4" s="1"/>
  <c r="BG12" i="4"/>
  <c r="BG10" i="4"/>
  <c r="BG9" i="4"/>
  <c r="BG8" i="4"/>
  <c r="BG7" i="4"/>
  <c r="BG6" i="4"/>
  <c r="BG5" i="4"/>
  <c r="BG3" i="4"/>
  <c r="BG111" i="4" s="1"/>
  <c r="BG113" i="4" s="1"/>
  <c r="BB107" i="4"/>
  <c r="BB106" i="4"/>
  <c r="BA106" i="4"/>
  <c r="BB105" i="4"/>
  <c r="BA105" i="4"/>
  <c r="BB104" i="4"/>
  <c r="BA104" i="4"/>
  <c r="BB103" i="4"/>
  <c r="BA103" i="4"/>
  <c r="BB102" i="4"/>
  <c r="BA102" i="4"/>
  <c r="BB101" i="4"/>
  <c r="BA101" i="4"/>
  <c r="BB100" i="4"/>
  <c r="BA100" i="4"/>
  <c r="BB99" i="4"/>
  <c r="BA99" i="4"/>
  <c r="BB98" i="4"/>
  <c r="BA98" i="4"/>
  <c r="BB97" i="4"/>
  <c r="BA97" i="4"/>
  <c r="BB96" i="4"/>
  <c r="BA96" i="4"/>
  <c r="BB95" i="4"/>
  <c r="BA95" i="4"/>
  <c r="BB94" i="4"/>
  <c r="BA94" i="4"/>
  <c r="BB93" i="4"/>
  <c r="BA93" i="4"/>
  <c r="BB92" i="4"/>
  <c r="BA92" i="4"/>
  <c r="BB91" i="4"/>
  <c r="BA91" i="4"/>
  <c r="BB90" i="4"/>
  <c r="BA90" i="4"/>
  <c r="BB89" i="4"/>
  <c r="BA89" i="4"/>
  <c r="BB88" i="4"/>
  <c r="BA88" i="4"/>
  <c r="BB87" i="4"/>
  <c r="BA87" i="4"/>
  <c r="BB86" i="4"/>
  <c r="BA86" i="4"/>
  <c r="BB85" i="4"/>
  <c r="BA85" i="4"/>
  <c r="BB84" i="4"/>
  <c r="BA84" i="4"/>
  <c r="BB83" i="4"/>
  <c r="BA83" i="4"/>
  <c r="BB82" i="4"/>
  <c r="BA82" i="4"/>
  <c r="BB81" i="4"/>
  <c r="BA81" i="4"/>
  <c r="BB80" i="4"/>
  <c r="BA80" i="4"/>
  <c r="BB79" i="4"/>
  <c r="BA79" i="4"/>
  <c r="BB78" i="4"/>
  <c r="BA78" i="4"/>
  <c r="BB77" i="4"/>
  <c r="BA77" i="4"/>
  <c r="BB76" i="4"/>
  <c r="BA76" i="4"/>
  <c r="BB75" i="4"/>
  <c r="BA75" i="4"/>
  <c r="BB74" i="4"/>
  <c r="BA74" i="4"/>
  <c r="BB73" i="4"/>
  <c r="BA73" i="4"/>
  <c r="BB72" i="4"/>
  <c r="BA72" i="4"/>
  <c r="BB71" i="4"/>
  <c r="BA71" i="4"/>
  <c r="BB70" i="4"/>
  <c r="BA70" i="4"/>
  <c r="BB69" i="4"/>
  <c r="BA69" i="4"/>
  <c r="BB68" i="4"/>
  <c r="BA68" i="4"/>
  <c r="BB67" i="4"/>
  <c r="BA67" i="4"/>
  <c r="BB66" i="4"/>
  <c r="BA66" i="4"/>
  <c r="BB65" i="4"/>
  <c r="BA65" i="4"/>
  <c r="BB64" i="4"/>
  <c r="BA64" i="4"/>
  <c r="BB63" i="4"/>
  <c r="BA63" i="4"/>
  <c r="BB62" i="4"/>
  <c r="BA62" i="4"/>
  <c r="BB61" i="4"/>
  <c r="BA61" i="4"/>
  <c r="BB60" i="4"/>
  <c r="BA60" i="4"/>
  <c r="BB59" i="4"/>
  <c r="BA59" i="4"/>
  <c r="BB58" i="4"/>
  <c r="BA58" i="4"/>
  <c r="BB57" i="4"/>
  <c r="BA57" i="4"/>
  <c r="BB56" i="4"/>
  <c r="BA56" i="4"/>
  <c r="BB55" i="4"/>
  <c r="BA55" i="4"/>
  <c r="BB54" i="4"/>
  <c r="BA54" i="4"/>
  <c r="BB53" i="4"/>
  <c r="BA53" i="4"/>
  <c r="BB52" i="4"/>
  <c r="BA52" i="4"/>
  <c r="BB51" i="4"/>
  <c r="BA51" i="4"/>
  <c r="BB50" i="4"/>
  <c r="BA50" i="4"/>
  <c r="BB49" i="4"/>
  <c r="BA49" i="4"/>
  <c r="BB48" i="4"/>
  <c r="BA48" i="4"/>
  <c r="BB47" i="4"/>
  <c r="BA47" i="4"/>
  <c r="BB46" i="4"/>
  <c r="BA46" i="4"/>
  <c r="BB45" i="4"/>
  <c r="BA45" i="4"/>
  <c r="BB44" i="4"/>
  <c r="BA44" i="4"/>
  <c r="BB43" i="4"/>
  <c r="BA43" i="4"/>
  <c r="BB42" i="4"/>
  <c r="BA42" i="4"/>
  <c r="BB41" i="4"/>
  <c r="BA41" i="4"/>
  <c r="BB40" i="4"/>
  <c r="BA40" i="4"/>
  <c r="BB39" i="4"/>
  <c r="BA39" i="4"/>
  <c r="BB38" i="4"/>
  <c r="BA38" i="4"/>
  <c r="BB37" i="4"/>
  <c r="BA37" i="4"/>
  <c r="BB36" i="4"/>
  <c r="BA36" i="4"/>
  <c r="BB35" i="4"/>
  <c r="BA35" i="4"/>
  <c r="BB34" i="4"/>
  <c r="BA34" i="4"/>
  <c r="BB33" i="4"/>
  <c r="BA33" i="4"/>
  <c r="BB32" i="4"/>
  <c r="BA32" i="4"/>
  <c r="BB31" i="4"/>
  <c r="BA31" i="4"/>
  <c r="BB30" i="4"/>
  <c r="BA30" i="4"/>
  <c r="BB29" i="4"/>
  <c r="BA29" i="4"/>
  <c r="BB28" i="4"/>
  <c r="BA28" i="4"/>
  <c r="BB27" i="4"/>
  <c r="BA27" i="4"/>
  <c r="BB26" i="4"/>
  <c r="BA26" i="4"/>
  <c r="BB25" i="4"/>
  <c r="BA25" i="4"/>
  <c r="BB24" i="4"/>
  <c r="BA24" i="4"/>
  <c r="BB23" i="4"/>
  <c r="BA23" i="4"/>
  <c r="BB22" i="4"/>
  <c r="BA22" i="4"/>
  <c r="BB21" i="4"/>
  <c r="BA21" i="4"/>
  <c r="BB20" i="4"/>
  <c r="BA20" i="4"/>
  <c r="BB19" i="4"/>
  <c r="BA19" i="4"/>
  <c r="BB18" i="4"/>
  <c r="BA18" i="4"/>
  <c r="BB17" i="4"/>
  <c r="BA17" i="4"/>
  <c r="BB16" i="4"/>
  <c r="BA16" i="4"/>
  <c r="BB15" i="4"/>
  <c r="BA15" i="4"/>
  <c r="BB14" i="4"/>
  <c r="BA14" i="4"/>
  <c r="BB13" i="4"/>
  <c r="BA13" i="4"/>
  <c r="BB12" i="4"/>
  <c r="BA12" i="4"/>
  <c r="BB11" i="4"/>
  <c r="BA11" i="4"/>
  <c r="BB10" i="4"/>
  <c r="BA10" i="4"/>
  <c r="BB9" i="4"/>
  <c r="BA9" i="4"/>
  <c r="BB8" i="4"/>
  <c r="BA8" i="4"/>
  <c r="BB7" i="4"/>
  <c r="BA7" i="4"/>
  <c r="BB6" i="4"/>
  <c r="BA6" i="4"/>
  <c r="BB5" i="4"/>
  <c r="BB111" i="4" s="1"/>
  <c r="BB113" i="4" s="1"/>
  <c r="BA5" i="4"/>
  <c r="BB4" i="4"/>
  <c r="BA4" i="4"/>
  <c r="AY107" i="4"/>
  <c r="AX107" i="4"/>
  <c r="AX106" i="4"/>
  <c r="AY105" i="4"/>
  <c r="AX105" i="4"/>
  <c r="AY104" i="4"/>
  <c r="AX104" i="4"/>
  <c r="AY103" i="4"/>
  <c r="AX103" i="4"/>
  <c r="AY102" i="4"/>
  <c r="AX102" i="4"/>
  <c r="AY101" i="4"/>
  <c r="AX101" i="4"/>
  <c r="AY100" i="4"/>
  <c r="AX100" i="4"/>
  <c r="AY99" i="4"/>
  <c r="AX99" i="4"/>
  <c r="AY98" i="4"/>
  <c r="AX98" i="4"/>
  <c r="AY97" i="4"/>
  <c r="AX97" i="4"/>
  <c r="AY96" i="4"/>
  <c r="AX96" i="4"/>
  <c r="AY95" i="4"/>
  <c r="AX95" i="4"/>
  <c r="AY94" i="4"/>
  <c r="AX94" i="4"/>
  <c r="AY93" i="4"/>
  <c r="AX93" i="4"/>
  <c r="AY92" i="4"/>
  <c r="AX92" i="4"/>
  <c r="AY91" i="4"/>
  <c r="AX91" i="4"/>
  <c r="AY90" i="4"/>
  <c r="AX90" i="4"/>
  <c r="AY89" i="4"/>
  <c r="AX89" i="4"/>
  <c r="AY88" i="4"/>
  <c r="AX88" i="4"/>
  <c r="AY87" i="4"/>
  <c r="AX87" i="4"/>
  <c r="AY86" i="4"/>
  <c r="AX86" i="4"/>
  <c r="AY85" i="4"/>
  <c r="AX85" i="4"/>
  <c r="AY84" i="4"/>
  <c r="AX84" i="4"/>
  <c r="AY83" i="4"/>
  <c r="AX83" i="4"/>
  <c r="AY82" i="4"/>
  <c r="AX82" i="4"/>
  <c r="AY81" i="4"/>
  <c r="AX81" i="4"/>
  <c r="AY80" i="4"/>
  <c r="AX80" i="4"/>
  <c r="AY79" i="4"/>
  <c r="AX79" i="4"/>
  <c r="AY78" i="4"/>
  <c r="AX78" i="4"/>
  <c r="AY77" i="4"/>
  <c r="AX77" i="4"/>
  <c r="AY76" i="4"/>
  <c r="AX76" i="4"/>
  <c r="AY75" i="4"/>
  <c r="AX75" i="4"/>
  <c r="AY74" i="4"/>
  <c r="AX74" i="4"/>
  <c r="AY73" i="4"/>
  <c r="AX73" i="4"/>
  <c r="AY72" i="4"/>
  <c r="AX72" i="4"/>
  <c r="AY71" i="4"/>
  <c r="AX71" i="4"/>
  <c r="AY70" i="4"/>
  <c r="AX70" i="4"/>
  <c r="AY69" i="4"/>
  <c r="AX69" i="4"/>
  <c r="AY68" i="4"/>
  <c r="AX68" i="4"/>
  <c r="AY67" i="4"/>
  <c r="AX67" i="4"/>
  <c r="AY66" i="4"/>
  <c r="AX66" i="4"/>
  <c r="AY65" i="4"/>
  <c r="AX65" i="4"/>
  <c r="AY64" i="4"/>
  <c r="AX64" i="4"/>
  <c r="AY63" i="4"/>
  <c r="AX63" i="4"/>
  <c r="AY62" i="4"/>
  <c r="AX62" i="4"/>
  <c r="AY61" i="4"/>
  <c r="AX61" i="4"/>
  <c r="AY60" i="4"/>
  <c r="AX60" i="4"/>
  <c r="AY59" i="4"/>
  <c r="AX59" i="4"/>
  <c r="AY58" i="4"/>
  <c r="AX58" i="4"/>
  <c r="AY57" i="4"/>
  <c r="AX57" i="4"/>
  <c r="AY56" i="4"/>
  <c r="AX56" i="4"/>
  <c r="AY55" i="4"/>
  <c r="AX55" i="4"/>
  <c r="AY54" i="4"/>
  <c r="AX54" i="4"/>
  <c r="AY53" i="4"/>
  <c r="AX53" i="4"/>
  <c r="AY52" i="4"/>
  <c r="AX52" i="4"/>
  <c r="AY51" i="4"/>
  <c r="AX51" i="4"/>
  <c r="AY50" i="4"/>
  <c r="AX50" i="4"/>
  <c r="AY49" i="4"/>
  <c r="AX49" i="4"/>
  <c r="AY48" i="4"/>
  <c r="AX48" i="4"/>
  <c r="AY47" i="4"/>
  <c r="AX47" i="4"/>
  <c r="AY46" i="4"/>
  <c r="AX46" i="4"/>
  <c r="AY45" i="4"/>
  <c r="AX45" i="4"/>
  <c r="AY44" i="4"/>
  <c r="AX44" i="4"/>
  <c r="AY43" i="4"/>
  <c r="AX43" i="4"/>
  <c r="AY42" i="4"/>
  <c r="AX42" i="4"/>
  <c r="AY41" i="4"/>
  <c r="AX41" i="4"/>
  <c r="AY40" i="4"/>
  <c r="AX40" i="4"/>
  <c r="AY39" i="4"/>
  <c r="AX39" i="4"/>
  <c r="AY38" i="4"/>
  <c r="AX38" i="4"/>
  <c r="AY37" i="4"/>
  <c r="AX37" i="4"/>
  <c r="AY36" i="4"/>
  <c r="AX36" i="4"/>
  <c r="AY35" i="4"/>
  <c r="AX35" i="4"/>
  <c r="AY34" i="4"/>
  <c r="AX34" i="4"/>
  <c r="AY33" i="4"/>
  <c r="AX33" i="4"/>
  <c r="AY32" i="4"/>
  <c r="AX32" i="4"/>
  <c r="AY31" i="4"/>
  <c r="AX31" i="4"/>
  <c r="AY30" i="4"/>
  <c r="AX30" i="4"/>
  <c r="AY29" i="4"/>
  <c r="AX29" i="4"/>
  <c r="AY28" i="4"/>
  <c r="AX28" i="4"/>
  <c r="AY27" i="4"/>
  <c r="AX27" i="4"/>
  <c r="AY26" i="4"/>
  <c r="AX26" i="4"/>
  <c r="AY25" i="4"/>
  <c r="AX25" i="4"/>
  <c r="AY24" i="4"/>
  <c r="AX24" i="4"/>
  <c r="AY23" i="4"/>
  <c r="AX23" i="4"/>
  <c r="AY22" i="4"/>
  <c r="AX22" i="4"/>
  <c r="AY21" i="4"/>
  <c r="AX21" i="4"/>
  <c r="AY20" i="4"/>
  <c r="AX20" i="4"/>
  <c r="AY19" i="4"/>
  <c r="AX19" i="4"/>
  <c r="AY18" i="4"/>
  <c r="AX18" i="4"/>
  <c r="AY17" i="4"/>
  <c r="AX17" i="4"/>
  <c r="AY16" i="4"/>
  <c r="AX16" i="4"/>
  <c r="AY15" i="4"/>
  <c r="AX15" i="4"/>
  <c r="AY14" i="4"/>
  <c r="AX14" i="4"/>
  <c r="AY13" i="4"/>
  <c r="AX13" i="4"/>
  <c r="AY12" i="4"/>
  <c r="AX12" i="4"/>
  <c r="AY11" i="4"/>
  <c r="AX11" i="4"/>
  <c r="AY10" i="4"/>
  <c r="AX10" i="4"/>
  <c r="AY9" i="4"/>
  <c r="AX9" i="4"/>
  <c r="AY8" i="4"/>
  <c r="AX8" i="4"/>
  <c r="AY7" i="4"/>
  <c r="AX7" i="4"/>
  <c r="AY6" i="4"/>
  <c r="AX6" i="4"/>
  <c r="AY5" i="4"/>
  <c r="AY111" i="4" s="1"/>
  <c r="AY113" i="4" s="1"/>
  <c r="AX5" i="4"/>
  <c r="AY3" i="4"/>
  <c r="AX3" i="4"/>
  <c r="AX109" i="4" s="1"/>
  <c r="BA121" i="4" s="1"/>
  <c r="AV107" i="4"/>
  <c r="AV106" i="4"/>
  <c r="AV105" i="4"/>
  <c r="AV104" i="4"/>
  <c r="AV103" i="4"/>
  <c r="AV102" i="4"/>
  <c r="AV101" i="4"/>
  <c r="AV100" i="4"/>
  <c r="AV99" i="4"/>
  <c r="AV98" i="4"/>
  <c r="AV97" i="4"/>
  <c r="AV96" i="4"/>
  <c r="AV95" i="4"/>
  <c r="AV94" i="4"/>
  <c r="AV93" i="4"/>
  <c r="AV92" i="4"/>
  <c r="AV91" i="4"/>
  <c r="AV90" i="4"/>
  <c r="AV89" i="4"/>
  <c r="AV88" i="4"/>
  <c r="AV87" i="4"/>
  <c r="AV86" i="4"/>
  <c r="AV85" i="4"/>
  <c r="AV84" i="4"/>
  <c r="AV83" i="4"/>
  <c r="AV82" i="4"/>
  <c r="AV81" i="4"/>
  <c r="AV80" i="4"/>
  <c r="AV79" i="4"/>
  <c r="AV78" i="4"/>
  <c r="AV77" i="4"/>
  <c r="AV76" i="4"/>
  <c r="AV75" i="4"/>
  <c r="AV74" i="4"/>
  <c r="AV73" i="4"/>
  <c r="AV72" i="4"/>
  <c r="AV71" i="4"/>
  <c r="AV70" i="4"/>
  <c r="AV69" i="4"/>
  <c r="AV68" i="4"/>
  <c r="AV67" i="4"/>
  <c r="AV66" i="4"/>
  <c r="AV65" i="4"/>
  <c r="AV64" i="4"/>
  <c r="AV63" i="4"/>
  <c r="AV62" i="4"/>
  <c r="AV61" i="4"/>
  <c r="AV60" i="4"/>
  <c r="AV59" i="4"/>
  <c r="AV58" i="4"/>
  <c r="AV57" i="4"/>
  <c r="AV56" i="4"/>
  <c r="AV55" i="4"/>
  <c r="AV54" i="4"/>
  <c r="AV53" i="4"/>
  <c r="AV52" i="4"/>
  <c r="AV51" i="4"/>
  <c r="AV50" i="4"/>
  <c r="AV49" i="4"/>
  <c r="AV48" i="4"/>
  <c r="AV47" i="4"/>
  <c r="AV46" i="4"/>
  <c r="AV45" i="4"/>
  <c r="AV44" i="4"/>
  <c r="AV43" i="4"/>
  <c r="AV42" i="4"/>
  <c r="AV41" i="4"/>
  <c r="AV40" i="4"/>
  <c r="AV39" i="4"/>
  <c r="AV38" i="4"/>
  <c r="AV37" i="4"/>
  <c r="AV36" i="4"/>
  <c r="AV35" i="4"/>
  <c r="AV34" i="4"/>
  <c r="AV33" i="4"/>
  <c r="AV32" i="4"/>
  <c r="AV31" i="4"/>
  <c r="AV30" i="4"/>
  <c r="AV29" i="4"/>
  <c r="AV28" i="4"/>
  <c r="AV27" i="4"/>
  <c r="AV26" i="4"/>
  <c r="AV25" i="4"/>
  <c r="AV24" i="4"/>
  <c r="AV23" i="4"/>
  <c r="AV22" i="4"/>
  <c r="AV21" i="4"/>
  <c r="AV20" i="4"/>
  <c r="AV19" i="4"/>
  <c r="AV18" i="4"/>
  <c r="AV17" i="4"/>
  <c r="AV16" i="4"/>
  <c r="AV15" i="4"/>
  <c r="AV14" i="4"/>
  <c r="AV13" i="4"/>
  <c r="AV12" i="4"/>
  <c r="AV11" i="4"/>
  <c r="AV10" i="4"/>
  <c r="AV9" i="4"/>
  <c r="AV8" i="4"/>
  <c r="AV7" i="4"/>
  <c r="AV6" i="4"/>
  <c r="AV111" i="4" s="1"/>
  <c r="AV113" i="4" s="1"/>
  <c r="AV5" i="4"/>
  <c r="AV4" i="4"/>
  <c r="AV3" i="4"/>
  <c r="AT107" i="4"/>
  <c r="AT106" i="4"/>
  <c r="AT105" i="4"/>
  <c r="AT104" i="4"/>
  <c r="AT103" i="4"/>
  <c r="AT102" i="4"/>
  <c r="AT101" i="4"/>
  <c r="AT100" i="4"/>
  <c r="AT99" i="4"/>
  <c r="AT98" i="4"/>
  <c r="AT97" i="4"/>
  <c r="AT96" i="4"/>
  <c r="AT95" i="4"/>
  <c r="AT94" i="4"/>
  <c r="AT93" i="4"/>
  <c r="AT92" i="4"/>
  <c r="AT91" i="4"/>
  <c r="AT90" i="4"/>
  <c r="AT89" i="4"/>
  <c r="AT88" i="4"/>
  <c r="AT87" i="4"/>
  <c r="AT86" i="4"/>
  <c r="AT85" i="4"/>
  <c r="AT84" i="4"/>
  <c r="AT83" i="4"/>
  <c r="AT82" i="4"/>
  <c r="AT81" i="4"/>
  <c r="AT80" i="4"/>
  <c r="AT79" i="4"/>
  <c r="AT78" i="4"/>
  <c r="AT77" i="4"/>
  <c r="AT76" i="4"/>
  <c r="AT75" i="4"/>
  <c r="AT74" i="4"/>
  <c r="AT73" i="4"/>
  <c r="AT72" i="4"/>
  <c r="AT71" i="4"/>
  <c r="AT70" i="4"/>
  <c r="AT69" i="4"/>
  <c r="AT68" i="4"/>
  <c r="AT67" i="4"/>
  <c r="AT66" i="4"/>
  <c r="AT65" i="4"/>
  <c r="AT64" i="4"/>
  <c r="AT63" i="4"/>
  <c r="AT62" i="4"/>
  <c r="AT61" i="4"/>
  <c r="AT60" i="4"/>
  <c r="AT59" i="4"/>
  <c r="AT58" i="4"/>
  <c r="AT57" i="4"/>
  <c r="AT56" i="4"/>
  <c r="AT55" i="4"/>
  <c r="AT54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T4" i="4"/>
  <c r="AT3" i="4"/>
  <c r="AT109" i="4" s="1"/>
  <c r="AR107" i="4"/>
  <c r="AR106" i="4"/>
  <c r="AR105" i="4"/>
  <c r="AR104" i="4"/>
  <c r="AR103" i="4"/>
  <c r="AR102" i="4"/>
  <c r="AR101" i="4"/>
  <c r="AR100" i="4"/>
  <c r="AR99" i="4"/>
  <c r="AR98" i="4"/>
  <c r="AR97" i="4"/>
  <c r="AR96" i="4"/>
  <c r="AR95" i="4"/>
  <c r="AR94" i="4"/>
  <c r="AR93" i="4"/>
  <c r="AR92" i="4"/>
  <c r="AR91" i="4"/>
  <c r="AR90" i="4"/>
  <c r="AR89" i="4"/>
  <c r="AR88" i="4"/>
  <c r="AR87" i="4"/>
  <c r="AR86" i="4"/>
  <c r="AR85" i="4"/>
  <c r="AR84" i="4"/>
  <c r="AR83" i="4"/>
  <c r="AR82" i="4"/>
  <c r="AR81" i="4"/>
  <c r="AR80" i="4"/>
  <c r="AR79" i="4"/>
  <c r="AR78" i="4"/>
  <c r="AR77" i="4"/>
  <c r="AR76" i="4"/>
  <c r="AR75" i="4"/>
  <c r="AR74" i="4"/>
  <c r="AR73" i="4"/>
  <c r="AR72" i="4"/>
  <c r="AR71" i="4"/>
  <c r="AR70" i="4"/>
  <c r="AR69" i="4"/>
  <c r="AR68" i="4"/>
  <c r="AR67" i="4"/>
  <c r="AR66" i="4"/>
  <c r="AR65" i="4"/>
  <c r="AR64" i="4"/>
  <c r="AR63" i="4"/>
  <c r="AR62" i="4"/>
  <c r="AR61" i="4"/>
  <c r="AR60" i="4"/>
  <c r="AR59" i="4"/>
  <c r="AR58" i="4"/>
  <c r="AR57" i="4"/>
  <c r="AR56" i="4"/>
  <c r="AR55" i="4"/>
  <c r="AR54" i="4"/>
  <c r="AR53" i="4"/>
  <c r="AR52" i="4"/>
  <c r="AR51" i="4"/>
  <c r="AR50" i="4"/>
  <c r="AR49" i="4"/>
  <c r="AR48" i="4"/>
  <c r="AR47" i="4"/>
  <c r="AR46" i="4"/>
  <c r="AR45" i="4"/>
  <c r="AR44" i="4"/>
  <c r="AR43" i="4"/>
  <c r="AR42" i="4"/>
  <c r="AR41" i="4"/>
  <c r="AR40" i="4"/>
  <c r="AR39" i="4"/>
  <c r="AR38" i="4"/>
  <c r="AR37" i="4"/>
  <c r="AR36" i="4"/>
  <c r="AR35" i="4"/>
  <c r="AR34" i="4"/>
  <c r="AR33" i="4"/>
  <c r="AR32" i="4"/>
  <c r="AR31" i="4"/>
  <c r="AR30" i="4"/>
  <c r="AR29" i="4"/>
  <c r="AR28" i="4"/>
  <c r="AR27" i="4"/>
  <c r="AR26" i="4"/>
  <c r="AR25" i="4"/>
  <c r="AR24" i="4"/>
  <c r="AR23" i="4"/>
  <c r="AR22" i="4"/>
  <c r="AR21" i="4"/>
  <c r="AR20" i="4"/>
  <c r="AR19" i="4"/>
  <c r="AR18" i="4"/>
  <c r="AR17" i="4"/>
  <c r="AR16" i="4"/>
  <c r="AR15" i="4"/>
  <c r="AR14" i="4"/>
  <c r="AR13" i="4"/>
  <c r="AR12" i="4"/>
  <c r="AR11" i="4"/>
  <c r="AR10" i="4"/>
  <c r="AR9" i="4"/>
  <c r="AR8" i="4"/>
  <c r="AR7" i="4"/>
  <c r="AR6" i="4"/>
  <c r="AR5" i="4"/>
  <c r="AR4" i="4"/>
  <c r="AR111" i="4" s="1"/>
  <c r="AR113" i="4" s="1"/>
  <c r="AR3" i="4"/>
  <c r="AP107" i="4"/>
  <c r="AP106" i="4"/>
  <c r="AP105" i="4"/>
  <c r="AP104" i="4"/>
  <c r="AP103" i="4"/>
  <c r="AP102" i="4"/>
  <c r="AP101" i="4"/>
  <c r="AP100" i="4"/>
  <c r="AP99" i="4"/>
  <c r="AP98" i="4"/>
  <c r="AP97" i="4"/>
  <c r="AP96" i="4"/>
  <c r="AP95" i="4"/>
  <c r="AP94" i="4"/>
  <c r="AP93" i="4"/>
  <c r="AP92" i="4"/>
  <c r="AP91" i="4"/>
  <c r="AP90" i="4"/>
  <c r="AP89" i="4"/>
  <c r="AP88" i="4"/>
  <c r="AP87" i="4"/>
  <c r="AP86" i="4"/>
  <c r="AP85" i="4"/>
  <c r="AP84" i="4"/>
  <c r="AP83" i="4"/>
  <c r="AP82" i="4"/>
  <c r="AP81" i="4"/>
  <c r="AP80" i="4"/>
  <c r="AP79" i="4"/>
  <c r="AP78" i="4"/>
  <c r="AP77" i="4"/>
  <c r="AP76" i="4"/>
  <c r="AP75" i="4"/>
  <c r="AP74" i="4"/>
  <c r="AP73" i="4"/>
  <c r="AP72" i="4"/>
  <c r="AP71" i="4"/>
  <c r="AP70" i="4"/>
  <c r="AP69" i="4"/>
  <c r="AP68" i="4"/>
  <c r="AP67" i="4"/>
  <c r="AP66" i="4"/>
  <c r="AP65" i="4"/>
  <c r="AP64" i="4"/>
  <c r="AP63" i="4"/>
  <c r="AP62" i="4"/>
  <c r="AP61" i="4"/>
  <c r="AP60" i="4"/>
  <c r="AP59" i="4"/>
  <c r="AP58" i="4"/>
  <c r="AP57" i="4"/>
  <c r="AP56" i="4"/>
  <c r="AP55" i="4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8" i="4"/>
  <c r="AP37" i="4"/>
  <c r="AP36" i="4"/>
  <c r="AP35" i="4"/>
  <c r="AP34" i="4"/>
  <c r="AP33" i="4"/>
  <c r="AP32" i="4"/>
  <c r="AP31" i="4"/>
  <c r="AP30" i="4"/>
  <c r="AP29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P9" i="4"/>
  <c r="AP8" i="4"/>
  <c r="AP7" i="4"/>
  <c r="AP6" i="4"/>
  <c r="AP5" i="4"/>
  <c r="AP4" i="4"/>
  <c r="AP3" i="4"/>
  <c r="AP111" i="4" s="1"/>
  <c r="AP113" i="4" s="1"/>
  <c r="AJ107" i="4"/>
  <c r="AJ106" i="4"/>
  <c r="AJ105" i="4"/>
  <c r="AJ104" i="4"/>
  <c r="AJ103" i="4"/>
  <c r="AJ102" i="4"/>
  <c r="AJ101" i="4"/>
  <c r="AJ100" i="4"/>
  <c r="AJ99" i="4"/>
  <c r="AJ98" i="4"/>
  <c r="AJ97" i="4"/>
  <c r="AJ96" i="4"/>
  <c r="AJ95" i="4"/>
  <c r="AJ94" i="4"/>
  <c r="AJ93" i="4"/>
  <c r="AJ92" i="4"/>
  <c r="AJ91" i="4"/>
  <c r="AJ90" i="4"/>
  <c r="AJ89" i="4"/>
  <c r="AJ88" i="4"/>
  <c r="AJ87" i="4"/>
  <c r="AJ86" i="4"/>
  <c r="AJ85" i="4"/>
  <c r="AJ84" i="4"/>
  <c r="AJ83" i="4"/>
  <c r="AJ82" i="4"/>
  <c r="AJ81" i="4"/>
  <c r="AJ80" i="4"/>
  <c r="AJ79" i="4"/>
  <c r="AJ78" i="4"/>
  <c r="AJ77" i="4"/>
  <c r="AJ76" i="4"/>
  <c r="AJ75" i="4"/>
  <c r="AJ74" i="4"/>
  <c r="AJ73" i="4"/>
  <c r="AJ72" i="4"/>
  <c r="AJ71" i="4"/>
  <c r="AJ70" i="4"/>
  <c r="AJ69" i="4"/>
  <c r="AJ68" i="4"/>
  <c r="AJ67" i="4"/>
  <c r="AJ66" i="4"/>
  <c r="AJ65" i="4"/>
  <c r="AJ64" i="4"/>
  <c r="AJ63" i="4"/>
  <c r="AJ62" i="4"/>
  <c r="AJ61" i="4"/>
  <c r="AJ60" i="4"/>
  <c r="AJ59" i="4"/>
  <c r="AJ58" i="4"/>
  <c r="AJ57" i="4"/>
  <c r="AJ56" i="4"/>
  <c r="AJ55" i="4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J32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J3" i="4"/>
  <c r="AH107" i="4"/>
  <c r="AH106" i="4"/>
  <c r="AH105" i="4"/>
  <c r="AH104" i="4"/>
  <c r="AH103" i="4"/>
  <c r="AH102" i="4"/>
  <c r="AH101" i="4"/>
  <c r="AH100" i="4"/>
  <c r="AH99" i="4"/>
  <c r="AH98" i="4"/>
  <c r="AH97" i="4"/>
  <c r="AH96" i="4"/>
  <c r="AH95" i="4"/>
  <c r="AH94" i="4"/>
  <c r="AH93" i="4"/>
  <c r="AH92" i="4"/>
  <c r="AH91" i="4"/>
  <c r="AH90" i="4"/>
  <c r="AH89" i="4"/>
  <c r="AH88" i="4"/>
  <c r="AH87" i="4"/>
  <c r="AH86" i="4"/>
  <c r="AH85" i="4"/>
  <c r="AH84" i="4"/>
  <c r="AH83" i="4"/>
  <c r="AH82" i="4"/>
  <c r="AH81" i="4"/>
  <c r="AH80" i="4"/>
  <c r="AH79" i="4"/>
  <c r="AH78" i="4"/>
  <c r="AH77" i="4"/>
  <c r="AH76" i="4"/>
  <c r="AH75" i="4"/>
  <c r="AH74" i="4"/>
  <c r="AH73" i="4"/>
  <c r="AH72" i="4"/>
  <c r="AH71" i="4"/>
  <c r="AH70" i="4"/>
  <c r="AH69" i="4"/>
  <c r="AH68" i="4"/>
  <c r="AH67" i="4"/>
  <c r="AH66" i="4"/>
  <c r="AH65" i="4"/>
  <c r="AH64" i="4"/>
  <c r="AH63" i="4"/>
  <c r="AH62" i="4"/>
  <c r="AH61" i="4"/>
  <c r="AH60" i="4"/>
  <c r="AH59" i="4"/>
  <c r="AH58" i="4"/>
  <c r="AH57" i="4"/>
  <c r="AH56" i="4"/>
  <c r="AH55" i="4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H32" i="4"/>
  <c r="AH31" i="4"/>
  <c r="AH30" i="4"/>
  <c r="AH29" i="4"/>
  <c r="AH28" i="4"/>
  <c r="AH27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4" i="4"/>
  <c r="AH3" i="4"/>
  <c r="AH109" i="4" s="1"/>
  <c r="AF107" i="4"/>
  <c r="AF106" i="4"/>
  <c r="AF105" i="4"/>
  <c r="AF104" i="4"/>
  <c r="AF103" i="4"/>
  <c r="AF102" i="4"/>
  <c r="AF101" i="4"/>
  <c r="AF100" i="4"/>
  <c r="AF99" i="4"/>
  <c r="AF98" i="4"/>
  <c r="AF97" i="4"/>
  <c r="AF96" i="4"/>
  <c r="AF95" i="4"/>
  <c r="AF94" i="4"/>
  <c r="AF93" i="4"/>
  <c r="AF92" i="4"/>
  <c r="AF91" i="4"/>
  <c r="AF90" i="4"/>
  <c r="AF89" i="4"/>
  <c r="AF88" i="4"/>
  <c r="AF87" i="4"/>
  <c r="AF86" i="4"/>
  <c r="AF85" i="4"/>
  <c r="AF84" i="4"/>
  <c r="AF83" i="4"/>
  <c r="AF82" i="4"/>
  <c r="AF81" i="4"/>
  <c r="AF80" i="4"/>
  <c r="AF79" i="4"/>
  <c r="AF78" i="4"/>
  <c r="AF77" i="4"/>
  <c r="AF76" i="4"/>
  <c r="AF75" i="4"/>
  <c r="AF74" i="4"/>
  <c r="AF73" i="4"/>
  <c r="AF72" i="4"/>
  <c r="AF71" i="4"/>
  <c r="AF70" i="4"/>
  <c r="AF69" i="4"/>
  <c r="AF68" i="4"/>
  <c r="AF67" i="4"/>
  <c r="AF66" i="4"/>
  <c r="AF65" i="4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111" i="4" s="1"/>
  <c r="AF113" i="4" s="1"/>
  <c r="AF3" i="4"/>
  <c r="AD107" i="4"/>
  <c r="AD106" i="4"/>
  <c r="AD105" i="4"/>
  <c r="AD104" i="4"/>
  <c r="AD103" i="4"/>
  <c r="AD102" i="4"/>
  <c r="AD101" i="4"/>
  <c r="AD100" i="4"/>
  <c r="AD99" i="4"/>
  <c r="AD98" i="4"/>
  <c r="AD97" i="4"/>
  <c r="AD96" i="4"/>
  <c r="AD95" i="4"/>
  <c r="AD94" i="4"/>
  <c r="AD93" i="4"/>
  <c r="AD92" i="4"/>
  <c r="AD91" i="4"/>
  <c r="AD90" i="4"/>
  <c r="AD89" i="4"/>
  <c r="AD88" i="4"/>
  <c r="AD87" i="4"/>
  <c r="AD86" i="4"/>
  <c r="AD85" i="4"/>
  <c r="AD84" i="4"/>
  <c r="AD83" i="4"/>
  <c r="AD82" i="4"/>
  <c r="AD81" i="4"/>
  <c r="AD80" i="4"/>
  <c r="AD79" i="4"/>
  <c r="AD78" i="4"/>
  <c r="AD77" i="4"/>
  <c r="AD76" i="4"/>
  <c r="AD75" i="4"/>
  <c r="AD74" i="4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D111" i="4" s="1"/>
  <c r="AD113" i="4" s="1"/>
  <c r="AB107" i="4"/>
  <c r="AB106" i="4"/>
  <c r="AB105" i="4"/>
  <c r="AB104" i="4"/>
  <c r="AB103" i="4"/>
  <c r="AB102" i="4"/>
  <c r="AB101" i="4"/>
  <c r="AB100" i="4"/>
  <c r="AB99" i="4"/>
  <c r="AB98" i="4"/>
  <c r="AB97" i="4"/>
  <c r="AB96" i="4"/>
  <c r="AB95" i="4"/>
  <c r="AB94" i="4"/>
  <c r="AB93" i="4"/>
  <c r="AB92" i="4"/>
  <c r="AB91" i="4"/>
  <c r="AB90" i="4"/>
  <c r="AB89" i="4"/>
  <c r="AB88" i="4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111" i="4" s="1"/>
  <c r="AB113" i="4" s="1"/>
  <c r="AB5" i="4"/>
  <c r="AB4" i="4"/>
  <c r="AB3" i="4"/>
  <c r="AB109" i="4" s="1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Z109" i="4" s="1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111" i="4" s="1"/>
  <c r="X113" i="4" s="1"/>
  <c r="X3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111" i="4" s="1"/>
  <c r="V113" i="4" s="1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111" i="4" s="1"/>
  <c r="T113" i="4" s="1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109" i="4" s="1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111" i="4" s="1"/>
  <c r="P113" i="4" s="1"/>
  <c r="P3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109" i="4" s="1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109" i="4" s="1"/>
  <c r="L5" i="4"/>
  <c r="L4" i="4"/>
  <c r="L111" i="4" s="1"/>
  <c r="L113" i="4" s="1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111" i="4" s="1"/>
  <c r="J113" i="4" s="1"/>
  <c r="J5" i="4"/>
  <c r="J4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11" i="4" s="1"/>
  <c r="H113" i="4" s="1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4" i="4"/>
  <c r="F13" i="4"/>
  <c r="F12" i="4"/>
  <c r="F11" i="4"/>
  <c r="F10" i="4"/>
  <c r="F9" i="4"/>
  <c r="F8" i="4"/>
  <c r="F7" i="4"/>
  <c r="F6" i="4"/>
  <c r="F5" i="4"/>
  <c r="F4" i="4"/>
  <c r="AO1431" i="1"/>
  <c r="K1431" i="1"/>
  <c r="AO1430" i="1"/>
  <c r="K1430" i="1"/>
  <c r="AO1429" i="1"/>
  <c r="K1429" i="1"/>
  <c r="AO1428" i="1"/>
  <c r="K1428" i="1"/>
  <c r="AO1427" i="1"/>
  <c r="K1427" i="1"/>
  <c r="AO1426" i="1"/>
  <c r="K1426" i="1"/>
  <c r="AO1425" i="1"/>
  <c r="K1425" i="1"/>
  <c r="AO1424" i="1"/>
  <c r="K1424" i="1"/>
  <c r="AO1423" i="1"/>
  <c r="K1423" i="1"/>
  <c r="AO1422" i="1"/>
  <c r="K1422" i="1"/>
  <c r="AO1421" i="1"/>
  <c r="K1421" i="1"/>
  <c r="AO1420" i="1"/>
  <c r="K1420" i="1"/>
  <c r="AO1419" i="1"/>
  <c r="K1419" i="1"/>
  <c r="AO1418" i="1"/>
  <c r="K1418" i="1"/>
  <c r="AO1417" i="1"/>
  <c r="K1417" i="1"/>
  <c r="AO1416" i="1"/>
  <c r="K1416" i="1"/>
  <c r="AO1415" i="1"/>
  <c r="K1415" i="1"/>
  <c r="AO1414" i="1"/>
  <c r="K1414" i="1"/>
  <c r="AO1413" i="1"/>
  <c r="K1413" i="1"/>
  <c r="AO1412" i="1"/>
  <c r="K1412" i="1"/>
  <c r="AO1411" i="1"/>
  <c r="K1411" i="1"/>
  <c r="AO1410" i="1"/>
  <c r="K1410" i="1"/>
  <c r="AO1409" i="1"/>
  <c r="K1409" i="1"/>
  <c r="AO1408" i="1"/>
  <c r="K1408" i="1"/>
  <c r="AO1407" i="1"/>
  <c r="K1407" i="1"/>
  <c r="AO1406" i="1"/>
  <c r="K1406" i="1"/>
  <c r="AO1405" i="1"/>
  <c r="K1405" i="1"/>
  <c r="AO1404" i="1"/>
  <c r="K1404" i="1"/>
  <c r="AO1403" i="1"/>
  <c r="K1403" i="1"/>
  <c r="AO1402" i="1"/>
  <c r="K1402" i="1"/>
  <c r="AO1401" i="1"/>
  <c r="K1401" i="1"/>
  <c r="AO1400" i="1"/>
  <c r="K1400" i="1"/>
  <c r="AO1399" i="1"/>
  <c r="K1399" i="1"/>
  <c r="AO1398" i="1"/>
  <c r="K1398" i="1"/>
  <c r="AO1397" i="1"/>
  <c r="K1397" i="1"/>
  <c r="AO1396" i="1"/>
  <c r="K1396" i="1"/>
  <c r="AO1395" i="1"/>
  <c r="K1395" i="1"/>
  <c r="AO1394" i="1"/>
  <c r="K1394" i="1"/>
  <c r="AO1393" i="1"/>
  <c r="K1393" i="1"/>
  <c r="AO1392" i="1"/>
  <c r="K1392" i="1"/>
  <c r="AO1391" i="1"/>
  <c r="K1391" i="1"/>
  <c r="AO1390" i="1"/>
  <c r="K1390" i="1"/>
  <c r="AO1389" i="1"/>
  <c r="K1389" i="1"/>
  <c r="AO1388" i="1"/>
  <c r="K1388" i="1"/>
  <c r="AO1387" i="1"/>
  <c r="K1387" i="1"/>
  <c r="AO1386" i="1"/>
  <c r="K1386" i="1"/>
  <c r="AO1385" i="1"/>
  <c r="K1385" i="1"/>
  <c r="AO1384" i="1"/>
  <c r="K1384" i="1"/>
  <c r="AO1383" i="1"/>
  <c r="K1383" i="1"/>
  <c r="AO1382" i="1"/>
  <c r="K1382" i="1"/>
  <c r="AO1381" i="1"/>
  <c r="K1381" i="1"/>
  <c r="AO1380" i="1"/>
  <c r="K1380" i="1"/>
  <c r="AO1379" i="1"/>
  <c r="K1379" i="1"/>
  <c r="AO1378" i="1"/>
  <c r="K1378" i="1"/>
  <c r="AO1377" i="1"/>
  <c r="K1377" i="1"/>
  <c r="AO1376" i="1"/>
  <c r="K1376" i="1"/>
  <c r="AO1375" i="1"/>
  <c r="K1375" i="1"/>
  <c r="AO1374" i="1"/>
  <c r="K1374" i="1"/>
  <c r="AO1373" i="1"/>
  <c r="K1373" i="1"/>
  <c r="AO1372" i="1"/>
  <c r="K1372" i="1"/>
  <c r="AO1371" i="1"/>
  <c r="K1371" i="1"/>
  <c r="AO1370" i="1"/>
  <c r="K1370" i="1"/>
  <c r="AO1369" i="1"/>
  <c r="K1369" i="1"/>
  <c r="AO1368" i="1"/>
  <c r="K1368" i="1"/>
  <c r="AO1367" i="1"/>
  <c r="K1367" i="1"/>
  <c r="AT115" i="1" s="1"/>
  <c r="AO1366" i="1"/>
  <c r="K1366" i="1"/>
  <c r="AO1365" i="1"/>
  <c r="K1365" i="1"/>
  <c r="AO1364" i="1"/>
  <c r="K1364" i="1"/>
  <c r="AO1363" i="1"/>
  <c r="K1363" i="1"/>
  <c r="AO1362" i="1"/>
  <c r="K1362" i="1"/>
  <c r="AO1361" i="1"/>
  <c r="K1361" i="1"/>
  <c r="AO1360" i="1"/>
  <c r="K1360" i="1"/>
  <c r="AO1359" i="1"/>
  <c r="K1359" i="1"/>
  <c r="AO1358" i="1"/>
  <c r="K1358" i="1"/>
  <c r="AO1357" i="1"/>
  <c r="K1357" i="1"/>
  <c r="AO1356" i="1"/>
  <c r="K1356" i="1"/>
  <c r="AO1355" i="1"/>
  <c r="K1355" i="1"/>
  <c r="AO1354" i="1"/>
  <c r="K1354" i="1"/>
  <c r="AO1353" i="1"/>
  <c r="K1353" i="1"/>
  <c r="AO1352" i="1"/>
  <c r="K1352" i="1"/>
  <c r="AO1351" i="1"/>
  <c r="K1351" i="1"/>
  <c r="AO1350" i="1"/>
  <c r="K1350" i="1"/>
  <c r="AO1349" i="1"/>
  <c r="K1349" i="1"/>
  <c r="AO1348" i="1"/>
  <c r="K1348" i="1"/>
  <c r="AO1347" i="1"/>
  <c r="K1347" i="1"/>
  <c r="AO1346" i="1"/>
  <c r="K1346" i="1"/>
  <c r="AO1345" i="1"/>
  <c r="K1345" i="1"/>
  <c r="AO1344" i="1"/>
  <c r="K1344" i="1"/>
  <c r="AO1343" i="1"/>
  <c r="K1343" i="1"/>
  <c r="AO1342" i="1"/>
  <c r="K1342" i="1"/>
  <c r="AO1341" i="1"/>
  <c r="K1341" i="1"/>
  <c r="AO1340" i="1"/>
  <c r="K1340" i="1"/>
  <c r="AO1339" i="1"/>
  <c r="K1339" i="1"/>
  <c r="AO1338" i="1"/>
  <c r="K1338" i="1"/>
  <c r="AO1337" i="1"/>
  <c r="K1337" i="1"/>
  <c r="AO1336" i="1"/>
  <c r="K1336" i="1"/>
  <c r="AO1335" i="1"/>
  <c r="K1335" i="1"/>
  <c r="AO1334" i="1"/>
  <c r="K1334" i="1"/>
  <c r="AO1333" i="1"/>
  <c r="K1333" i="1"/>
  <c r="AO1332" i="1"/>
  <c r="K1332" i="1"/>
  <c r="AO1331" i="1"/>
  <c r="K1331" i="1"/>
  <c r="AO1330" i="1"/>
  <c r="K1330" i="1"/>
  <c r="AO1329" i="1"/>
  <c r="K1329" i="1"/>
  <c r="AO1328" i="1"/>
  <c r="K1328" i="1"/>
  <c r="AO1327" i="1"/>
  <c r="K1327" i="1"/>
  <c r="AO1326" i="1"/>
  <c r="K1326" i="1"/>
  <c r="AO1325" i="1"/>
  <c r="K1325" i="1"/>
  <c r="AO1324" i="1"/>
  <c r="K1324" i="1"/>
  <c r="AO1323" i="1"/>
  <c r="K1323" i="1"/>
  <c r="AO1322" i="1"/>
  <c r="K1322" i="1"/>
  <c r="AO1321" i="1"/>
  <c r="K1321" i="1"/>
  <c r="AO1320" i="1"/>
  <c r="K1320" i="1"/>
  <c r="AO1319" i="1"/>
  <c r="K1319" i="1"/>
  <c r="AO1318" i="1"/>
  <c r="K1318" i="1"/>
  <c r="AO1317" i="1"/>
  <c r="K1317" i="1"/>
  <c r="AO1316" i="1"/>
  <c r="K1316" i="1"/>
  <c r="AO1315" i="1"/>
  <c r="K1315" i="1"/>
  <c r="AO1314" i="1"/>
  <c r="K1314" i="1"/>
  <c r="AO1313" i="1"/>
  <c r="K1313" i="1"/>
  <c r="AO1312" i="1"/>
  <c r="K1312" i="1"/>
  <c r="AO1311" i="1"/>
  <c r="K1311" i="1"/>
  <c r="AO1310" i="1"/>
  <c r="K1310" i="1"/>
  <c r="AO1309" i="1"/>
  <c r="K1309" i="1"/>
  <c r="AO1308" i="1"/>
  <c r="K1308" i="1"/>
  <c r="AO1307" i="1"/>
  <c r="K1307" i="1"/>
  <c r="AO1306" i="1"/>
  <c r="K1306" i="1"/>
  <c r="AO1305" i="1"/>
  <c r="K1305" i="1"/>
  <c r="AO1304" i="1"/>
  <c r="K1304" i="1"/>
  <c r="AO1303" i="1"/>
  <c r="K1303" i="1"/>
  <c r="AO1302" i="1"/>
  <c r="K1302" i="1"/>
  <c r="AO1301" i="1"/>
  <c r="K1301" i="1"/>
  <c r="AO1300" i="1"/>
  <c r="K1300" i="1"/>
  <c r="AO1299" i="1"/>
  <c r="K1299" i="1"/>
  <c r="AO1298" i="1"/>
  <c r="K1298" i="1"/>
  <c r="AO1297" i="1"/>
  <c r="K1297" i="1"/>
  <c r="AO1296" i="1"/>
  <c r="K1296" i="1"/>
  <c r="AO1295" i="1"/>
  <c r="K1295" i="1"/>
  <c r="AO1294" i="1"/>
  <c r="K1294" i="1"/>
  <c r="AO1293" i="1"/>
  <c r="K1293" i="1"/>
  <c r="AO1292" i="1"/>
  <c r="K1292" i="1"/>
  <c r="AO1291" i="1"/>
  <c r="K1291" i="1"/>
  <c r="AO1290" i="1"/>
  <c r="K1290" i="1"/>
  <c r="AO1289" i="1"/>
  <c r="K1289" i="1"/>
  <c r="AO1288" i="1"/>
  <c r="K1288" i="1"/>
  <c r="AO1287" i="1"/>
  <c r="K1287" i="1"/>
  <c r="AO1286" i="1"/>
  <c r="K1286" i="1"/>
  <c r="AO1285" i="1"/>
  <c r="K1285" i="1"/>
  <c r="AO1284" i="1"/>
  <c r="K1284" i="1"/>
  <c r="AO1283" i="1"/>
  <c r="K1283" i="1"/>
  <c r="AO1282" i="1"/>
  <c r="K1282" i="1"/>
  <c r="AO1281" i="1"/>
  <c r="K1281" i="1"/>
  <c r="AO1280" i="1"/>
  <c r="K1280" i="1"/>
  <c r="AO1279" i="1"/>
  <c r="K1279" i="1"/>
  <c r="AO1278" i="1"/>
  <c r="K1278" i="1"/>
  <c r="AO1277" i="1"/>
  <c r="K1277" i="1"/>
  <c r="AO1276" i="1"/>
  <c r="K1276" i="1"/>
  <c r="AO1275" i="1"/>
  <c r="K1275" i="1"/>
  <c r="AO1274" i="1"/>
  <c r="K1274" i="1"/>
  <c r="AO1273" i="1"/>
  <c r="K1273" i="1"/>
  <c r="AO1272" i="1"/>
  <c r="K1272" i="1"/>
  <c r="AO1271" i="1"/>
  <c r="K1271" i="1"/>
  <c r="AO1270" i="1"/>
  <c r="K1270" i="1"/>
  <c r="AO1269" i="1"/>
  <c r="K1269" i="1"/>
  <c r="AO1268" i="1"/>
  <c r="K1268" i="1"/>
  <c r="AO1267" i="1"/>
  <c r="K1267" i="1"/>
  <c r="AO1266" i="1"/>
  <c r="K1266" i="1"/>
  <c r="AO1265" i="1"/>
  <c r="K1265" i="1"/>
  <c r="AO1264" i="1"/>
  <c r="K1264" i="1"/>
  <c r="AO1263" i="1"/>
  <c r="K1263" i="1"/>
  <c r="AO1262" i="1"/>
  <c r="K1262" i="1"/>
  <c r="AO1261" i="1"/>
  <c r="K1261" i="1"/>
  <c r="AO1260" i="1"/>
  <c r="K1260" i="1"/>
  <c r="AO1259" i="1"/>
  <c r="K1259" i="1"/>
  <c r="AO1258" i="1"/>
  <c r="K1258" i="1"/>
  <c r="AO1257" i="1"/>
  <c r="K1257" i="1"/>
  <c r="AO1256" i="1"/>
  <c r="K1256" i="1"/>
  <c r="AO1255" i="1"/>
  <c r="K1255" i="1"/>
  <c r="AO1254" i="1"/>
  <c r="K1254" i="1"/>
  <c r="AO1253" i="1"/>
  <c r="K1253" i="1"/>
  <c r="AO1252" i="1"/>
  <c r="K1252" i="1"/>
  <c r="AO1251" i="1"/>
  <c r="K1251" i="1"/>
  <c r="AO1250" i="1"/>
  <c r="K1250" i="1"/>
  <c r="AO1249" i="1"/>
  <c r="K1249" i="1"/>
  <c r="AO1248" i="1"/>
  <c r="K1248" i="1"/>
  <c r="AO1247" i="1"/>
  <c r="K1247" i="1"/>
  <c r="AO1246" i="1"/>
  <c r="K1246" i="1"/>
  <c r="AO1245" i="1"/>
  <c r="K1245" i="1"/>
  <c r="AO1244" i="1"/>
  <c r="K1244" i="1"/>
  <c r="AO1243" i="1"/>
  <c r="K1243" i="1"/>
  <c r="AO1242" i="1"/>
  <c r="K1242" i="1"/>
  <c r="AO1241" i="1"/>
  <c r="K1241" i="1"/>
  <c r="AO1240" i="1"/>
  <c r="K1240" i="1"/>
  <c r="AO1239" i="1"/>
  <c r="K1239" i="1"/>
  <c r="AO1238" i="1"/>
  <c r="K1238" i="1"/>
  <c r="AO1237" i="1"/>
  <c r="K1237" i="1"/>
  <c r="AO1236" i="1"/>
  <c r="K1236" i="1"/>
  <c r="AO1235" i="1"/>
  <c r="K1235" i="1"/>
  <c r="AO1234" i="1"/>
  <c r="K1234" i="1"/>
  <c r="AO1233" i="1"/>
  <c r="K1233" i="1"/>
  <c r="AO1232" i="1"/>
  <c r="K1232" i="1"/>
  <c r="AO1231" i="1"/>
  <c r="K1231" i="1"/>
  <c r="AO1230" i="1"/>
  <c r="K1230" i="1"/>
  <c r="AO1229" i="1"/>
  <c r="K1229" i="1"/>
  <c r="AO1228" i="1"/>
  <c r="K1228" i="1"/>
  <c r="AO1227" i="1"/>
  <c r="K1227" i="1"/>
  <c r="AO1226" i="1"/>
  <c r="K1226" i="1"/>
  <c r="AO1225" i="1"/>
  <c r="K1225" i="1"/>
  <c r="AO1224" i="1"/>
  <c r="K1224" i="1"/>
  <c r="AO1223" i="1"/>
  <c r="K1223" i="1"/>
  <c r="AO1222" i="1"/>
  <c r="K1222" i="1"/>
  <c r="AO1221" i="1"/>
  <c r="K1221" i="1"/>
  <c r="AO1220" i="1"/>
  <c r="K1220" i="1"/>
  <c r="AO1219" i="1"/>
  <c r="K1219" i="1"/>
  <c r="AO1218" i="1"/>
  <c r="K1218" i="1"/>
  <c r="AO1217" i="1"/>
  <c r="K1217" i="1"/>
  <c r="AO1216" i="1"/>
  <c r="K1216" i="1"/>
  <c r="AO1215" i="1"/>
  <c r="K1215" i="1"/>
  <c r="AO1214" i="1"/>
  <c r="K1214" i="1"/>
  <c r="AO1213" i="1"/>
  <c r="K1213" i="1"/>
  <c r="AO1212" i="1"/>
  <c r="K1212" i="1"/>
  <c r="AO1211" i="1"/>
  <c r="K1211" i="1"/>
  <c r="AO1210" i="1"/>
  <c r="K1210" i="1"/>
  <c r="AO1209" i="1"/>
  <c r="K1209" i="1"/>
  <c r="AO1208" i="1"/>
  <c r="K1208" i="1"/>
  <c r="AO1207" i="1"/>
  <c r="K1207" i="1"/>
  <c r="AO1206" i="1"/>
  <c r="K1206" i="1"/>
  <c r="AO1205" i="1"/>
  <c r="K1205" i="1"/>
  <c r="AO1204" i="1"/>
  <c r="K1204" i="1"/>
  <c r="AO1203" i="1"/>
  <c r="K1203" i="1"/>
  <c r="AO1202" i="1"/>
  <c r="K1202" i="1"/>
  <c r="AO1201" i="1"/>
  <c r="K1201" i="1"/>
  <c r="AO1200" i="1"/>
  <c r="K1200" i="1"/>
  <c r="AO1199" i="1"/>
  <c r="K1199" i="1"/>
  <c r="AO1198" i="1"/>
  <c r="K1198" i="1"/>
  <c r="AO1197" i="1"/>
  <c r="K1197" i="1"/>
  <c r="AO1196" i="1"/>
  <c r="K1196" i="1"/>
  <c r="AO1195" i="1"/>
  <c r="K1195" i="1"/>
  <c r="AO1194" i="1"/>
  <c r="K1194" i="1"/>
  <c r="AO1193" i="1"/>
  <c r="K1193" i="1"/>
  <c r="AO1192" i="1"/>
  <c r="K1192" i="1"/>
  <c r="AO1191" i="1"/>
  <c r="K1191" i="1"/>
  <c r="AO1190" i="1"/>
  <c r="K1190" i="1"/>
  <c r="AO1189" i="1"/>
  <c r="K1189" i="1"/>
  <c r="AO1188" i="1"/>
  <c r="K1188" i="1"/>
  <c r="AO1187" i="1"/>
  <c r="K1187" i="1"/>
  <c r="AO1186" i="1"/>
  <c r="K1186" i="1"/>
  <c r="AO1185" i="1"/>
  <c r="K1185" i="1"/>
  <c r="AO1184" i="1"/>
  <c r="K1184" i="1"/>
  <c r="AO1183" i="1"/>
  <c r="K1183" i="1"/>
  <c r="AO1182" i="1"/>
  <c r="K1182" i="1"/>
  <c r="AO1181" i="1"/>
  <c r="K1181" i="1"/>
  <c r="AO1180" i="1"/>
  <c r="K1180" i="1"/>
  <c r="AO1179" i="1"/>
  <c r="K1179" i="1"/>
  <c r="AO1178" i="1"/>
  <c r="K1178" i="1"/>
  <c r="AO1177" i="1"/>
  <c r="K1177" i="1"/>
  <c r="AO1176" i="1"/>
  <c r="K1176" i="1"/>
  <c r="AO1175" i="1"/>
  <c r="K1175" i="1"/>
  <c r="AO1174" i="1"/>
  <c r="K1174" i="1"/>
  <c r="AO1173" i="1"/>
  <c r="K1173" i="1"/>
  <c r="AO1172" i="1"/>
  <c r="K1172" i="1"/>
  <c r="AO1171" i="1"/>
  <c r="K1171" i="1"/>
  <c r="AO1170" i="1"/>
  <c r="K1170" i="1"/>
  <c r="AO1169" i="1"/>
  <c r="K1169" i="1"/>
  <c r="AO1168" i="1"/>
  <c r="K1168" i="1"/>
  <c r="AO1167" i="1"/>
  <c r="K1167" i="1"/>
  <c r="AO1166" i="1"/>
  <c r="K1166" i="1"/>
  <c r="AO1165" i="1"/>
  <c r="K1165" i="1"/>
  <c r="AO1164" i="1"/>
  <c r="K1164" i="1"/>
  <c r="AO1163" i="1"/>
  <c r="K1163" i="1"/>
  <c r="AO1162" i="1"/>
  <c r="K1162" i="1"/>
  <c r="AO1161" i="1"/>
  <c r="K1161" i="1"/>
  <c r="AO1160" i="1"/>
  <c r="K1160" i="1"/>
  <c r="AO1159" i="1"/>
  <c r="K1159" i="1"/>
  <c r="AO1158" i="1"/>
  <c r="K1158" i="1"/>
  <c r="AO1157" i="1"/>
  <c r="K1157" i="1"/>
  <c r="AO1156" i="1"/>
  <c r="K1156" i="1"/>
  <c r="AO1155" i="1"/>
  <c r="K1155" i="1"/>
  <c r="AO1154" i="1"/>
  <c r="K1154" i="1"/>
  <c r="AO1153" i="1"/>
  <c r="K1153" i="1"/>
  <c r="AO1152" i="1"/>
  <c r="K1152" i="1"/>
  <c r="AO1151" i="1"/>
  <c r="K1151" i="1"/>
  <c r="AO1150" i="1"/>
  <c r="K1150" i="1"/>
  <c r="AO1149" i="1"/>
  <c r="K1149" i="1"/>
  <c r="AO1148" i="1"/>
  <c r="K1148" i="1"/>
  <c r="AO1147" i="1"/>
  <c r="K1147" i="1"/>
  <c r="AO1146" i="1"/>
  <c r="K1146" i="1"/>
  <c r="AO1145" i="1"/>
  <c r="K1145" i="1"/>
  <c r="AO1144" i="1"/>
  <c r="K1144" i="1"/>
  <c r="AO1143" i="1"/>
  <c r="K1143" i="1"/>
  <c r="AO1142" i="1"/>
  <c r="K1142" i="1"/>
  <c r="AO1141" i="1"/>
  <c r="K1141" i="1"/>
  <c r="AO1140" i="1"/>
  <c r="K1140" i="1"/>
  <c r="AO1139" i="1"/>
  <c r="K1139" i="1"/>
  <c r="AO1138" i="1"/>
  <c r="K1138" i="1"/>
  <c r="AO1137" i="1"/>
  <c r="K1137" i="1"/>
  <c r="AO1136" i="1"/>
  <c r="K1136" i="1"/>
  <c r="AO1135" i="1"/>
  <c r="K1135" i="1"/>
  <c r="AO1134" i="1"/>
  <c r="K1134" i="1"/>
  <c r="AO1133" i="1"/>
  <c r="K1133" i="1"/>
  <c r="AO1132" i="1"/>
  <c r="K1132" i="1"/>
  <c r="AO1131" i="1"/>
  <c r="K1131" i="1"/>
  <c r="AO1130" i="1"/>
  <c r="K1130" i="1"/>
  <c r="AO1129" i="1"/>
  <c r="K1129" i="1"/>
  <c r="AO1128" i="1"/>
  <c r="K1128" i="1"/>
  <c r="AO1127" i="1"/>
  <c r="K1127" i="1"/>
  <c r="AO1126" i="1"/>
  <c r="K1126" i="1"/>
  <c r="AO1125" i="1"/>
  <c r="K1125" i="1"/>
  <c r="AO1124" i="1"/>
  <c r="K1124" i="1"/>
  <c r="AO1123" i="1"/>
  <c r="K1123" i="1"/>
  <c r="AO1122" i="1"/>
  <c r="K1122" i="1"/>
  <c r="AO1121" i="1"/>
  <c r="K1121" i="1"/>
  <c r="AO1120" i="1"/>
  <c r="K1120" i="1"/>
  <c r="AO1119" i="1"/>
  <c r="K1119" i="1"/>
  <c r="AO1118" i="1"/>
  <c r="K1118" i="1"/>
  <c r="AO1117" i="1"/>
  <c r="K1117" i="1"/>
  <c r="AO1116" i="1"/>
  <c r="K1116" i="1"/>
  <c r="AO1115" i="1"/>
  <c r="K1115" i="1"/>
  <c r="AO1114" i="1"/>
  <c r="K1114" i="1"/>
  <c r="AO1113" i="1"/>
  <c r="K1113" i="1"/>
  <c r="AO1112" i="1"/>
  <c r="K1112" i="1"/>
  <c r="AO1111" i="1"/>
  <c r="K1111" i="1"/>
  <c r="AO1110" i="1"/>
  <c r="K1110" i="1"/>
  <c r="AO1109" i="1"/>
  <c r="K1109" i="1"/>
  <c r="AO1108" i="1"/>
  <c r="K1108" i="1"/>
  <c r="AO1107" i="1"/>
  <c r="K1107" i="1"/>
  <c r="AO1106" i="1"/>
  <c r="K1106" i="1"/>
  <c r="AO1105" i="1"/>
  <c r="K1105" i="1"/>
  <c r="AO1104" i="1"/>
  <c r="K1104" i="1"/>
  <c r="AO1103" i="1"/>
  <c r="K1103" i="1"/>
  <c r="AO1102" i="1"/>
  <c r="K1102" i="1"/>
  <c r="AO1101" i="1"/>
  <c r="K1101" i="1"/>
  <c r="AO1100" i="1"/>
  <c r="K1100" i="1"/>
  <c r="AO1099" i="1"/>
  <c r="K1099" i="1"/>
  <c r="AO1098" i="1"/>
  <c r="K1098" i="1"/>
  <c r="AO1097" i="1"/>
  <c r="K1097" i="1"/>
  <c r="AO1096" i="1"/>
  <c r="K1096" i="1"/>
  <c r="AO1095" i="1"/>
  <c r="K1095" i="1"/>
  <c r="AO1094" i="1"/>
  <c r="K1094" i="1"/>
  <c r="AO1093" i="1"/>
  <c r="K1093" i="1"/>
  <c r="AO1092" i="1"/>
  <c r="K1092" i="1"/>
  <c r="AO1091" i="1"/>
  <c r="K1091" i="1"/>
  <c r="AO1090" i="1"/>
  <c r="K1090" i="1"/>
  <c r="AO1089" i="1"/>
  <c r="K1089" i="1"/>
  <c r="AO1088" i="1"/>
  <c r="K1088" i="1"/>
  <c r="AO1087" i="1"/>
  <c r="K1087" i="1"/>
  <c r="AO1086" i="1"/>
  <c r="K1086" i="1"/>
  <c r="AO1085" i="1"/>
  <c r="K1085" i="1"/>
  <c r="AO1084" i="1"/>
  <c r="K1084" i="1"/>
  <c r="AO1083" i="1"/>
  <c r="K1083" i="1"/>
  <c r="AO1082" i="1"/>
  <c r="K1082" i="1"/>
  <c r="AO1081" i="1"/>
  <c r="K1081" i="1"/>
  <c r="AO1080" i="1"/>
  <c r="K1080" i="1"/>
  <c r="AO1079" i="1"/>
  <c r="K1079" i="1"/>
  <c r="AO1078" i="1"/>
  <c r="K1078" i="1"/>
  <c r="AO1077" i="1"/>
  <c r="K1077" i="1"/>
  <c r="AO1076" i="1"/>
  <c r="K1076" i="1"/>
  <c r="AO1075" i="1"/>
  <c r="K1075" i="1"/>
  <c r="AO1074" i="1"/>
  <c r="K1074" i="1"/>
  <c r="AO1073" i="1"/>
  <c r="K1073" i="1"/>
  <c r="AO1072" i="1"/>
  <c r="K1072" i="1"/>
  <c r="AO1071" i="1"/>
  <c r="K1071" i="1"/>
  <c r="AO1070" i="1"/>
  <c r="K1070" i="1"/>
  <c r="AO1069" i="1"/>
  <c r="K1069" i="1"/>
  <c r="AO1068" i="1"/>
  <c r="K1068" i="1"/>
  <c r="AO1067" i="1"/>
  <c r="K1067" i="1"/>
  <c r="AO1066" i="1"/>
  <c r="K1066" i="1"/>
  <c r="AO1065" i="1"/>
  <c r="K1065" i="1"/>
  <c r="AO1064" i="1"/>
  <c r="K1064" i="1"/>
  <c r="AO1063" i="1"/>
  <c r="K1063" i="1"/>
  <c r="AO1062" i="1"/>
  <c r="K1062" i="1"/>
  <c r="AO1061" i="1"/>
  <c r="K1061" i="1"/>
  <c r="AO1060" i="1"/>
  <c r="K1060" i="1"/>
  <c r="AO1059" i="1"/>
  <c r="K1059" i="1"/>
  <c r="AO1058" i="1"/>
  <c r="K1058" i="1"/>
  <c r="AO1057" i="1"/>
  <c r="K1057" i="1"/>
  <c r="AO1056" i="1"/>
  <c r="K1056" i="1"/>
  <c r="AO1055" i="1"/>
  <c r="K1055" i="1"/>
  <c r="AO1054" i="1"/>
  <c r="K1054" i="1"/>
  <c r="AO1053" i="1"/>
  <c r="K1053" i="1"/>
  <c r="AO1052" i="1"/>
  <c r="K1052" i="1"/>
  <c r="AO1051" i="1"/>
  <c r="K1051" i="1"/>
  <c r="AO1050" i="1"/>
  <c r="K1050" i="1"/>
  <c r="AO1049" i="1"/>
  <c r="K1049" i="1"/>
  <c r="AO1048" i="1"/>
  <c r="K1048" i="1"/>
  <c r="AO1047" i="1"/>
  <c r="K1047" i="1"/>
  <c r="AO1046" i="1"/>
  <c r="K1046" i="1"/>
  <c r="AO1045" i="1"/>
  <c r="K1045" i="1"/>
  <c r="AO1044" i="1"/>
  <c r="K1044" i="1"/>
  <c r="AO1043" i="1"/>
  <c r="K1043" i="1"/>
  <c r="AO1042" i="1"/>
  <c r="K1042" i="1"/>
  <c r="AO1041" i="1"/>
  <c r="K1041" i="1"/>
  <c r="AO1040" i="1"/>
  <c r="K1040" i="1"/>
  <c r="AO1039" i="1"/>
  <c r="K1039" i="1"/>
  <c r="AO1038" i="1"/>
  <c r="K1038" i="1"/>
  <c r="AO1037" i="1"/>
  <c r="K1037" i="1"/>
  <c r="AO1036" i="1"/>
  <c r="K1036" i="1"/>
  <c r="AO1035" i="1"/>
  <c r="K1035" i="1"/>
  <c r="AO1034" i="1"/>
  <c r="K1034" i="1"/>
  <c r="AO1033" i="1"/>
  <c r="K1033" i="1"/>
  <c r="AO1032" i="1"/>
  <c r="K1032" i="1"/>
  <c r="AO1031" i="1"/>
  <c r="K1031" i="1"/>
  <c r="AO1030" i="1"/>
  <c r="K1030" i="1"/>
  <c r="AO1029" i="1"/>
  <c r="K1029" i="1"/>
  <c r="AO1028" i="1"/>
  <c r="K1028" i="1"/>
  <c r="AO1027" i="1"/>
  <c r="K1027" i="1"/>
  <c r="AO1026" i="1"/>
  <c r="K1026" i="1"/>
  <c r="AO1025" i="1"/>
  <c r="K1025" i="1"/>
  <c r="AO1024" i="1"/>
  <c r="K1024" i="1"/>
  <c r="AO1023" i="1"/>
  <c r="K1023" i="1"/>
  <c r="AO1022" i="1"/>
  <c r="K1022" i="1"/>
  <c r="AO1021" i="1"/>
  <c r="K1021" i="1"/>
  <c r="AO1020" i="1"/>
  <c r="K1020" i="1"/>
  <c r="AO1019" i="1"/>
  <c r="K1019" i="1"/>
  <c r="AO1018" i="1"/>
  <c r="K1018" i="1"/>
  <c r="AO1017" i="1"/>
  <c r="K1017" i="1"/>
  <c r="AO1016" i="1"/>
  <c r="K1016" i="1"/>
  <c r="AO1015" i="1"/>
  <c r="K1015" i="1"/>
  <c r="AO1014" i="1"/>
  <c r="K1014" i="1"/>
  <c r="AO1013" i="1"/>
  <c r="K1013" i="1"/>
  <c r="AO1012" i="1"/>
  <c r="K1012" i="1"/>
  <c r="AO1011" i="1"/>
  <c r="K1011" i="1"/>
  <c r="AO1010" i="1"/>
  <c r="K1010" i="1"/>
  <c r="AO1009" i="1"/>
  <c r="K1009" i="1"/>
  <c r="AO1008" i="1"/>
  <c r="K1008" i="1"/>
  <c r="AO1007" i="1"/>
  <c r="K1007" i="1"/>
  <c r="AO1006" i="1"/>
  <c r="K1006" i="1"/>
  <c r="AO1005" i="1"/>
  <c r="K1005" i="1"/>
  <c r="AO1004" i="1"/>
  <c r="K1004" i="1"/>
  <c r="AO1003" i="1"/>
  <c r="K1003" i="1"/>
  <c r="AO1002" i="1"/>
  <c r="K1002" i="1"/>
  <c r="AO1001" i="1"/>
  <c r="K1001" i="1"/>
  <c r="AO1000" i="1"/>
  <c r="K1000" i="1"/>
  <c r="AO999" i="1"/>
  <c r="AS134" i="1" s="1"/>
  <c r="AS141" i="1" s="1"/>
  <c r="K999" i="1"/>
  <c r="AO998" i="1"/>
  <c r="K998" i="1"/>
  <c r="AO997" i="1"/>
  <c r="K997" i="1"/>
  <c r="AO996" i="1"/>
  <c r="K996" i="1"/>
  <c r="AO995" i="1"/>
  <c r="K995" i="1"/>
  <c r="AO994" i="1"/>
  <c r="K994" i="1"/>
  <c r="AO993" i="1"/>
  <c r="K993" i="1"/>
  <c r="AO992" i="1"/>
  <c r="K992" i="1"/>
  <c r="AO991" i="1"/>
  <c r="K991" i="1"/>
  <c r="AO990" i="1"/>
  <c r="K990" i="1"/>
  <c r="AO989" i="1"/>
  <c r="K989" i="1"/>
  <c r="AO988" i="1"/>
  <c r="K988" i="1"/>
  <c r="AO987" i="1"/>
  <c r="K987" i="1"/>
  <c r="AO986" i="1"/>
  <c r="K986" i="1"/>
  <c r="AO985" i="1"/>
  <c r="K985" i="1"/>
  <c r="AO984" i="1"/>
  <c r="K984" i="1"/>
  <c r="AO983" i="1"/>
  <c r="K983" i="1"/>
  <c r="AO982" i="1"/>
  <c r="K982" i="1"/>
  <c r="AO981" i="1"/>
  <c r="K981" i="1"/>
  <c r="AO980" i="1"/>
  <c r="K980" i="1"/>
  <c r="AO979" i="1"/>
  <c r="K979" i="1"/>
  <c r="AO978" i="1"/>
  <c r="K978" i="1"/>
  <c r="AO977" i="1"/>
  <c r="K977" i="1"/>
  <c r="AO976" i="1"/>
  <c r="K976" i="1"/>
  <c r="AO975" i="1"/>
  <c r="K975" i="1"/>
  <c r="AO974" i="1"/>
  <c r="K974" i="1"/>
  <c r="AO973" i="1"/>
  <c r="K973" i="1"/>
  <c r="AO972" i="1"/>
  <c r="K972" i="1"/>
  <c r="AO971" i="1"/>
  <c r="K971" i="1"/>
  <c r="AO970" i="1"/>
  <c r="K970" i="1"/>
  <c r="AO969" i="1"/>
  <c r="K969" i="1"/>
  <c r="AO968" i="1"/>
  <c r="K968" i="1"/>
  <c r="AO967" i="1"/>
  <c r="K967" i="1"/>
  <c r="AO966" i="1"/>
  <c r="K966" i="1"/>
  <c r="AO965" i="1"/>
  <c r="K965" i="1"/>
  <c r="AO964" i="1"/>
  <c r="K964" i="1"/>
  <c r="AO963" i="1"/>
  <c r="K963" i="1"/>
  <c r="AO962" i="1"/>
  <c r="K962" i="1"/>
  <c r="AO961" i="1"/>
  <c r="K961" i="1"/>
  <c r="AO960" i="1"/>
  <c r="K960" i="1"/>
  <c r="AO959" i="1"/>
  <c r="K959" i="1"/>
  <c r="AO958" i="1"/>
  <c r="K958" i="1"/>
  <c r="AO957" i="1"/>
  <c r="K957" i="1"/>
  <c r="AO956" i="1"/>
  <c r="K956" i="1"/>
  <c r="AO955" i="1"/>
  <c r="K955" i="1"/>
  <c r="AO954" i="1"/>
  <c r="K954" i="1"/>
  <c r="AO953" i="1"/>
  <c r="K953" i="1"/>
  <c r="AO952" i="1"/>
  <c r="K952" i="1"/>
  <c r="AO951" i="1"/>
  <c r="K951" i="1"/>
  <c r="AO950" i="1"/>
  <c r="K950" i="1"/>
  <c r="AO949" i="1"/>
  <c r="K949" i="1"/>
  <c r="AO948" i="1"/>
  <c r="K948" i="1"/>
  <c r="AO947" i="1"/>
  <c r="K947" i="1"/>
  <c r="AO946" i="1"/>
  <c r="K946" i="1"/>
  <c r="AO945" i="1"/>
  <c r="K945" i="1"/>
  <c r="AO944" i="1"/>
  <c r="K944" i="1"/>
  <c r="AO943" i="1"/>
  <c r="K943" i="1"/>
  <c r="AO942" i="1"/>
  <c r="K942" i="1"/>
  <c r="AO941" i="1"/>
  <c r="K941" i="1"/>
  <c r="AO940" i="1"/>
  <c r="K940" i="1"/>
  <c r="AO939" i="1"/>
  <c r="K939" i="1"/>
  <c r="AO938" i="1"/>
  <c r="K938" i="1"/>
  <c r="AO937" i="1"/>
  <c r="K937" i="1"/>
  <c r="AO936" i="1"/>
  <c r="K936" i="1"/>
  <c r="AO935" i="1"/>
  <c r="K935" i="1"/>
  <c r="AO934" i="1"/>
  <c r="K934" i="1"/>
  <c r="AO933" i="1"/>
  <c r="K933" i="1"/>
  <c r="AO932" i="1"/>
  <c r="K932" i="1"/>
  <c r="AO931" i="1"/>
  <c r="K931" i="1"/>
  <c r="AO930" i="1"/>
  <c r="K930" i="1"/>
  <c r="AO929" i="1"/>
  <c r="K929" i="1"/>
  <c r="AO928" i="1"/>
  <c r="K928" i="1"/>
  <c r="AO927" i="1"/>
  <c r="K927" i="1"/>
  <c r="AO926" i="1"/>
  <c r="K926" i="1"/>
  <c r="AO925" i="1"/>
  <c r="K925" i="1"/>
  <c r="AO924" i="1"/>
  <c r="K924" i="1"/>
  <c r="AO923" i="1"/>
  <c r="K923" i="1"/>
  <c r="AO922" i="1"/>
  <c r="K922" i="1"/>
  <c r="AO921" i="1"/>
  <c r="K921" i="1"/>
  <c r="AO920" i="1"/>
  <c r="K920" i="1"/>
  <c r="AO919" i="1"/>
  <c r="K919" i="1"/>
  <c r="AO918" i="1"/>
  <c r="K918" i="1"/>
  <c r="AO917" i="1"/>
  <c r="K917" i="1"/>
  <c r="AO916" i="1"/>
  <c r="K916" i="1"/>
  <c r="AO915" i="1"/>
  <c r="K915" i="1"/>
  <c r="AO914" i="1"/>
  <c r="K914" i="1"/>
  <c r="AO913" i="1"/>
  <c r="K913" i="1"/>
  <c r="AO912" i="1"/>
  <c r="K912" i="1"/>
  <c r="AO911" i="1"/>
  <c r="K911" i="1"/>
  <c r="AO910" i="1"/>
  <c r="K910" i="1"/>
  <c r="AO909" i="1"/>
  <c r="K909" i="1"/>
  <c r="AO908" i="1"/>
  <c r="K908" i="1"/>
  <c r="AO907" i="1"/>
  <c r="AV114" i="1" s="1"/>
  <c r="K907" i="1"/>
  <c r="AO906" i="1"/>
  <c r="K906" i="1"/>
  <c r="AO905" i="1"/>
  <c r="K905" i="1"/>
  <c r="AO904" i="1"/>
  <c r="K904" i="1"/>
  <c r="AO903" i="1"/>
  <c r="K903" i="1"/>
  <c r="AO902" i="1"/>
  <c r="K902" i="1"/>
  <c r="AO901" i="1"/>
  <c r="K901" i="1"/>
  <c r="AO900" i="1"/>
  <c r="K900" i="1"/>
  <c r="AO899" i="1"/>
  <c r="K899" i="1"/>
  <c r="AO898" i="1"/>
  <c r="K898" i="1"/>
  <c r="AO897" i="1"/>
  <c r="K897" i="1"/>
  <c r="AO896" i="1"/>
  <c r="K896" i="1"/>
  <c r="AO895" i="1"/>
  <c r="K895" i="1"/>
  <c r="AO894" i="1"/>
  <c r="K894" i="1"/>
  <c r="AO893" i="1"/>
  <c r="K893" i="1"/>
  <c r="AO892" i="1"/>
  <c r="K892" i="1"/>
  <c r="AO891" i="1"/>
  <c r="K891" i="1"/>
  <c r="AO890" i="1"/>
  <c r="K890" i="1"/>
  <c r="AO889" i="1"/>
  <c r="K889" i="1"/>
  <c r="AO888" i="1"/>
  <c r="K888" i="1"/>
  <c r="AO887" i="1"/>
  <c r="K887" i="1"/>
  <c r="AO886" i="1"/>
  <c r="K886" i="1"/>
  <c r="AO885" i="1"/>
  <c r="K885" i="1"/>
  <c r="AO884" i="1"/>
  <c r="K884" i="1"/>
  <c r="AO883" i="1"/>
  <c r="K883" i="1"/>
  <c r="AO882" i="1"/>
  <c r="K882" i="1"/>
  <c r="AO881" i="1"/>
  <c r="K881" i="1"/>
  <c r="AO880" i="1"/>
  <c r="K880" i="1"/>
  <c r="AO879" i="1"/>
  <c r="K879" i="1"/>
  <c r="AO878" i="1"/>
  <c r="K878" i="1"/>
  <c r="AO877" i="1"/>
  <c r="K877" i="1"/>
  <c r="AO876" i="1"/>
  <c r="K876" i="1"/>
  <c r="AO875" i="1"/>
  <c r="K875" i="1"/>
  <c r="AO874" i="1"/>
  <c r="K874" i="1"/>
  <c r="AO873" i="1"/>
  <c r="K873" i="1"/>
  <c r="AO872" i="1"/>
  <c r="K872" i="1"/>
  <c r="AO871" i="1"/>
  <c r="K871" i="1"/>
  <c r="AO870" i="1"/>
  <c r="K870" i="1"/>
  <c r="AO869" i="1"/>
  <c r="K869" i="1"/>
  <c r="AO868" i="1"/>
  <c r="K868" i="1"/>
  <c r="AO867" i="1"/>
  <c r="K867" i="1"/>
  <c r="AO866" i="1"/>
  <c r="K866" i="1"/>
  <c r="AO865" i="1"/>
  <c r="K865" i="1"/>
  <c r="AO864" i="1"/>
  <c r="K864" i="1"/>
  <c r="AO863" i="1"/>
  <c r="K863" i="1"/>
  <c r="AO862" i="1"/>
  <c r="K862" i="1"/>
  <c r="AO861" i="1"/>
  <c r="K861" i="1"/>
  <c r="AO860" i="1"/>
  <c r="K860" i="1"/>
  <c r="AO859" i="1"/>
  <c r="K859" i="1"/>
  <c r="AO858" i="1"/>
  <c r="K858" i="1"/>
  <c r="AO857" i="1"/>
  <c r="K857" i="1"/>
  <c r="AO856" i="1"/>
  <c r="K856" i="1"/>
  <c r="AO855" i="1"/>
  <c r="K855" i="1"/>
  <c r="AO854" i="1"/>
  <c r="K854" i="1"/>
  <c r="AO853" i="1"/>
  <c r="K853" i="1"/>
  <c r="AO852" i="1"/>
  <c r="K852" i="1"/>
  <c r="AO851" i="1"/>
  <c r="K851" i="1"/>
  <c r="AO850" i="1"/>
  <c r="K850" i="1"/>
  <c r="AO849" i="1"/>
  <c r="K849" i="1"/>
  <c r="AO848" i="1"/>
  <c r="K848" i="1"/>
  <c r="AO847" i="1"/>
  <c r="K847" i="1"/>
  <c r="AO846" i="1"/>
  <c r="K846" i="1"/>
  <c r="AO845" i="1"/>
  <c r="K845" i="1"/>
  <c r="AO844" i="1"/>
  <c r="K844" i="1"/>
  <c r="AO843" i="1"/>
  <c r="K843" i="1"/>
  <c r="AO842" i="1"/>
  <c r="K842" i="1"/>
  <c r="AO841" i="1"/>
  <c r="K841" i="1"/>
  <c r="AO840" i="1"/>
  <c r="K840" i="1"/>
  <c r="AO839" i="1"/>
  <c r="K839" i="1"/>
  <c r="AO838" i="1"/>
  <c r="K838" i="1"/>
  <c r="AO837" i="1"/>
  <c r="K837" i="1"/>
  <c r="AO836" i="1"/>
  <c r="K836" i="1"/>
  <c r="AO835" i="1"/>
  <c r="K835" i="1"/>
  <c r="AO834" i="1"/>
  <c r="K834" i="1"/>
  <c r="AO833" i="1"/>
  <c r="K833" i="1"/>
  <c r="AO832" i="1"/>
  <c r="K832" i="1"/>
  <c r="AO831" i="1"/>
  <c r="K831" i="1"/>
  <c r="AO830" i="1"/>
  <c r="K830" i="1"/>
  <c r="AO829" i="1"/>
  <c r="K829" i="1"/>
  <c r="AO828" i="1"/>
  <c r="K828" i="1"/>
  <c r="AO827" i="1"/>
  <c r="K827" i="1"/>
  <c r="AO826" i="1"/>
  <c r="K826" i="1"/>
  <c r="AO825" i="1"/>
  <c r="K825" i="1"/>
  <c r="AO824" i="1"/>
  <c r="K824" i="1"/>
  <c r="AO823" i="1"/>
  <c r="K823" i="1"/>
  <c r="AO822" i="1"/>
  <c r="K822" i="1"/>
  <c r="AO821" i="1"/>
  <c r="K821" i="1"/>
  <c r="AO820" i="1"/>
  <c r="K820" i="1"/>
  <c r="AO819" i="1"/>
  <c r="K819" i="1"/>
  <c r="AO818" i="1"/>
  <c r="K818" i="1"/>
  <c r="AO817" i="1"/>
  <c r="K817" i="1"/>
  <c r="AO816" i="1"/>
  <c r="K816" i="1"/>
  <c r="AO815" i="1"/>
  <c r="K815" i="1"/>
  <c r="AO814" i="1"/>
  <c r="K814" i="1"/>
  <c r="AO813" i="1"/>
  <c r="K813" i="1"/>
  <c r="AO812" i="1"/>
  <c r="K812" i="1"/>
  <c r="AO811" i="1"/>
  <c r="K811" i="1"/>
  <c r="AO810" i="1"/>
  <c r="K810" i="1"/>
  <c r="AO809" i="1"/>
  <c r="K809" i="1"/>
  <c r="AO808" i="1"/>
  <c r="K808" i="1"/>
  <c r="AO807" i="1"/>
  <c r="K807" i="1"/>
  <c r="AO806" i="1"/>
  <c r="K806" i="1"/>
  <c r="AO805" i="1"/>
  <c r="K805" i="1"/>
  <c r="AO804" i="1"/>
  <c r="K804" i="1"/>
  <c r="AO803" i="1"/>
  <c r="K803" i="1"/>
  <c r="AO802" i="1"/>
  <c r="K802" i="1"/>
  <c r="AO801" i="1"/>
  <c r="K801" i="1"/>
  <c r="AO800" i="1"/>
  <c r="K800" i="1"/>
  <c r="AO799" i="1"/>
  <c r="K799" i="1"/>
  <c r="AO798" i="1"/>
  <c r="K798" i="1"/>
  <c r="AO797" i="1"/>
  <c r="K797" i="1"/>
  <c r="AO796" i="1"/>
  <c r="K796" i="1"/>
  <c r="AO795" i="1"/>
  <c r="K795" i="1"/>
  <c r="AO794" i="1"/>
  <c r="K794" i="1"/>
  <c r="AO793" i="1"/>
  <c r="K793" i="1"/>
  <c r="AO792" i="1"/>
  <c r="K792" i="1"/>
  <c r="AO791" i="1"/>
  <c r="K791" i="1"/>
  <c r="AO790" i="1"/>
  <c r="K790" i="1"/>
  <c r="AO789" i="1"/>
  <c r="AS133" i="1" s="1"/>
  <c r="AS140" i="1" s="1"/>
  <c r="K789" i="1"/>
  <c r="AO788" i="1"/>
  <c r="K788" i="1"/>
  <c r="AO787" i="1"/>
  <c r="K787" i="1"/>
  <c r="AO786" i="1"/>
  <c r="K786" i="1"/>
  <c r="AO785" i="1"/>
  <c r="K785" i="1"/>
  <c r="AO784" i="1"/>
  <c r="K784" i="1"/>
  <c r="AO783" i="1"/>
  <c r="K783" i="1"/>
  <c r="AO782" i="1"/>
  <c r="K782" i="1"/>
  <c r="AO781" i="1"/>
  <c r="K781" i="1"/>
  <c r="AO780" i="1"/>
  <c r="K780" i="1"/>
  <c r="AO779" i="1"/>
  <c r="K779" i="1"/>
  <c r="AO778" i="1"/>
  <c r="K778" i="1"/>
  <c r="AO777" i="1"/>
  <c r="K777" i="1"/>
  <c r="AO776" i="1"/>
  <c r="K776" i="1"/>
  <c r="AO775" i="1"/>
  <c r="K775" i="1"/>
  <c r="AO774" i="1"/>
  <c r="K774" i="1"/>
  <c r="AO773" i="1"/>
  <c r="K773" i="1"/>
  <c r="AO772" i="1"/>
  <c r="K772" i="1"/>
  <c r="AO771" i="1"/>
  <c r="K771" i="1"/>
  <c r="AO770" i="1"/>
  <c r="K770" i="1"/>
  <c r="AO769" i="1"/>
  <c r="K769" i="1"/>
  <c r="AO768" i="1"/>
  <c r="K768" i="1"/>
  <c r="AO767" i="1"/>
  <c r="K767" i="1"/>
  <c r="AO766" i="1"/>
  <c r="K766" i="1"/>
  <c r="AO765" i="1"/>
  <c r="K765" i="1"/>
  <c r="AO764" i="1"/>
  <c r="K764" i="1"/>
  <c r="AO763" i="1"/>
  <c r="K763" i="1"/>
  <c r="AO762" i="1"/>
  <c r="K762" i="1"/>
  <c r="AO761" i="1"/>
  <c r="K761" i="1"/>
  <c r="AO760" i="1"/>
  <c r="K760" i="1"/>
  <c r="AO759" i="1"/>
  <c r="K759" i="1"/>
  <c r="AO758" i="1"/>
  <c r="K758" i="1"/>
  <c r="AO757" i="1"/>
  <c r="K757" i="1"/>
  <c r="AO756" i="1"/>
  <c r="K756" i="1"/>
  <c r="AO755" i="1"/>
  <c r="K755" i="1"/>
  <c r="AO754" i="1"/>
  <c r="K754" i="1"/>
  <c r="AO753" i="1"/>
  <c r="K753" i="1"/>
  <c r="AO752" i="1"/>
  <c r="K752" i="1"/>
  <c r="AO751" i="1"/>
  <c r="K751" i="1"/>
  <c r="AO750" i="1"/>
  <c r="K750" i="1"/>
  <c r="AO749" i="1"/>
  <c r="K749" i="1"/>
  <c r="AO748" i="1"/>
  <c r="K748" i="1"/>
  <c r="AO747" i="1"/>
  <c r="K747" i="1"/>
  <c r="AO746" i="1"/>
  <c r="K746" i="1"/>
  <c r="AO745" i="1"/>
  <c r="K745" i="1"/>
  <c r="AO744" i="1"/>
  <c r="K744" i="1"/>
  <c r="AO743" i="1"/>
  <c r="K743" i="1"/>
  <c r="AO742" i="1"/>
  <c r="K742" i="1"/>
  <c r="AO741" i="1"/>
  <c r="K741" i="1"/>
  <c r="AO740" i="1"/>
  <c r="K740" i="1"/>
  <c r="AO739" i="1"/>
  <c r="K739" i="1"/>
  <c r="AO738" i="1"/>
  <c r="K738" i="1"/>
  <c r="AO737" i="1"/>
  <c r="K737" i="1"/>
  <c r="AO736" i="1"/>
  <c r="K736" i="1"/>
  <c r="AO735" i="1"/>
  <c r="K735" i="1"/>
  <c r="AO734" i="1"/>
  <c r="K734" i="1"/>
  <c r="AO733" i="1"/>
  <c r="K733" i="1"/>
  <c r="AO732" i="1"/>
  <c r="K732" i="1"/>
  <c r="AO731" i="1"/>
  <c r="K731" i="1"/>
  <c r="AO730" i="1"/>
  <c r="K730" i="1"/>
  <c r="AO729" i="1"/>
  <c r="K729" i="1"/>
  <c r="AO728" i="1"/>
  <c r="K728" i="1"/>
  <c r="AO727" i="1"/>
  <c r="K727" i="1"/>
  <c r="AO726" i="1"/>
  <c r="K726" i="1"/>
  <c r="AO725" i="1"/>
  <c r="K725" i="1"/>
  <c r="AO724" i="1"/>
  <c r="K724" i="1"/>
  <c r="AO723" i="1"/>
  <c r="K723" i="1"/>
  <c r="AO722" i="1"/>
  <c r="K722" i="1"/>
  <c r="AO721" i="1"/>
  <c r="K721" i="1"/>
  <c r="AO720" i="1"/>
  <c r="K720" i="1"/>
  <c r="AO719" i="1"/>
  <c r="K719" i="1"/>
  <c r="AO718" i="1"/>
  <c r="K718" i="1"/>
  <c r="AO717" i="1"/>
  <c r="K717" i="1"/>
  <c r="AO716" i="1"/>
  <c r="K716" i="1"/>
  <c r="AO715" i="1"/>
  <c r="K715" i="1"/>
  <c r="AO714" i="1"/>
  <c r="K714" i="1"/>
  <c r="AO713" i="1"/>
  <c r="K713" i="1"/>
  <c r="AO712" i="1"/>
  <c r="K712" i="1"/>
  <c r="AO711" i="1"/>
  <c r="K711" i="1"/>
  <c r="AT113" i="1" s="1"/>
  <c r="AO710" i="1"/>
  <c r="K710" i="1"/>
  <c r="AO709" i="1"/>
  <c r="K709" i="1"/>
  <c r="AO708" i="1"/>
  <c r="K708" i="1"/>
  <c r="AO707" i="1"/>
  <c r="K707" i="1"/>
  <c r="AO706" i="1"/>
  <c r="K706" i="1"/>
  <c r="AO705" i="1"/>
  <c r="K705" i="1"/>
  <c r="AO704" i="1"/>
  <c r="K704" i="1"/>
  <c r="AO703" i="1"/>
  <c r="K703" i="1"/>
  <c r="AO702" i="1"/>
  <c r="K702" i="1"/>
  <c r="AO701" i="1"/>
  <c r="K701" i="1"/>
  <c r="AO700" i="1"/>
  <c r="K700" i="1"/>
  <c r="AO699" i="1"/>
  <c r="K699" i="1"/>
  <c r="AO698" i="1"/>
  <c r="K698" i="1"/>
  <c r="AO697" i="1"/>
  <c r="K697" i="1"/>
  <c r="AO696" i="1"/>
  <c r="K696" i="1"/>
  <c r="AO695" i="1"/>
  <c r="K695" i="1"/>
  <c r="AO694" i="1"/>
  <c r="K694" i="1"/>
  <c r="AO693" i="1"/>
  <c r="K693" i="1"/>
  <c r="AO692" i="1"/>
  <c r="K692" i="1"/>
  <c r="AO691" i="1"/>
  <c r="K691" i="1"/>
  <c r="AO690" i="1"/>
  <c r="K690" i="1"/>
  <c r="AO689" i="1"/>
  <c r="K689" i="1"/>
  <c r="AO688" i="1"/>
  <c r="K688" i="1"/>
  <c r="AO687" i="1"/>
  <c r="K687" i="1"/>
  <c r="AO686" i="1"/>
  <c r="K686" i="1"/>
  <c r="AO685" i="1"/>
  <c r="K685" i="1"/>
  <c r="AO684" i="1"/>
  <c r="K684" i="1"/>
  <c r="AO683" i="1"/>
  <c r="K683" i="1"/>
  <c r="AO682" i="1"/>
  <c r="K682" i="1"/>
  <c r="AO681" i="1"/>
  <c r="K681" i="1"/>
  <c r="AO680" i="1"/>
  <c r="K680" i="1"/>
  <c r="AO679" i="1"/>
  <c r="K679" i="1"/>
  <c r="AO678" i="1"/>
  <c r="K678" i="1"/>
  <c r="AO677" i="1"/>
  <c r="K677" i="1"/>
  <c r="AO676" i="1"/>
  <c r="K676" i="1"/>
  <c r="AO675" i="1"/>
  <c r="K675" i="1"/>
  <c r="AO674" i="1"/>
  <c r="K674" i="1"/>
  <c r="AO673" i="1"/>
  <c r="K673" i="1"/>
  <c r="AO672" i="1"/>
  <c r="K672" i="1"/>
  <c r="AO671" i="1"/>
  <c r="K671" i="1"/>
  <c r="AO670" i="1"/>
  <c r="K670" i="1"/>
  <c r="AO669" i="1"/>
  <c r="K669" i="1"/>
  <c r="AO668" i="1"/>
  <c r="K668" i="1"/>
  <c r="AO667" i="1"/>
  <c r="K667" i="1"/>
  <c r="AO666" i="1"/>
  <c r="K666" i="1"/>
  <c r="AO665" i="1"/>
  <c r="K665" i="1"/>
  <c r="AO664" i="1"/>
  <c r="K664" i="1"/>
  <c r="AO663" i="1"/>
  <c r="K663" i="1"/>
  <c r="AO662" i="1"/>
  <c r="K662" i="1"/>
  <c r="AO661" i="1"/>
  <c r="K661" i="1"/>
  <c r="AO660" i="1"/>
  <c r="K660" i="1"/>
  <c r="AO659" i="1"/>
  <c r="K659" i="1"/>
  <c r="AO658" i="1"/>
  <c r="K658" i="1"/>
  <c r="AO657" i="1"/>
  <c r="K657" i="1"/>
  <c r="AO656" i="1"/>
  <c r="K656" i="1"/>
  <c r="AO655" i="1"/>
  <c r="K655" i="1"/>
  <c r="AO654" i="1"/>
  <c r="K654" i="1"/>
  <c r="AO653" i="1"/>
  <c r="K653" i="1"/>
  <c r="AO652" i="1"/>
  <c r="K652" i="1"/>
  <c r="AO651" i="1"/>
  <c r="K651" i="1"/>
  <c r="AO650" i="1"/>
  <c r="K650" i="1"/>
  <c r="AO649" i="1"/>
  <c r="K649" i="1"/>
  <c r="AO648" i="1"/>
  <c r="K648" i="1"/>
  <c r="AO647" i="1"/>
  <c r="K647" i="1"/>
  <c r="AO646" i="1"/>
  <c r="K646" i="1"/>
  <c r="AO645" i="1"/>
  <c r="K645" i="1"/>
  <c r="AO644" i="1"/>
  <c r="K644" i="1"/>
  <c r="AO643" i="1"/>
  <c r="K643" i="1"/>
  <c r="AO642" i="1"/>
  <c r="K642" i="1"/>
  <c r="AO641" i="1"/>
  <c r="K641" i="1"/>
  <c r="AO640" i="1"/>
  <c r="K640" i="1"/>
  <c r="AO639" i="1"/>
  <c r="K639" i="1"/>
  <c r="AO638" i="1"/>
  <c r="K638" i="1"/>
  <c r="AO637" i="1"/>
  <c r="K637" i="1"/>
  <c r="AO636" i="1"/>
  <c r="K636" i="1"/>
  <c r="AO635" i="1"/>
  <c r="K635" i="1"/>
  <c r="AO634" i="1"/>
  <c r="K634" i="1"/>
  <c r="AO633" i="1"/>
  <c r="K633" i="1"/>
  <c r="AO632" i="1"/>
  <c r="K632" i="1"/>
  <c r="AO631" i="1"/>
  <c r="K631" i="1"/>
  <c r="AO630" i="1"/>
  <c r="K630" i="1"/>
  <c r="AO629" i="1"/>
  <c r="K629" i="1"/>
  <c r="AO628" i="1"/>
  <c r="K628" i="1"/>
  <c r="AO627" i="1"/>
  <c r="K627" i="1"/>
  <c r="AO626" i="1"/>
  <c r="K626" i="1"/>
  <c r="AO625" i="1"/>
  <c r="K625" i="1"/>
  <c r="AO624" i="1"/>
  <c r="K624" i="1"/>
  <c r="AO623" i="1"/>
  <c r="K623" i="1"/>
  <c r="AO622" i="1"/>
  <c r="K622" i="1"/>
  <c r="AO621" i="1"/>
  <c r="K621" i="1"/>
  <c r="AO620" i="1"/>
  <c r="K620" i="1"/>
  <c r="AO619" i="1"/>
  <c r="K619" i="1"/>
  <c r="AO618" i="1"/>
  <c r="K618" i="1"/>
  <c r="AO617" i="1"/>
  <c r="K617" i="1"/>
  <c r="AO616" i="1"/>
  <c r="K616" i="1"/>
  <c r="AO615" i="1"/>
  <c r="K615" i="1"/>
  <c r="AO614" i="1"/>
  <c r="K614" i="1"/>
  <c r="AO613" i="1"/>
  <c r="K613" i="1"/>
  <c r="AO612" i="1"/>
  <c r="K612" i="1"/>
  <c r="AO611" i="1"/>
  <c r="K611" i="1"/>
  <c r="AO610" i="1"/>
  <c r="K610" i="1"/>
  <c r="AO609" i="1"/>
  <c r="K609" i="1"/>
  <c r="AO608" i="1"/>
  <c r="K608" i="1"/>
  <c r="AO607" i="1"/>
  <c r="K607" i="1"/>
  <c r="AO606" i="1"/>
  <c r="K606" i="1"/>
  <c r="AO605" i="1"/>
  <c r="K605" i="1"/>
  <c r="AO604" i="1"/>
  <c r="K604" i="1"/>
  <c r="AO603" i="1"/>
  <c r="K603" i="1"/>
  <c r="AO602" i="1"/>
  <c r="K602" i="1"/>
  <c r="AO601" i="1"/>
  <c r="K601" i="1"/>
  <c r="AO600" i="1"/>
  <c r="K600" i="1"/>
  <c r="AO599" i="1"/>
  <c r="K599" i="1"/>
  <c r="AO598" i="1"/>
  <c r="K598" i="1"/>
  <c r="AO597" i="1"/>
  <c r="K597" i="1"/>
  <c r="AO596" i="1"/>
  <c r="K596" i="1"/>
  <c r="AO595" i="1"/>
  <c r="K595" i="1"/>
  <c r="AO594" i="1"/>
  <c r="K594" i="1"/>
  <c r="AO593" i="1"/>
  <c r="K593" i="1"/>
  <c r="AO592" i="1"/>
  <c r="K592" i="1"/>
  <c r="AO591" i="1"/>
  <c r="K591" i="1"/>
  <c r="AO590" i="1"/>
  <c r="K590" i="1"/>
  <c r="AO589" i="1"/>
  <c r="K589" i="1"/>
  <c r="AO588" i="1"/>
  <c r="K588" i="1"/>
  <c r="AO587" i="1"/>
  <c r="K587" i="1"/>
  <c r="AO586" i="1"/>
  <c r="K586" i="1"/>
  <c r="AO585" i="1"/>
  <c r="K585" i="1"/>
  <c r="AO584" i="1"/>
  <c r="K584" i="1"/>
  <c r="AO583" i="1"/>
  <c r="K583" i="1"/>
  <c r="AO582" i="1"/>
  <c r="K582" i="1"/>
  <c r="AO581" i="1"/>
  <c r="K581" i="1"/>
  <c r="AO580" i="1"/>
  <c r="K580" i="1"/>
  <c r="AO579" i="1"/>
  <c r="K579" i="1"/>
  <c r="AO578" i="1"/>
  <c r="K578" i="1"/>
  <c r="AO577" i="1"/>
  <c r="K577" i="1"/>
  <c r="AO576" i="1"/>
  <c r="K576" i="1"/>
  <c r="AO575" i="1"/>
  <c r="K575" i="1"/>
  <c r="AO574" i="1"/>
  <c r="K574" i="1"/>
  <c r="AO573" i="1"/>
  <c r="K573" i="1"/>
  <c r="AO572" i="1"/>
  <c r="K572" i="1"/>
  <c r="AO571" i="1"/>
  <c r="K571" i="1"/>
  <c r="AO570" i="1"/>
  <c r="K570" i="1"/>
  <c r="AO569" i="1"/>
  <c r="K569" i="1"/>
  <c r="AO568" i="1"/>
  <c r="K568" i="1"/>
  <c r="AO567" i="1"/>
  <c r="K567" i="1"/>
  <c r="AO566" i="1"/>
  <c r="K566" i="1"/>
  <c r="AO565" i="1"/>
  <c r="K565" i="1"/>
  <c r="AO564" i="1"/>
  <c r="K564" i="1"/>
  <c r="AO563" i="1"/>
  <c r="K563" i="1"/>
  <c r="AO562" i="1"/>
  <c r="K562" i="1"/>
  <c r="AO561" i="1"/>
  <c r="K561" i="1"/>
  <c r="AO560" i="1"/>
  <c r="K560" i="1"/>
  <c r="AO559" i="1"/>
  <c r="K559" i="1"/>
  <c r="AO558" i="1"/>
  <c r="K558" i="1"/>
  <c r="AO557" i="1"/>
  <c r="K557" i="1"/>
  <c r="AO556" i="1"/>
  <c r="K556" i="1"/>
  <c r="AO555" i="1"/>
  <c r="K555" i="1"/>
  <c r="AO554" i="1"/>
  <c r="K554" i="1"/>
  <c r="AO553" i="1"/>
  <c r="K553" i="1"/>
  <c r="AO552" i="1"/>
  <c r="K552" i="1"/>
  <c r="AO551" i="1"/>
  <c r="K551" i="1"/>
  <c r="AO550" i="1"/>
  <c r="K550" i="1"/>
  <c r="AO549" i="1"/>
  <c r="K549" i="1"/>
  <c r="AO548" i="1"/>
  <c r="K548" i="1"/>
  <c r="AO547" i="1"/>
  <c r="K547" i="1"/>
  <c r="AO546" i="1"/>
  <c r="K546" i="1"/>
  <c r="AO545" i="1"/>
  <c r="K545" i="1"/>
  <c r="AO544" i="1"/>
  <c r="K544" i="1"/>
  <c r="AO543" i="1"/>
  <c r="K543" i="1"/>
  <c r="AO542" i="1"/>
  <c r="K542" i="1"/>
  <c r="AO541" i="1"/>
  <c r="K541" i="1"/>
  <c r="AO540" i="1"/>
  <c r="K540" i="1"/>
  <c r="AO539" i="1"/>
  <c r="K539" i="1"/>
  <c r="AO538" i="1"/>
  <c r="K538" i="1"/>
  <c r="AO537" i="1"/>
  <c r="K537" i="1"/>
  <c r="AO536" i="1"/>
  <c r="K536" i="1"/>
  <c r="AO535" i="1"/>
  <c r="K535" i="1"/>
  <c r="AO534" i="1"/>
  <c r="K534" i="1"/>
  <c r="AO533" i="1"/>
  <c r="K533" i="1"/>
  <c r="AO532" i="1"/>
  <c r="K532" i="1"/>
  <c r="AO531" i="1"/>
  <c r="K531" i="1"/>
  <c r="AO530" i="1"/>
  <c r="K530" i="1"/>
  <c r="AO529" i="1"/>
  <c r="K529" i="1"/>
  <c r="AO528" i="1"/>
  <c r="K528" i="1"/>
  <c r="AO527" i="1"/>
  <c r="K527" i="1"/>
  <c r="AO526" i="1"/>
  <c r="K526" i="1"/>
  <c r="AO525" i="1"/>
  <c r="K525" i="1"/>
  <c r="AO524" i="1"/>
  <c r="K524" i="1"/>
  <c r="AO523" i="1"/>
  <c r="K523" i="1"/>
  <c r="AO522" i="1"/>
  <c r="K522" i="1"/>
  <c r="AO521" i="1"/>
  <c r="K521" i="1"/>
  <c r="AO520" i="1"/>
  <c r="K520" i="1"/>
  <c r="AO519" i="1"/>
  <c r="K519" i="1"/>
  <c r="AO518" i="1"/>
  <c r="K518" i="1"/>
  <c r="AO517" i="1"/>
  <c r="K517" i="1"/>
  <c r="AO516" i="1"/>
  <c r="K516" i="1"/>
  <c r="AO515" i="1"/>
  <c r="K515" i="1"/>
  <c r="AO514" i="1"/>
  <c r="K514" i="1"/>
  <c r="AO513" i="1"/>
  <c r="K513" i="1"/>
  <c r="AO512" i="1"/>
  <c r="K512" i="1"/>
  <c r="AO511" i="1"/>
  <c r="K511" i="1"/>
  <c r="AO510" i="1"/>
  <c r="K510" i="1"/>
  <c r="AO509" i="1"/>
  <c r="K509" i="1"/>
  <c r="AO508" i="1"/>
  <c r="K508" i="1"/>
  <c r="AO507" i="1"/>
  <c r="K507" i="1"/>
  <c r="AO506" i="1"/>
  <c r="K506" i="1"/>
  <c r="AO505" i="1"/>
  <c r="K505" i="1"/>
  <c r="AO504" i="1"/>
  <c r="K504" i="1"/>
  <c r="AO503" i="1"/>
  <c r="K503" i="1"/>
  <c r="AO502" i="1"/>
  <c r="K502" i="1"/>
  <c r="AO501" i="1"/>
  <c r="K501" i="1"/>
  <c r="AO500" i="1"/>
  <c r="K500" i="1"/>
  <c r="AO499" i="1"/>
  <c r="K499" i="1"/>
  <c r="AO498" i="1"/>
  <c r="K498" i="1"/>
  <c r="AO497" i="1"/>
  <c r="K497" i="1"/>
  <c r="AO496" i="1"/>
  <c r="K496" i="1"/>
  <c r="AO495" i="1"/>
  <c r="K495" i="1"/>
  <c r="AO494" i="1"/>
  <c r="K494" i="1"/>
  <c r="AO493" i="1"/>
  <c r="K493" i="1"/>
  <c r="AO492" i="1"/>
  <c r="K492" i="1"/>
  <c r="AO491" i="1"/>
  <c r="K491" i="1"/>
  <c r="AO490" i="1"/>
  <c r="K490" i="1"/>
  <c r="AO489" i="1"/>
  <c r="K489" i="1"/>
  <c r="AO488" i="1"/>
  <c r="K488" i="1"/>
  <c r="AO487" i="1"/>
  <c r="K487" i="1"/>
  <c r="AO486" i="1"/>
  <c r="K486" i="1"/>
  <c r="AO485" i="1"/>
  <c r="K485" i="1"/>
  <c r="AO484" i="1"/>
  <c r="K484" i="1"/>
  <c r="AO483" i="1"/>
  <c r="K483" i="1"/>
  <c r="AO482" i="1"/>
  <c r="K482" i="1"/>
  <c r="AO481" i="1"/>
  <c r="K481" i="1"/>
  <c r="AO480" i="1"/>
  <c r="K480" i="1"/>
  <c r="AO479" i="1"/>
  <c r="K479" i="1"/>
  <c r="AO478" i="1"/>
  <c r="K478" i="1"/>
  <c r="AO477" i="1"/>
  <c r="K477" i="1"/>
  <c r="AO476" i="1"/>
  <c r="K476" i="1"/>
  <c r="AO475" i="1"/>
  <c r="K475" i="1"/>
  <c r="AO474" i="1"/>
  <c r="K474" i="1"/>
  <c r="AO473" i="1"/>
  <c r="K473" i="1"/>
  <c r="AO472" i="1"/>
  <c r="K472" i="1"/>
  <c r="AO471" i="1"/>
  <c r="K471" i="1"/>
  <c r="AO470" i="1"/>
  <c r="K470" i="1"/>
  <c r="AO469" i="1"/>
  <c r="K469" i="1"/>
  <c r="AO468" i="1"/>
  <c r="K468" i="1"/>
  <c r="AO467" i="1"/>
  <c r="K467" i="1"/>
  <c r="AO466" i="1"/>
  <c r="K466" i="1"/>
  <c r="AO465" i="1"/>
  <c r="K465" i="1"/>
  <c r="AO464" i="1"/>
  <c r="K464" i="1"/>
  <c r="AO463" i="1"/>
  <c r="K463" i="1"/>
  <c r="AO462" i="1"/>
  <c r="K462" i="1"/>
  <c r="AO461" i="1"/>
  <c r="K461" i="1"/>
  <c r="AO460" i="1"/>
  <c r="K460" i="1"/>
  <c r="AO459" i="1"/>
  <c r="K459" i="1"/>
  <c r="AO458" i="1"/>
  <c r="K458" i="1"/>
  <c r="AO457" i="1"/>
  <c r="K457" i="1"/>
  <c r="AO456" i="1"/>
  <c r="K456" i="1"/>
  <c r="AO455" i="1"/>
  <c r="K455" i="1"/>
  <c r="AO454" i="1"/>
  <c r="K454" i="1"/>
  <c r="AO453" i="1"/>
  <c r="K453" i="1"/>
  <c r="AO452" i="1"/>
  <c r="K452" i="1"/>
  <c r="AO451" i="1"/>
  <c r="K451" i="1"/>
  <c r="AO450" i="1"/>
  <c r="K450" i="1"/>
  <c r="AO449" i="1"/>
  <c r="K449" i="1"/>
  <c r="AO448" i="1"/>
  <c r="K448" i="1"/>
  <c r="AO447" i="1"/>
  <c r="K447" i="1"/>
  <c r="AO446" i="1"/>
  <c r="K446" i="1"/>
  <c r="AO445" i="1"/>
  <c r="K445" i="1"/>
  <c r="AO444" i="1"/>
  <c r="K444" i="1"/>
  <c r="AO443" i="1"/>
  <c r="K443" i="1"/>
  <c r="AO442" i="1"/>
  <c r="K442" i="1"/>
  <c r="AO441" i="1"/>
  <c r="K441" i="1"/>
  <c r="AO440" i="1"/>
  <c r="K440" i="1"/>
  <c r="AO439" i="1"/>
  <c r="K439" i="1"/>
  <c r="AO438" i="1"/>
  <c r="K438" i="1"/>
  <c r="AO437" i="1"/>
  <c r="K437" i="1"/>
  <c r="AO436" i="1"/>
  <c r="K436" i="1"/>
  <c r="AO435" i="1"/>
  <c r="K435" i="1"/>
  <c r="AO434" i="1"/>
  <c r="K434" i="1"/>
  <c r="AO433" i="1"/>
  <c r="K433" i="1"/>
  <c r="AO432" i="1"/>
  <c r="K432" i="1"/>
  <c r="AO431" i="1"/>
  <c r="K431" i="1"/>
  <c r="AO430" i="1"/>
  <c r="K430" i="1"/>
  <c r="AO429" i="1"/>
  <c r="K429" i="1"/>
  <c r="AO428" i="1"/>
  <c r="K428" i="1"/>
  <c r="AO427" i="1"/>
  <c r="AS132" i="1" s="1"/>
  <c r="AS139" i="1" s="1"/>
  <c r="K427" i="1"/>
  <c r="AO426" i="1"/>
  <c r="K426" i="1"/>
  <c r="AO425" i="1"/>
  <c r="K425" i="1"/>
  <c r="AO424" i="1"/>
  <c r="K424" i="1"/>
  <c r="AO423" i="1"/>
  <c r="K423" i="1"/>
  <c r="AO422" i="1"/>
  <c r="K422" i="1"/>
  <c r="AO421" i="1"/>
  <c r="K421" i="1"/>
  <c r="AO420" i="1"/>
  <c r="K420" i="1"/>
  <c r="AO419" i="1"/>
  <c r="K419" i="1"/>
  <c r="AO418" i="1"/>
  <c r="K418" i="1"/>
  <c r="AO417" i="1"/>
  <c r="K417" i="1"/>
  <c r="AO416" i="1"/>
  <c r="K416" i="1"/>
  <c r="AO415" i="1"/>
  <c r="K415" i="1"/>
  <c r="AO414" i="1"/>
  <c r="K414" i="1"/>
  <c r="AO413" i="1"/>
  <c r="K413" i="1"/>
  <c r="AO412" i="1"/>
  <c r="K412" i="1"/>
  <c r="AO411" i="1"/>
  <c r="K411" i="1"/>
  <c r="AO410" i="1"/>
  <c r="K410" i="1"/>
  <c r="AO409" i="1"/>
  <c r="K409" i="1"/>
  <c r="AO408" i="1"/>
  <c r="K408" i="1"/>
  <c r="AO407" i="1"/>
  <c r="K407" i="1"/>
  <c r="AO406" i="1"/>
  <c r="K406" i="1"/>
  <c r="AO405" i="1"/>
  <c r="K405" i="1"/>
  <c r="AO404" i="1"/>
  <c r="K404" i="1"/>
  <c r="AO403" i="1"/>
  <c r="K403" i="1"/>
  <c r="AO402" i="1"/>
  <c r="K402" i="1"/>
  <c r="AV112" i="1" s="1"/>
  <c r="AO401" i="1"/>
  <c r="K401" i="1"/>
  <c r="AO400" i="1"/>
  <c r="K400" i="1"/>
  <c r="AO399" i="1"/>
  <c r="K399" i="1"/>
  <c r="AO398" i="1"/>
  <c r="K398" i="1"/>
  <c r="AO397" i="1"/>
  <c r="K397" i="1"/>
  <c r="AO396" i="1"/>
  <c r="K396" i="1"/>
  <c r="AO395" i="1"/>
  <c r="K395" i="1"/>
  <c r="AO394" i="1"/>
  <c r="K394" i="1"/>
  <c r="AO393" i="1"/>
  <c r="K393" i="1"/>
  <c r="AO392" i="1"/>
  <c r="K392" i="1"/>
  <c r="AO391" i="1"/>
  <c r="K391" i="1"/>
  <c r="AO390" i="1"/>
  <c r="K390" i="1"/>
  <c r="AO389" i="1"/>
  <c r="K389" i="1"/>
  <c r="AO388" i="1"/>
  <c r="K388" i="1"/>
  <c r="AO387" i="1"/>
  <c r="K387" i="1"/>
  <c r="AO386" i="1"/>
  <c r="K386" i="1"/>
  <c r="AO385" i="1"/>
  <c r="K385" i="1"/>
  <c r="AO384" i="1"/>
  <c r="K384" i="1"/>
  <c r="AO383" i="1"/>
  <c r="K383" i="1"/>
  <c r="AO382" i="1"/>
  <c r="K382" i="1"/>
  <c r="AO381" i="1"/>
  <c r="K381" i="1"/>
  <c r="AO380" i="1"/>
  <c r="K380" i="1"/>
  <c r="AO379" i="1"/>
  <c r="K379" i="1"/>
  <c r="AO378" i="1"/>
  <c r="K378" i="1"/>
  <c r="AO377" i="1"/>
  <c r="K377" i="1"/>
  <c r="AO376" i="1"/>
  <c r="K376" i="1"/>
  <c r="AO375" i="1"/>
  <c r="K375" i="1"/>
  <c r="AO374" i="1"/>
  <c r="K374" i="1"/>
  <c r="AO373" i="1"/>
  <c r="K373" i="1"/>
  <c r="AO372" i="1"/>
  <c r="K372" i="1"/>
  <c r="AO371" i="1"/>
  <c r="K371" i="1"/>
  <c r="AO370" i="1"/>
  <c r="K370" i="1"/>
  <c r="AO369" i="1"/>
  <c r="K369" i="1"/>
  <c r="AO368" i="1"/>
  <c r="K368" i="1"/>
  <c r="AO367" i="1"/>
  <c r="K367" i="1"/>
  <c r="AO366" i="1"/>
  <c r="K366" i="1"/>
  <c r="AO365" i="1"/>
  <c r="K365" i="1"/>
  <c r="AO364" i="1"/>
  <c r="K364" i="1"/>
  <c r="AO363" i="1"/>
  <c r="K363" i="1"/>
  <c r="AO362" i="1"/>
  <c r="K362" i="1"/>
  <c r="AO361" i="1"/>
  <c r="K361" i="1"/>
  <c r="AO360" i="1"/>
  <c r="K360" i="1"/>
  <c r="AO359" i="1"/>
  <c r="K359" i="1"/>
  <c r="AO358" i="1"/>
  <c r="K358" i="1"/>
  <c r="AO357" i="1"/>
  <c r="K357" i="1"/>
  <c r="AO356" i="1"/>
  <c r="K356" i="1"/>
  <c r="AO355" i="1"/>
  <c r="K355" i="1"/>
  <c r="AO354" i="1"/>
  <c r="K354" i="1"/>
  <c r="AO353" i="1"/>
  <c r="K353" i="1"/>
  <c r="AO352" i="1"/>
  <c r="K352" i="1"/>
  <c r="AO351" i="1"/>
  <c r="K351" i="1"/>
  <c r="AO350" i="1"/>
  <c r="K350" i="1"/>
  <c r="AO349" i="1"/>
  <c r="K349" i="1"/>
  <c r="AO348" i="1"/>
  <c r="K348" i="1"/>
  <c r="AO347" i="1"/>
  <c r="K347" i="1"/>
  <c r="AO346" i="1"/>
  <c r="K346" i="1"/>
  <c r="AO345" i="1"/>
  <c r="K345" i="1"/>
  <c r="AO344" i="1"/>
  <c r="K344" i="1"/>
  <c r="AO343" i="1"/>
  <c r="K343" i="1"/>
  <c r="AO342" i="1"/>
  <c r="K342" i="1"/>
  <c r="AO341" i="1"/>
  <c r="K341" i="1"/>
  <c r="AO340" i="1"/>
  <c r="K340" i="1"/>
  <c r="AO339" i="1"/>
  <c r="K339" i="1"/>
  <c r="AO338" i="1"/>
  <c r="K338" i="1"/>
  <c r="AO337" i="1"/>
  <c r="K337" i="1"/>
  <c r="AO336" i="1"/>
  <c r="K336" i="1"/>
  <c r="AO335" i="1"/>
  <c r="K335" i="1"/>
  <c r="AO334" i="1"/>
  <c r="K334" i="1"/>
  <c r="AO333" i="1"/>
  <c r="K333" i="1"/>
  <c r="AO332" i="1"/>
  <c r="K332" i="1"/>
  <c r="AO331" i="1"/>
  <c r="K331" i="1"/>
  <c r="AO330" i="1"/>
  <c r="K330" i="1"/>
  <c r="AO329" i="1"/>
  <c r="K329" i="1"/>
  <c r="AO328" i="1"/>
  <c r="K328" i="1"/>
  <c r="AO327" i="1"/>
  <c r="K327" i="1"/>
  <c r="AO326" i="1"/>
  <c r="K326" i="1"/>
  <c r="AO325" i="1"/>
  <c r="K325" i="1"/>
  <c r="AO324" i="1"/>
  <c r="K324" i="1"/>
  <c r="AO323" i="1"/>
  <c r="K323" i="1"/>
  <c r="AO322" i="1"/>
  <c r="K322" i="1"/>
  <c r="AO321" i="1"/>
  <c r="K321" i="1"/>
  <c r="AO320" i="1"/>
  <c r="K320" i="1"/>
  <c r="AO319" i="1"/>
  <c r="K319" i="1"/>
  <c r="AO318" i="1"/>
  <c r="K318" i="1"/>
  <c r="AO317" i="1"/>
  <c r="K317" i="1"/>
  <c r="AO316" i="1"/>
  <c r="K316" i="1"/>
  <c r="AO315" i="1"/>
  <c r="K315" i="1"/>
  <c r="AO314" i="1"/>
  <c r="K314" i="1"/>
  <c r="AO313" i="1"/>
  <c r="K313" i="1"/>
  <c r="AO312" i="1"/>
  <c r="K312" i="1"/>
  <c r="AO311" i="1"/>
  <c r="K311" i="1"/>
  <c r="AO310" i="1"/>
  <c r="K310" i="1"/>
  <c r="AO309" i="1"/>
  <c r="K309" i="1"/>
  <c r="AO308" i="1"/>
  <c r="K308" i="1"/>
  <c r="AO307" i="1"/>
  <c r="K307" i="1"/>
  <c r="AO306" i="1"/>
  <c r="K306" i="1"/>
  <c r="AO305" i="1"/>
  <c r="K305" i="1"/>
  <c r="AO304" i="1"/>
  <c r="K304" i="1"/>
  <c r="AO303" i="1"/>
  <c r="K303" i="1"/>
  <c r="AO302" i="1"/>
  <c r="K302" i="1"/>
  <c r="AO301" i="1"/>
  <c r="K301" i="1"/>
  <c r="AO300" i="1"/>
  <c r="K300" i="1"/>
  <c r="AO299" i="1"/>
  <c r="K299" i="1"/>
  <c r="AO298" i="1"/>
  <c r="K298" i="1"/>
  <c r="AO297" i="1"/>
  <c r="K297" i="1"/>
  <c r="AO296" i="1"/>
  <c r="K296" i="1"/>
  <c r="AO295" i="1"/>
  <c r="K295" i="1"/>
  <c r="AO294" i="1"/>
  <c r="K294" i="1"/>
  <c r="AO293" i="1"/>
  <c r="K293" i="1"/>
  <c r="AO292" i="1"/>
  <c r="K292" i="1"/>
  <c r="AO291" i="1"/>
  <c r="K291" i="1"/>
  <c r="AO290" i="1"/>
  <c r="K290" i="1"/>
  <c r="AO289" i="1"/>
  <c r="K289" i="1"/>
  <c r="AO288" i="1"/>
  <c r="K288" i="1"/>
  <c r="AO287" i="1"/>
  <c r="K287" i="1"/>
  <c r="AO286" i="1"/>
  <c r="K286" i="1"/>
  <c r="AO285" i="1"/>
  <c r="K285" i="1"/>
  <c r="AO284" i="1"/>
  <c r="K284" i="1"/>
  <c r="AO283" i="1"/>
  <c r="K283" i="1"/>
  <c r="AO282" i="1"/>
  <c r="K282" i="1"/>
  <c r="AO281" i="1"/>
  <c r="K281" i="1"/>
  <c r="AO280" i="1"/>
  <c r="K280" i="1"/>
  <c r="AO279" i="1"/>
  <c r="K279" i="1"/>
  <c r="AO278" i="1"/>
  <c r="K278" i="1"/>
  <c r="AO277" i="1"/>
  <c r="K277" i="1"/>
  <c r="AO276" i="1"/>
  <c r="K276" i="1"/>
  <c r="AO275" i="1"/>
  <c r="K275" i="1"/>
  <c r="AO274" i="1"/>
  <c r="K274" i="1"/>
  <c r="AO273" i="1"/>
  <c r="K273" i="1"/>
  <c r="AO272" i="1"/>
  <c r="K272" i="1"/>
  <c r="AO271" i="1"/>
  <c r="K271" i="1"/>
  <c r="AO270" i="1"/>
  <c r="K270" i="1"/>
  <c r="AO269" i="1"/>
  <c r="K269" i="1"/>
  <c r="AO268" i="1"/>
  <c r="K268" i="1"/>
  <c r="AO267" i="1"/>
  <c r="K267" i="1"/>
  <c r="AO266" i="1"/>
  <c r="K266" i="1"/>
  <c r="AO265" i="1"/>
  <c r="K265" i="1"/>
  <c r="AO264" i="1"/>
  <c r="K264" i="1"/>
  <c r="AO263" i="1"/>
  <c r="K263" i="1"/>
  <c r="AO262" i="1"/>
  <c r="K262" i="1"/>
  <c r="AO261" i="1"/>
  <c r="K261" i="1"/>
  <c r="AO260" i="1"/>
  <c r="K260" i="1"/>
  <c r="AO259" i="1"/>
  <c r="K259" i="1"/>
  <c r="AO258" i="1"/>
  <c r="K258" i="1"/>
  <c r="AO257" i="1"/>
  <c r="K257" i="1"/>
  <c r="AO256" i="1"/>
  <c r="K256" i="1"/>
  <c r="AO255" i="1"/>
  <c r="K255" i="1"/>
  <c r="AO254" i="1"/>
  <c r="K254" i="1"/>
  <c r="AO253" i="1"/>
  <c r="K253" i="1"/>
  <c r="AO252" i="1"/>
  <c r="K252" i="1"/>
  <c r="AO251" i="1"/>
  <c r="K251" i="1"/>
  <c r="AO250" i="1"/>
  <c r="K250" i="1"/>
  <c r="AO249" i="1"/>
  <c r="K249" i="1"/>
  <c r="AO248" i="1"/>
  <c r="K248" i="1"/>
  <c r="AO247" i="1"/>
  <c r="K247" i="1"/>
  <c r="AO246" i="1"/>
  <c r="K246" i="1"/>
  <c r="AO245" i="1"/>
  <c r="K245" i="1"/>
  <c r="AO244" i="1"/>
  <c r="K244" i="1"/>
  <c r="AO243" i="1"/>
  <c r="K243" i="1"/>
  <c r="AO242" i="1"/>
  <c r="K242" i="1"/>
  <c r="AO241" i="1"/>
  <c r="K241" i="1"/>
  <c r="AO240" i="1"/>
  <c r="K240" i="1"/>
  <c r="AO239" i="1"/>
  <c r="K239" i="1"/>
  <c r="AO238" i="1"/>
  <c r="K238" i="1"/>
  <c r="AO237" i="1"/>
  <c r="K237" i="1"/>
  <c r="AO236" i="1"/>
  <c r="K236" i="1"/>
  <c r="AO235" i="1"/>
  <c r="K235" i="1"/>
  <c r="AO234" i="1"/>
  <c r="K234" i="1"/>
  <c r="AO233" i="1"/>
  <c r="K233" i="1"/>
  <c r="AO232" i="1"/>
  <c r="K232" i="1"/>
  <c r="AO231" i="1"/>
  <c r="K231" i="1"/>
  <c r="AO230" i="1"/>
  <c r="K230" i="1"/>
  <c r="AO229" i="1"/>
  <c r="K229" i="1"/>
  <c r="AO228" i="1"/>
  <c r="K228" i="1"/>
  <c r="AO227" i="1"/>
  <c r="K227" i="1"/>
  <c r="AO226" i="1"/>
  <c r="K226" i="1"/>
  <c r="AO225" i="1"/>
  <c r="K225" i="1"/>
  <c r="AO224" i="1"/>
  <c r="K224" i="1"/>
  <c r="AO223" i="1"/>
  <c r="K223" i="1"/>
  <c r="AO222" i="1"/>
  <c r="K222" i="1"/>
  <c r="AO221" i="1"/>
  <c r="K221" i="1"/>
  <c r="AO220" i="1"/>
  <c r="K220" i="1"/>
  <c r="AO219" i="1"/>
  <c r="K219" i="1"/>
  <c r="AO218" i="1"/>
  <c r="K218" i="1"/>
  <c r="AO217" i="1"/>
  <c r="K217" i="1"/>
  <c r="AO216" i="1"/>
  <c r="K216" i="1"/>
  <c r="AO215" i="1"/>
  <c r="K215" i="1"/>
  <c r="AO214" i="1"/>
  <c r="K214" i="1"/>
  <c r="AO213" i="1"/>
  <c r="K213" i="1"/>
  <c r="AO212" i="1"/>
  <c r="K212" i="1"/>
  <c r="AO211" i="1"/>
  <c r="K211" i="1"/>
  <c r="AO210" i="1"/>
  <c r="K210" i="1"/>
  <c r="AO209" i="1"/>
  <c r="K209" i="1"/>
  <c r="AO208" i="1"/>
  <c r="K208" i="1"/>
  <c r="AO207" i="1"/>
  <c r="K207" i="1"/>
  <c r="AO206" i="1"/>
  <c r="K206" i="1"/>
  <c r="AO205" i="1"/>
  <c r="K205" i="1"/>
  <c r="AO204" i="1"/>
  <c r="K204" i="1"/>
  <c r="AO203" i="1"/>
  <c r="K203" i="1"/>
  <c r="AO202" i="1"/>
  <c r="K202" i="1"/>
  <c r="AO201" i="1"/>
  <c r="K201" i="1"/>
  <c r="AO200" i="1"/>
  <c r="K200" i="1"/>
  <c r="AO199" i="1"/>
  <c r="K199" i="1"/>
  <c r="AO198" i="1"/>
  <c r="K198" i="1"/>
  <c r="AO197" i="1"/>
  <c r="K197" i="1"/>
  <c r="AO196" i="1"/>
  <c r="K196" i="1"/>
  <c r="AO195" i="1"/>
  <c r="AS131" i="1" s="1"/>
  <c r="AS138" i="1" s="1"/>
  <c r="K195" i="1"/>
  <c r="AO194" i="1"/>
  <c r="K194" i="1"/>
  <c r="AO193" i="1"/>
  <c r="K193" i="1"/>
  <c r="AO192" i="1"/>
  <c r="K192" i="1"/>
  <c r="AO191" i="1"/>
  <c r="K191" i="1"/>
  <c r="AO190" i="1"/>
  <c r="K190" i="1"/>
  <c r="AO189" i="1"/>
  <c r="K189" i="1"/>
  <c r="AO188" i="1"/>
  <c r="K188" i="1"/>
  <c r="AO187" i="1"/>
  <c r="K187" i="1"/>
  <c r="AO186" i="1"/>
  <c r="K186" i="1"/>
  <c r="AO185" i="1"/>
  <c r="K185" i="1"/>
  <c r="AO184" i="1"/>
  <c r="K184" i="1"/>
  <c r="AO183" i="1"/>
  <c r="K183" i="1"/>
  <c r="AO182" i="1"/>
  <c r="K182" i="1"/>
  <c r="AO181" i="1"/>
  <c r="K181" i="1"/>
  <c r="AO180" i="1"/>
  <c r="K180" i="1"/>
  <c r="AO179" i="1"/>
  <c r="K179" i="1"/>
  <c r="AO178" i="1"/>
  <c r="K178" i="1"/>
  <c r="AO177" i="1"/>
  <c r="K177" i="1"/>
  <c r="AO176" i="1"/>
  <c r="K176" i="1"/>
  <c r="AO175" i="1"/>
  <c r="K175" i="1"/>
  <c r="AO174" i="1"/>
  <c r="K174" i="1"/>
  <c r="AO173" i="1"/>
  <c r="K173" i="1"/>
  <c r="AO172" i="1"/>
  <c r="K172" i="1"/>
  <c r="AO171" i="1"/>
  <c r="K171" i="1"/>
  <c r="AO170" i="1"/>
  <c r="K170" i="1"/>
  <c r="AO169" i="1"/>
  <c r="K169" i="1"/>
  <c r="AO168" i="1"/>
  <c r="K168" i="1"/>
  <c r="AO167" i="1"/>
  <c r="K167" i="1"/>
  <c r="AO166" i="1"/>
  <c r="K166" i="1"/>
  <c r="AO165" i="1"/>
  <c r="K165" i="1"/>
  <c r="AO164" i="1"/>
  <c r="K164" i="1"/>
  <c r="AO163" i="1"/>
  <c r="K163" i="1"/>
  <c r="AO162" i="1"/>
  <c r="K162" i="1"/>
  <c r="AO161" i="1"/>
  <c r="K161" i="1"/>
  <c r="AO160" i="1"/>
  <c r="K160" i="1"/>
  <c r="AO159" i="1"/>
  <c r="K159" i="1"/>
  <c r="AO158" i="1"/>
  <c r="K158" i="1"/>
  <c r="AO157" i="1"/>
  <c r="K157" i="1"/>
  <c r="AO156" i="1"/>
  <c r="K156" i="1"/>
  <c r="AO155" i="1"/>
  <c r="K155" i="1"/>
  <c r="AO154" i="1"/>
  <c r="K154" i="1"/>
  <c r="AV153" i="1"/>
  <c r="AR153" i="1"/>
  <c r="AO153" i="1"/>
  <c r="K153" i="1"/>
  <c r="AV152" i="1"/>
  <c r="AR152" i="1"/>
  <c r="AO152" i="1"/>
  <c r="K152" i="1"/>
  <c r="AV151" i="1"/>
  <c r="AR151" i="1"/>
  <c r="AO151" i="1"/>
  <c r="K151" i="1"/>
  <c r="AV150" i="1"/>
  <c r="AR150" i="1"/>
  <c r="AO150" i="1"/>
  <c r="K150" i="1"/>
  <c r="AO149" i="1"/>
  <c r="K149" i="1"/>
  <c r="AO148" i="1"/>
  <c r="K148" i="1"/>
  <c r="AO147" i="1"/>
  <c r="K147" i="1"/>
  <c r="AO146" i="1"/>
  <c r="K146" i="1"/>
  <c r="AO145" i="1"/>
  <c r="K145" i="1"/>
  <c r="AO144" i="1"/>
  <c r="K144" i="1"/>
  <c r="AO143" i="1"/>
  <c r="K143" i="1"/>
  <c r="AO142" i="1"/>
  <c r="K142" i="1"/>
  <c r="AO141" i="1"/>
  <c r="K141" i="1"/>
  <c r="AO140" i="1"/>
  <c r="K140" i="1"/>
  <c r="AO139" i="1"/>
  <c r="K139" i="1"/>
  <c r="AO138" i="1"/>
  <c r="K138" i="1"/>
  <c r="AO137" i="1"/>
  <c r="K137" i="1"/>
  <c r="AO136" i="1"/>
  <c r="K136" i="1"/>
  <c r="AO135" i="1"/>
  <c r="K135" i="1"/>
  <c r="AR134" i="1"/>
  <c r="AO134" i="1"/>
  <c r="K134" i="1"/>
  <c r="AR133" i="1"/>
  <c r="AO133" i="1"/>
  <c r="K133" i="1"/>
  <c r="AR132" i="1"/>
  <c r="AO132" i="1"/>
  <c r="K132" i="1"/>
  <c r="AR131" i="1"/>
  <c r="AO131" i="1"/>
  <c r="K131" i="1"/>
  <c r="AO130" i="1"/>
  <c r="K130" i="1"/>
  <c r="AO129" i="1"/>
  <c r="K129" i="1"/>
  <c r="AO128" i="1"/>
  <c r="K128" i="1"/>
  <c r="AO127" i="1"/>
  <c r="K127" i="1"/>
  <c r="AO126" i="1"/>
  <c r="K126" i="1"/>
  <c r="AO125" i="1"/>
  <c r="K125" i="1"/>
  <c r="AO124" i="1"/>
  <c r="K124" i="1"/>
  <c r="AO123" i="1"/>
  <c r="K123" i="1"/>
  <c r="AO122" i="1"/>
  <c r="K122" i="1"/>
  <c r="AO121" i="1"/>
  <c r="K121" i="1"/>
  <c r="AO120" i="1"/>
  <c r="K120" i="1"/>
  <c r="AO119" i="1"/>
  <c r="K119" i="1"/>
  <c r="AO118" i="1"/>
  <c r="K118" i="1"/>
  <c r="AO117" i="1"/>
  <c r="K117" i="1"/>
  <c r="AO116" i="1"/>
  <c r="K116" i="1"/>
  <c r="AV115" i="1"/>
  <c r="AU115" i="1"/>
  <c r="AS115" i="1"/>
  <c r="AO115" i="1"/>
  <c r="K115" i="1"/>
  <c r="AU114" i="1"/>
  <c r="AT114" i="1"/>
  <c r="AS114" i="1"/>
  <c r="AO114" i="1"/>
  <c r="K114" i="1"/>
  <c r="AV113" i="1"/>
  <c r="AU113" i="1"/>
  <c r="AS113" i="1"/>
  <c r="AO113" i="1"/>
  <c r="K113" i="1"/>
  <c r="AU112" i="1"/>
  <c r="AT112" i="1"/>
  <c r="AS112" i="1"/>
  <c r="AO112" i="1"/>
  <c r="K112" i="1"/>
  <c r="AV111" i="1"/>
  <c r="AT111" i="1"/>
  <c r="AO111" i="1"/>
  <c r="K111" i="1"/>
  <c r="AV110" i="1"/>
  <c r="AT110" i="1"/>
  <c r="AO110" i="1"/>
  <c r="K110" i="1"/>
  <c r="AO109" i="1"/>
  <c r="K109" i="1"/>
  <c r="AO108" i="1"/>
  <c r="K108" i="1"/>
  <c r="AO107" i="1"/>
  <c r="K107" i="1"/>
  <c r="AO106" i="1"/>
  <c r="K106" i="1"/>
  <c r="AO105" i="1"/>
  <c r="K105" i="1"/>
  <c r="AO104" i="1"/>
  <c r="K104" i="1"/>
  <c r="AO103" i="1"/>
  <c r="K103" i="1"/>
  <c r="AO102" i="1"/>
  <c r="K102" i="1"/>
  <c r="AO101" i="1"/>
  <c r="K101" i="1"/>
  <c r="AO100" i="1"/>
  <c r="K100" i="1"/>
  <c r="AV99" i="1"/>
  <c r="AU99" i="1"/>
  <c r="AU106" i="1" s="1"/>
  <c r="AT99" i="1"/>
  <c r="AS99" i="1"/>
  <c r="AO99" i="1"/>
  <c r="K99" i="1"/>
  <c r="AV98" i="1"/>
  <c r="AU98" i="1"/>
  <c r="AT98" i="1"/>
  <c r="AS98" i="1"/>
  <c r="AO98" i="1"/>
  <c r="K98" i="1"/>
  <c r="AV97" i="1"/>
  <c r="AU97" i="1"/>
  <c r="AU104" i="1" s="1"/>
  <c r="AT97" i="1"/>
  <c r="AS97" i="1"/>
  <c r="AO97" i="1"/>
  <c r="K97" i="1"/>
  <c r="AV96" i="1"/>
  <c r="AU96" i="1"/>
  <c r="AT96" i="1"/>
  <c r="AS96" i="1"/>
  <c r="AS103" i="1" s="1"/>
  <c r="AO96" i="1"/>
  <c r="K96" i="1"/>
  <c r="AV95" i="1"/>
  <c r="AT95" i="1"/>
  <c r="AT102" i="1" s="1"/>
  <c r="AS95" i="1"/>
  <c r="AO95" i="1"/>
  <c r="K95" i="1"/>
  <c r="AV94" i="1"/>
  <c r="AT94" i="1"/>
  <c r="AS94" i="1"/>
  <c r="AO94" i="1"/>
  <c r="K94" i="1"/>
  <c r="AO93" i="1"/>
  <c r="K93" i="1"/>
  <c r="AO92" i="1"/>
  <c r="K92" i="1"/>
  <c r="AO91" i="1"/>
  <c r="K91" i="1"/>
  <c r="AO90" i="1"/>
  <c r="K90" i="1"/>
  <c r="AO89" i="1"/>
  <c r="K89" i="1"/>
  <c r="AO88" i="1"/>
  <c r="K88" i="1"/>
  <c r="AO87" i="1"/>
  <c r="K87" i="1"/>
  <c r="AO86" i="1"/>
  <c r="K86" i="1"/>
  <c r="AO85" i="1"/>
  <c r="K85" i="1"/>
  <c r="AO84" i="1"/>
  <c r="K84" i="1"/>
  <c r="AO83" i="1"/>
  <c r="K83" i="1"/>
  <c r="AO82" i="1"/>
  <c r="K82" i="1"/>
  <c r="AO81" i="1"/>
  <c r="K81" i="1"/>
  <c r="AO80" i="1"/>
  <c r="K80" i="1"/>
  <c r="AS79" i="1"/>
  <c r="AR79" i="1"/>
  <c r="AO79" i="1"/>
  <c r="K79" i="1"/>
  <c r="AS78" i="1"/>
  <c r="AR78" i="1"/>
  <c r="AO78" i="1"/>
  <c r="K78" i="1"/>
  <c r="AS77" i="1"/>
  <c r="AR77" i="1"/>
  <c r="AO77" i="1"/>
  <c r="K77" i="1"/>
  <c r="AS76" i="1"/>
  <c r="AR76" i="1"/>
  <c r="AO76" i="1"/>
  <c r="K76" i="1"/>
  <c r="AO75" i="1"/>
  <c r="K75" i="1"/>
  <c r="AO74" i="1"/>
  <c r="K74" i="1"/>
  <c r="AO73" i="1"/>
  <c r="K73" i="1"/>
  <c r="AO72" i="1"/>
  <c r="K72" i="1"/>
  <c r="AO71" i="1"/>
  <c r="K71" i="1"/>
  <c r="AO70" i="1"/>
  <c r="K70" i="1"/>
  <c r="AO69" i="1"/>
  <c r="K69" i="1"/>
  <c r="AO68" i="1"/>
  <c r="K68" i="1"/>
  <c r="AO67" i="1"/>
  <c r="K67" i="1"/>
  <c r="AO66" i="1"/>
  <c r="K66" i="1"/>
  <c r="AO65" i="1"/>
  <c r="K65" i="1"/>
  <c r="AO64" i="1"/>
  <c r="K64" i="1"/>
  <c r="AS63" i="1"/>
  <c r="AR63" i="1"/>
  <c r="AO63" i="1"/>
  <c r="K63" i="1"/>
  <c r="AS62" i="1"/>
  <c r="AR62" i="1"/>
  <c r="AO62" i="1"/>
  <c r="K62" i="1"/>
  <c r="AS61" i="1"/>
  <c r="AR61" i="1"/>
  <c r="AO61" i="1"/>
  <c r="K61" i="1"/>
  <c r="AS60" i="1"/>
  <c r="AR60" i="1"/>
  <c r="AO60" i="1"/>
  <c r="K60" i="1"/>
  <c r="AS59" i="1"/>
  <c r="AR59" i="1"/>
  <c r="AO59" i="1"/>
  <c r="K59" i="1"/>
  <c r="AS58" i="1"/>
  <c r="AR58" i="1"/>
  <c r="AO58" i="1"/>
  <c r="K58" i="1"/>
  <c r="AO57" i="1"/>
  <c r="K57" i="1"/>
  <c r="AO56" i="1"/>
  <c r="K56" i="1"/>
  <c r="AO55" i="1"/>
  <c r="K55" i="1"/>
  <c r="AO54" i="1"/>
  <c r="K54" i="1"/>
  <c r="AO53" i="1"/>
  <c r="K53" i="1"/>
  <c r="AO52" i="1"/>
  <c r="K52" i="1"/>
  <c r="AO51" i="1"/>
  <c r="K51" i="1"/>
  <c r="AO50" i="1"/>
  <c r="K50" i="1"/>
  <c r="AO49" i="1"/>
  <c r="K49" i="1"/>
  <c r="AO48" i="1"/>
  <c r="K48" i="1"/>
  <c r="AO47" i="1"/>
  <c r="K47" i="1"/>
  <c r="AO46" i="1"/>
  <c r="K46" i="1"/>
  <c r="AO45" i="1"/>
  <c r="K45" i="1"/>
  <c r="AW44" i="1"/>
  <c r="AV44" i="1"/>
  <c r="AV51" i="1" s="1"/>
  <c r="AU44" i="1"/>
  <c r="AT44" i="1"/>
  <c r="AS44" i="1"/>
  <c r="AS51" i="1" s="1"/>
  <c r="AR44" i="1"/>
  <c r="AR51" i="1" s="1"/>
  <c r="AO44" i="1"/>
  <c r="K44" i="1"/>
  <c r="AW43" i="1"/>
  <c r="AW50" i="1" s="1"/>
  <c r="AV43" i="1"/>
  <c r="AV50" i="1" s="1"/>
  <c r="AU43" i="1"/>
  <c r="AT43" i="1"/>
  <c r="AS43" i="1"/>
  <c r="AS50" i="1" s="1"/>
  <c r="AR43" i="1"/>
  <c r="AR50" i="1" s="1"/>
  <c r="AO43" i="1"/>
  <c r="K43" i="1"/>
  <c r="AW42" i="1"/>
  <c r="AW49" i="1" s="1"/>
  <c r="AV42" i="1"/>
  <c r="AV49" i="1" s="1"/>
  <c r="AU42" i="1"/>
  <c r="AT42" i="1"/>
  <c r="AS42" i="1"/>
  <c r="AS49" i="1" s="1"/>
  <c r="AR42" i="1"/>
  <c r="AR49" i="1" s="1"/>
  <c r="AO42" i="1"/>
  <c r="K42" i="1"/>
  <c r="AW41" i="1"/>
  <c r="AW48" i="1" s="1"/>
  <c r="AV41" i="1"/>
  <c r="AV48" i="1" s="1"/>
  <c r="AU41" i="1"/>
  <c r="AT41" i="1"/>
  <c r="AS41" i="1"/>
  <c r="AS48" i="1" s="1"/>
  <c r="AR41" i="1"/>
  <c r="AR48" i="1" s="1"/>
  <c r="AO41" i="1"/>
  <c r="K41" i="1"/>
  <c r="AV40" i="1"/>
  <c r="AR40" i="1"/>
  <c r="AO40" i="1"/>
  <c r="K40" i="1"/>
  <c r="AV39" i="1"/>
  <c r="AR39" i="1"/>
  <c r="AO39" i="1"/>
  <c r="K39" i="1"/>
  <c r="AO38" i="1"/>
  <c r="K38" i="1"/>
  <c r="AO37" i="1"/>
  <c r="K37" i="1"/>
  <c r="AO36" i="1"/>
  <c r="AS130" i="1" s="1"/>
  <c r="K36" i="1"/>
  <c r="AO35" i="1"/>
  <c r="K35" i="1"/>
  <c r="AO34" i="1"/>
  <c r="K34" i="1"/>
  <c r="AO33" i="1"/>
  <c r="K33" i="1"/>
  <c r="AO32" i="1"/>
  <c r="K32" i="1"/>
  <c r="AO31" i="1"/>
  <c r="K31" i="1"/>
  <c r="AO30" i="1"/>
  <c r="K30" i="1"/>
  <c r="AO29" i="1"/>
  <c r="K29" i="1"/>
  <c r="AW28" i="1"/>
  <c r="AW35" i="1" s="1"/>
  <c r="AV28" i="1"/>
  <c r="AV35" i="1" s="1"/>
  <c r="AU28" i="1"/>
  <c r="AT28" i="1"/>
  <c r="AS28" i="1"/>
  <c r="AS35" i="1" s="1"/>
  <c r="AR28" i="1"/>
  <c r="AR35" i="1" s="1"/>
  <c r="AO28" i="1"/>
  <c r="K28" i="1"/>
  <c r="AW27" i="1"/>
  <c r="AV27" i="1"/>
  <c r="AU27" i="1"/>
  <c r="AT27" i="1"/>
  <c r="AS27" i="1"/>
  <c r="AR27" i="1"/>
  <c r="AO27" i="1"/>
  <c r="K27" i="1"/>
  <c r="AW26" i="1"/>
  <c r="AV26" i="1"/>
  <c r="AV33" i="1" s="1"/>
  <c r="AU26" i="1"/>
  <c r="AT26" i="1"/>
  <c r="AS26" i="1"/>
  <c r="AR26" i="1"/>
  <c r="AR33" i="1" s="1"/>
  <c r="AO26" i="1"/>
  <c r="K26" i="1"/>
  <c r="AW25" i="1"/>
  <c r="AW32" i="1" s="1"/>
  <c r="AV25" i="1"/>
  <c r="AV32" i="1" s="1"/>
  <c r="AU25" i="1"/>
  <c r="AT25" i="1"/>
  <c r="AS25" i="1"/>
  <c r="AS32" i="1" s="1"/>
  <c r="AR25" i="1"/>
  <c r="AR32" i="1" s="1"/>
  <c r="AO25" i="1"/>
  <c r="K25" i="1"/>
  <c r="AW24" i="1"/>
  <c r="AW31" i="1" s="1"/>
  <c r="AV24" i="1"/>
  <c r="AV31" i="1" s="1"/>
  <c r="AU24" i="1"/>
  <c r="AT24" i="1"/>
  <c r="AS24" i="1"/>
  <c r="AS31" i="1" s="1"/>
  <c r="AR24" i="1"/>
  <c r="AR31" i="1" s="1"/>
  <c r="AO24" i="1"/>
  <c r="K24" i="1"/>
  <c r="AW23" i="1"/>
  <c r="AV23" i="1"/>
  <c r="AU23" i="1"/>
  <c r="AT23" i="1"/>
  <c r="AS23" i="1"/>
  <c r="AR23" i="1"/>
  <c r="AO23" i="1"/>
  <c r="K23" i="1"/>
  <c r="AO22" i="1"/>
  <c r="K22" i="1"/>
  <c r="AO21" i="1"/>
  <c r="K21" i="1"/>
  <c r="AO20" i="1"/>
  <c r="K20" i="1"/>
  <c r="AO19" i="1"/>
  <c r="K19" i="1"/>
  <c r="AV18" i="1"/>
  <c r="AW18" i="1" s="1"/>
  <c r="AR18" i="1"/>
  <c r="AT79" i="1" s="1"/>
  <c r="AT86" i="1" s="1"/>
  <c r="AO18" i="1"/>
  <c r="K18" i="1"/>
  <c r="AV17" i="1"/>
  <c r="AW17" i="1" s="1"/>
  <c r="AR17" i="1"/>
  <c r="AT78" i="1" s="1"/>
  <c r="AT85" i="1" s="1"/>
  <c r="AO17" i="1"/>
  <c r="K17" i="1"/>
  <c r="AV16" i="1"/>
  <c r="AW16" i="1" s="1"/>
  <c r="AR16" i="1"/>
  <c r="AT77" i="1" s="1"/>
  <c r="AT84" i="1" s="1"/>
  <c r="AO16" i="1"/>
  <c r="K16" i="1"/>
  <c r="AV15" i="1"/>
  <c r="AW15" i="1" s="1"/>
  <c r="AR15" i="1"/>
  <c r="AT76" i="1" s="1"/>
  <c r="AT83" i="1" s="1"/>
  <c r="AO15" i="1"/>
  <c r="K15" i="1"/>
  <c r="AO14" i="1"/>
  <c r="K14" i="1"/>
  <c r="AO13" i="1"/>
  <c r="K13" i="1"/>
  <c r="AO12" i="1"/>
  <c r="K12" i="1"/>
  <c r="AO11" i="1"/>
  <c r="K11" i="1"/>
  <c r="AO10" i="1"/>
  <c r="K10" i="1"/>
  <c r="AO9" i="1"/>
  <c r="K9" i="1"/>
  <c r="AR8" i="1"/>
  <c r="AR99" i="1" s="1"/>
  <c r="AR106" i="1" s="1"/>
  <c r="AO8" i="1"/>
  <c r="K8" i="1"/>
  <c r="AR7" i="1"/>
  <c r="AR98" i="1" s="1"/>
  <c r="AR105" i="1" s="1"/>
  <c r="AO7" i="1"/>
  <c r="K7" i="1"/>
  <c r="AR6" i="1"/>
  <c r="AR97" i="1" s="1"/>
  <c r="AR104" i="1" s="1"/>
  <c r="AO6" i="1"/>
  <c r="K6" i="1"/>
  <c r="AR5" i="1"/>
  <c r="AO5" i="1"/>
  <c r="K5" i="1"/>
  <c r="AW40" i="1" s="1"/>
  <c r="AR4" i="1"/>
  <c r="AO4" i="1"/>
  <c r="K4" i="1"/>
  <c r="AR3" i="1"/>
  <c r="AR94" i="1" s="1"/>
  <c r="AR101" i="1" s="1"/>
  <c r="AO3" i="1"/>
  <c r="K3" i="1"/>
  <c r="AO2" i="1"/>
  <c r="K2" i="1"/>
  <c r="AS111" i="1" s="1"/>
  <c r="AB117" i="4" l="1"/>
  <c r="AB115" i="4"/>
  <c r="BB117" i="4"/>
  <c r="BB115" i="4"/>
  <c r="BE111" i="4"/>
  <c r="BE113" i="4" s="1"/>
  <c r="BA115" i="4"/>
  <c r="AX132" i="4"/>
  <c r="BH111" i="4"/>
  <c r="BH113" i="4" s="1"/>
  <c r="L117" i="4"/>
  <c r="L115" i="4"/>
  <c r="BM117" i="4"/>
  <c r="AX115" i="4"/>
  <c r="BA123" i="4" s="1"/>
  <c r="J117" i="4"/>
  <c r="J115" i="4"/>
  <c r="AR30" i="1"/>
  <c r="AR34" i="1"/>
  <c r="AV101" i="1"/>
  <c r="AU122" i="1"/>
  <c r="AR109" i="4"/>
  <c r="AV109" i="4"/>
  <c r="R111" i="4"/>
  <c r="R113" i="4" s="1"/>
  <c r="R117" i="4" s="1"/>
  <c r="AT111" i="4"/>
  <c r="AT113" i="4" s="1"/>
  <c r="AT115" i="4" s="1"/>
  <c r="BE109" i="4"/>
  <c r="AX120" i="4"/>
  <c r="L106" i="5"/>
  <c r="M106" i="5"/>
  <c r="L102" i="5"/>
  <c r="H102" i="5"/>
  <c r="G98" i="5"/>
  <c r="L98" i="5"/>
  <c r="H98" i="5"/>
  <c r="M98" i="5"/>
  <c r="L94" i="5"/>
  <c r="H94" i="5"/>
  <c r="L90" i="5"/>
  <c r="H90" i="5"/>
  <c r="M90" i="5"/>
  <c r="G90" i="5"/>
  <c r="L86" i="5"/>
  <c r="H86" i="5"/>
  <c r="G86" i="5"/>
  <c r="L82" i="5"/>
  <c r="H82" i="5"/>
  <c r="M82" i="5"/>
  <c r="G82" i="5"/>
  <c r="L78" i="5"/>
  <c r="H78" i="5"/>
  <c r="G78" i="5"/>
  <c r="L74" i="5"/>
  <c r="H74" i="5"/>
  <c r="M74" i="5"/>
  <c r="G74" i="5"/>
  <c r="L70" i="5"/>
  <c r="H70" i="5"/>
  <c r="G70" i="5"/>
  <c r="L66" i="5"/>
  <c r="H66" i="5"/>
  <c r="M66" i="5"/>
  <c r="G66" i="5"/>
  <c r="L62" i="5"/>
  <c r="H62" i="5"/>
  <c r="G62" i="5"/>
  <c r="L58" i="5"/>
  <c r="H58" i="5"/>
  <c r="M58" i="5"/>
  <c r="G58" i="5"/>
  <c r="L54" i="5"/>
  <c r="H54" i="5"/>
  <c r="G54" i="5"/>
  <c r="L50" i="5"/>
  <c r="H50" i="5"/>
  <c r="M50" i="5"/>
  <c r="G50" i="5"/>
  <c r="L46" i="5"/>
  <c r="H46" i="5"/>
  <c r="G46" i="5"/>
  <c r="L42" i="5"/>
  <c r="H42" i="5"/>
  <c r="M42" i="5"/>
  <c r="G42" i="5"/>
  <c r="L38" i="5"/>
  <c r="H38" i="5"/>
  <c r="G38" i="5"/>
  <c r="L34" i="5"/>
  <c r="H34" i="5"/>
  <c r="M34" i="5"/>
  <c r="G34" i="5"/>
  <c r="L30" i="5"/>
  <c r="H30" i="5"/>
  <c r="G30" i="5"/>
  <c r="L26" i="5"/>
  <c r="H26" i="5"/>
  <c r="M26" i="5"/>
  <c r="G26" i="5"/>
  <c r="L22" i="5"/>
  <c r="H22" i="5"/>
  <c r="G22" i="5"/>
  <c r="L18" i="5"/>
  <c r="H18" i="5"/>
  <c r="M18" i="5"/>
  <c r="G18" i="5"/>
  <c r="L14" i="5"/>
  <c r="H14" i="5"/>
  <c r="G14" i="5"/>
  <c r="L10" i="5"/>
  <c r="H10" i="5"/>
  <c r="M10" i="5"/>
  <c r="G10" i="5"/>
  <c r="L6" i="5"/>
  <c r="H6" i="5"/>
  <c r="M22" i="5"/>
  <c r="M6" i="5"/>
  <c r="M94" i="5"/>
  <c r="M78" i="5"/>
  <c r="M62" i="5"/>
  <c r="M46" i="5"/>
  <c r="M30" i="5"/>
  <c r="AS105" i="1"/>
  <c r="AS108" i="1" s="1"/>
  <c r="AW30" i="1"/>
  <c r="AW33" i="1"/>
  <c r="AW51" i="1"/>
  <c r="AR149" i="1"/>
  <c r="AV102" i="1"/>
  <c r="AT103" i="1"/>
  <c r="AV104" i="1"/>
  <c r="AT105" i="1"/>
  <c r="AT107" i="1" s="1"/>
  <c r="AV106" i="1"/>
  <c r="AJ109" i="4"/>
  <c r="H109" i="4"/>
  <c r="H117" i="4" s="1"/>
  <c r="P109" i="4"/>
  <c r="T109" i="4"/>
  <c r="X109" i="4"/>
  <c r="AF109" i="4"/>
  <c r="AY109" i="4"/>
  <c r="AY117" i="4" s="1"/>
  <c r="BG109" i="4"/>
  <c r="BG115" i="4" s="1"/>
  <c r="AH111" i="4"/>
  <c r="AH113" i="4" s="1"/>
  <c r="AH117" i="4" s="1"/>
  <c r="Z111" i="4"/>
  <c r="Z113" i="4" s="1"/>
  <c r="Z115" i="4" s="1"/>
  <c r="AZ124" i="4"/>
  <c r="AZ130" i="4" s="1"/>
  <c r="L101" i="5"/>
  <c r="M101" i="5"/>
  <c r="L93" i="5"/>
  <c r="M93" i="5"/>
  <c r="H93" i="5"/>
  <c r="L85" i="5"/>
  <c r="M85" i="5"/>
  <c r="L77" i="5"/>
  <c r="M77" i="5"/>
  <c r="H77" i="5"/>
  <c r="L69" i="5"/>
  <c r="M69" i="5"/>
  <c r="L61" i="5"/>
  <c r="M61" i="5"/>
  <c r="H61" i="5"/>
  <c r="L53" i="5"/>
  <c r="M53" i="5"/>
  <c r="L45" i="5"/>
  <c r="M45" i="5"/>
  <c r="H45" i="5"/>
  <c r="L37" i="5"/>
  <c r="M37" i="5"/>
  <c r="L29" i="5"/>
  <c r="M29" i="5"/>
  <c r="H29" i="5"/>
  <c r="L21" i="5"/>
  <c r="M21" i="5"/>
  <c r="L13" i="5"/>
  <c r="M13" i="5"/>
  <c r="H13" i="5"/>
  <c r="L5" i="5"/>
  <c r="M5" i="5"/>
  <c r="G6" i="5"/>
  <c r="G106" i="5"/>
  <c r="G102" i="5"/>
  <c r="G89" i="5"/>
  <c r="G81" i="5"/>
  <c r="G73" i="5"/>
  <c r="G65" i="5"/>
  <c r="G57" i="5"/>
  <c r="G49" i="5"/>
  <c r="G41" i="5"/>
  <c r="G33" i="5"/>
  <c r="G25" i="5"/>
  <c r="G17" i="5"/>
  <c r="G9" i="5"/>
  <c r="H101" i="5"/>
  <c r="H69" i="5"/>
  <c r="H37" i="5"/>
  <c r="H5" i="5"/>
  <c r="M9" i="5"/>
  <c r="M97" i="5"/>
  <c r="M81" i="5"/>
  <c r="M65" i="5"/>
  <c r="M49" i="5"/>
  <c r="M33" i="5"/>
  <c r="AV34" i="1"/>
  <c r="AS30" i="1"/>
  <c r="AS33" i="1"/>
  <c r="AS37" i="1" s="1"/>
  <c r="AS34" i="1"/>
  <c r="AW34" i="1"/>
  <c r="AT40" i="1"/>
  <c r="AR96" i="1"/>
  <c r="AR103" i="1" s="1"/>
  <c r="AU40" i="1"/>
  <c r="AT30" i="1"/>
  <c r="AT31" i="1"/>
  <c r="AT32" i="1"/>
  <c r="AT37" i="1" s="1"/>
  <c r="AT33" i="1"/>
  <c r="AT34" i="1"/>
  <c r="AT35" i="1"/>
  <c r="AR75" i="1"/>
  <c r="AU75" i="1" s="1"/>
  <c r="AT48" i="1"/>
  <c r="AT49" i="1"/>
  <c r="AT50" i="1"/>
  <c r="AT51" i="1"/>
  <c r="AR65" i="1"/>
  <c r="AR66" i="1"/>
  <c r="AR67" i="1"/>
  <c r="AR68" i="1"/>
  <c r="AR72" i="1" s="1"/>
  <c r="AR69" i="1"/>
  <c r="AR70" i="1"/>
  <c r="AR83" i="1"/>
  <c r="AR84" i="1"/>
  <c r="AR85" i="1"/>
  <c r="AR86" i="1"/>
  <c r="AS101" i="1"/>
  <c r="AU103" i="1"/>
  <c r="AS104" i="1"/>
  <c r="AU105" i="1"/>
  <c r="AS106" i="1"/>
  <c r="AS122" i="1"/>
  <c r="AR138" i="1"/>
  <c r="AR139" i="1"/>
  <c r="AR140" i="1"/>
  <c r="AR141" i="1"/>
  <c r="BD109" i="4"/>
  <c r="AP109" i="4"/>
  <c r="N111" i="4"/>
  <c r="N113" i="4" s="1"/>
  <c r="N115" i="4" s="1"/>
  <c r="BK111" i="4"/>
  <c r="BK113" i="4" s="1"/>
  <c r="BK115" i="4" s="1"/>
  <c r="F111" i="4"/>
  <c r="F113" i="4" s="1"/>
  <c r="L104" i="5"/>
  <c r="M104" i="5"/>
  <c r="H104" i="5"/>
  <c r="L100" i="5"/>
  <c r="G100" i="5"/>
  <c r="L96" i="5"/>
  <c r="M96" i="5"/>
  <c r="L92" i="5"/>
  <c r="H92" i="5"/>
  <c r="L88" i="5"/>
  <c r="M88" i="5"/>
  <c r="H88" i="5"/>
  <c r="L80" i="5"/>
  <c r="M80" i="5"/>
  <c r="L76" i="5"/>
  <c r="H76" i="5"/>
  <c r="L72" i="5"/>
  <c r="M72" i="5"/>
  <c r="H72" i="5"/>
  <c r="L64" i="5"/>
  <c r="M64" i="5"/>
  <c r="L60" i="5"/>
  <c r="H60" i="5"/>
  <c r="L56" i="5"/>
  <c r="M56" i="5"/>
  <c r="H56" i="5"/>
  <c r="L48" i="5"/>
  <c r="M48" i="5"/>
  <c r="L44" i="5"/>
  <c r="H44" i="5"/>
  <c r="L40" i="5"/>
  <c r="M40" i="5"/>
  <c r="H40" i="5"/>
  <c r="L32" i="5"/>
  <c r="M32" i="5"/>
  <c r="L28" i="5"/>
  <c r="H28" i="5"/>
  <c r="L24" i="5"/>
  <c r="M24" i="5"/>
  <c r="H24" i="5"/>
  <c r="L16" i="5"/>
  <c r="M16" i="5"/>
  <c r="L12" i="5"/>
  <c r="H12" i="5"/>
  <c r="L8" i="5"/>
  <c r="M8" i="5"/>
  <c r="H8" i="5"/>
  <c r="G5" i="5"/>
  <c r="G105" i="5"/>
  <c r="G101" i="5"/>
  <c r="G94" i="5"/>
  <c r="G88" i="5"/>
  <c r="G80" i="5"/>
  <c r="G72" i="5"/>
  <c r="G64" i="5"/>
  <c r="G56" i="5"/>
  <c r="G48" i="5"/>
  <c r="G40" i="5"/>
  <c r="G32" i="5"/>
  <c r="G24" i="5"/>
  <c r="G16" i="5"/>
  <c r="G8" i="5"/>
  <c r="H100" i="5"/>
  <c r="H89" i="5"/>
  <c r="H68" i="5"/>
  <c r="H57" i="5"/>
  <c r="H36" i="5"/>
  <c r="H25" i="5"/>
  <c r="H4" i="5"/>
  <c r="M14" i="5"/>
  <c r="M102" i="5"/>
  <c r="L97" i="5"/>
  <c r="M86" i="5"/>
  <c r="L81" i="5"/>
  <c r="M70" i="5"/>
  <c r="L65" i="5"/>
  <c r="M54" i="5"/>
  <c r="L49" i="5"/>
  <c r="M38" i="5"/>
  <c r="L33" i="5"/>
  <c r="AV30" i="1"/>
  <c r="AS75" i="1"/>
  <c r="AS137" i="1"/>
  <c r="AS143" i="1" s="1"/>
  <c r="AR95" i="1"/>
  <c r="AR102" i="1" s="1"/>
  <c r="AR108" i="1" s="1"/>
  <c r="AV13" i="1"/>
  <c r="AW13" i="1" s="1"/>
  <c r="AT18" i="1"/>
  <c r="AR115" i="1" s="1"/>
  <c r="AR122" i="1" s="1"/>
  <c r="AU30" i="1"/>
  <c r="AU31" i="1"/>
  <c r="AU37" i="1" s="1"/>
  <c r="AU32" i="1"/>
  <c r="AU33" i="1"/>
  <c r="AU34" i="1"/>
  <c r="AU35" i="1"/>
  <c r="AU48" i="1"/>
  <c r="AU49" i="1"/>
  <c r="AU50" i="1"/>
  <c r="AU51" i="1"/>
  <c r="AS65" i="1"/>
  <c r="AS66" i="1"/>
  <c r="AS67" i="1"/>
  <c r="AS72" i="1" s="1"/>
  <c r="AS68" i="1"/>
  <c r="AS69" i="1"/>
  <c r="AS70" i="1"/>
  <c r="AS83" i="1"/>
  <c r="AS84" i="1"/>
  <c r="AS85" i="1"/>
  <c r="AS86" i="1"/>
  <c r="AT101" i="1"/>
  <c r="AS102" i="1"/>
  <c r="AS107" i="1" s="1"/>
  <c r="AV103" i="1"/>
  <c r="AV108" i="1" s="1"/>
  <c r="AT104" i="1"/>
  <c r="AV105" i="1"/>
  <c r="AT106" i="1"/>
  <c r="V109" i="4"/>
  <c r="AD109" i="4"/>
  <c r="AJ111" i="4"/>
  <c r="AJ113" i="4" s="1"/>
  <c r="BA111" i="4"/>
  <c r="BA113" i="4" s="1"/>
  <c r="BA117" i="4" s="1"/>
  <c r="H107" i="5"/>
  <c r="L107" i="5"/>
  <c r="M103" i="5"/>
  <c r="H103" i="5"/>
  <c r="L99" i="5"/>
  <c r="H99" i="5"/>
  <c r="M95" i="5"/>
  <c r="G95" i="5"/>
  <c r="L91" i="5"/>
  <c r="G91" i="5"/>
  <c r="M87" i="5"/>
  <c r="H87" i="5"/>
  <c r="G87" i="5"/>
  <c r="L83" i="5"/>
  <c r="H83" i="5"/>
  <c r="G83" i="5"/>
  <c r="M79" i="5"/>
  <c r="G79" i="5"/>
  <c r="L75" i="5"/>
  <c r="G75" i="5"/>
  <c r="M71" i="5"/>
  <c r="H71" i="5"/>
  <c r="G71" i="5"/>
  <c r="L67" i="5"/>
  <c r="H67" i="5"/>
  <c r="G67" i="5"/>
  <c r="M63" i="5"/>
  <c r="G63" i="5"/>
  <c r="L59" i="5"/>
  <c r="G59" i="5"/>
  <c r="M55" i="5"/>
  <c r="H55" i="5"/>
  <c r="G55" i="5"/>
  <c r="L51" i="5"/>
  <c r="H51" i="5"/>
  <c r="G51" i="5"/>
  <c r="M47" i="5"/>
  <c r="G47" i="5"/>
  <c r="L43" i="5"/>
  <c r="G43" i="5"/>
  <c r="M39" i="5"/>
  <c r="H39" i="5"/>
  <c r="G39" i="5"/>
  <c r="L35" i="5"/>
  <c r="H35" i="5"/>
  <c r="G35" i="5"/>
  <c r="M31" i="5"/>
  <c r="G31" i="5"/>
  <c r="L27" i="5"/>
  <c r="G27" i="5"/>
  <c r="M23" i="5"/>
  <c r="H23" i="5"/>
  <c r="G23" i="5"/>
  <c r="L19" i="5"/>
  <c r="H19" i="5"/>
  <c r="G19" i="5"/>
  <c r="M15" i="5"/>
  <c r="G15" i="5"/>
  <c r="L11" i="5"/>
  <c r="G11" i="5"/>
  <c r="M7" i="5"/>
  <c r="H7" i="5"/>
  <c r="G3" i="5"/>
  <c r="L3" i="5"/>
  <c r="H3" i="5"/>
  <c r="G4" i="5"/>
  <c r="G104" i="5"/>
  <c r="G99" i="5"/>
  <c r="G93" i="5"/>
  <c r="G85" i="5"/>
  <c r="G77" i="5"/>
  <c r="G69" i="5"/>
  <c r="G61" i="5"/>
  <c r="G53" i="5"/>
  <c r="G45" i="5"/>
  <c r="G37" i="5"/>
  <c r="G29" i="5"/>
  <c r="G21" i="5"/>
  <c r="G13" i="5"/>
  <c r="H106" i="5"/>
  <c r="H96" i="5"/>
  <c r="H85" i="5"/>
  <c r="H75" i="5"/>
  <c r="H64" i="5"/>
  <c r="H53" i="5"/>
  <c r="H43" i="5"/>
  <c r="H32" i="5"/>
  <c r="H21" i="5"/>
  <c r="H11" i="5"/>
  <c r="M3" i="5"/>
  <c r="M17" i="5"/>
  <c r="M12" i="5"/>
  <c r="L7" i="5"/>
  <c r="M100" i="5"/>
  <c r="L95" i="5"/>
  <c r="M84" i="5"/>
  <c r="L79" i="5"/>
  <c r="M68" i="5"/>
  <c r="L63" i="5"/>
  <c r="M52" i="5"/>
  <c r="L47" i="5"/>
  <c r="M36" i="5"/>
  <c r="L31" i="5"/>
  <c r="AN3" i="4"/>
  <c r="AK115" i="4"/>
  <c r="AL115" i="4" s="1"/>
  <c r="AK117" i="4"/>
  <c r="AL117" i="4" s="1"/>
  <c r="F117" i="5"/>
  <c r="K115" i="5"/>
  <c r="K117" i="5"/>
  <c r="F115" i="5"/>
  <c r="BH109" i="4"/>
  <c r="BG117" i="4"/>
  <c r="BD111" i="4"/>
  <c r="BD113" i="4" s="1"/>
  <c r="BD115" i="4" s="1"/>
  <c r="AX117" i="4"/>
  <c r="BA125" i="4" s="1"/>
  <c r="AR107" i="1"/>
  <c r="AU36" i="1"/>
  <c r="AW37" i="1"/>
  <c r="AW36" i="1"/>
  <c r="AS71" i="1"/>
  <c r="AV107" i="1"/>
  <c r="AR37" i="1"/>
  <c r="AR36" i="1"/>
  <c r="AV37" i="1"/>
  <c r="AV36" i="1"/>
  <c r="AT108" i="1"/>
  <c r="AR9" i="1"/>
  <c r="AR13" i="1"/>
  <c r="AT3" i="1"/>
  <c r="AU3" i="1" s="1"/>
  <c r="AX3" i="1"/>
  <c r="AT4" i="1"/>
  <c r="AX4" i="1"/>
  <c r="AT5" i="1"/>
  <c r="AU5" i="1" s="1"/>
  <c r="AX5" i="1"/>
  <c r="AX8" i="1" s="1"/>
  <c r="AT6" i="1"/>
  <c r="AU6" i="1" s="1"/>
  <c r="AX6" i="1"/>
  <c r="AX7" i="1" s="1"/>
  <c r="AT7" i="1"/>
  <c r="AU7" i="1" s="1"/>
  <c r="AT8" i="1"/>
  <c r="AU8" i="1" s="1"/>
  <c r="AR10" i="1"/>
  <c r="AR14" i="1"/>
  <c r="AV14" i="1"/>
  <c r="AW14" i="1" s="1"/>
  <c r="AT15" i="1"/>
  <c r="AT17" i="1"/>
  <c r="AX17" i="1" s="1"/>
  <c r="AS39" i="1"/>
  <c r="AS46" i="1" s="1"/>
  <c r="AU39" i="1"/>
  <c r="AU46" i="1" s="1"/>
  <c r="AW39" i="1"/>
  <c r="AW46" i="1" s="1"/>
  <c r="AS40" i="1"/>
  <c r="AS47" i="1" s="1"/>
  <c r="AU58" i="1"/>
  <c r="AU65" i="1" s="1"/>
  <c r="AU59" i="1"/>
  <c r="AU66" i="1" s="1"/>
  <c r="AU60" i="1"/>
  <c r="AU67" i="1" s="1"/>
  <c r="AU61" i="1"/>
  <c r="AU68" i="1" s="1"/>
  <c r="AU62" i="1"/>
  <c r="AU69" i="1" s="1"/>
  <c r="AU63" i="1"/>
  <c r="AU70" i="1" s="1"/>
  <c r="AS74" i="1"/>
  <c r="AS81" i="1" s="1"/>
  <c r="AU76" i="1"/>
  <c r="AU83" i="1" s="1"/>
  <c r="AU77" i="1"/>
  <c r="AU84" i="1" s="1"/>
  <c r="AU78" i="1"/>
  <c r="AU85" i="1" s="1"/>
  <c r="AU79" i="1"/>
  <c r="AU86" i="1" s="1"/>
  <c r="AU94" i="1"/>
  <c r="AU101" i="1" s="1"/>
  <c r="AU95" i="1"/>
  <c r="AU102" i="1" s="1"/>
  <c r="AW96" i="1"/>
  <c r="AW103" i="1" s="1"/>
  <c r="AW97" i="1"/>
  <c r="AW104" i="1" s="1"/>
  <c r="AW98" i="1"/>
  <c r="AW105" i="1" s="1"/>
  <c r="AW99" i="1"/>
  <c r="AW106" i="1" s="1"/>
  <c r="AS110" i="1"/>
  <c r="AU110" i="1"/>
  <c r="AU111" i="1"/>
  <c r="AW115" i="1"/>
  <c r="AW122" i="1" s="1"/>
  <c r="AS129" i="1"/>
  <c r="AS136" i="1" s="1"/>
  <c r="AU131" i="1"/>
  <c r="AU138" i="1" s="1"/>
  <c r="AU132" i="1"/>
  <c r="AU139" i="1" s="1"/>
  <c r="AU133" i="1"/>
  <c r="AU140" i="1" s="1"/>
  <c r="AU134" i="1"/>
  <c r="AU141" i="1" s="1"/>
  <c r="AV148" i="1"/>
  <c r="AV149" i="1"/>
  <c r="AV156" i="1" s="1"/>
  <c r="AT16" i="1"/>
  <c r="AT39" i="1"/>
  <c r="AT46" i="1" s="1"/>
  <c r="AT58" i="1"/>
  <c r="AT65" i="1" s="1"/>
  <c r="AT59" i="1"/>
  <c r="AT66" i="1" s="1"/>
  <c r="AT60" i="1"/>
  <c r="AT67" i="1" s="1"/>
  <c r="AT61" i="1"/>
  <c r="AT68" i="1" s="1"/>
  <c r="AT62" i="1"/>
  <c r="AT69" i="1" s="1"/>
  <c r="AT63" i="1"/>
  <c r="AT70" i="1" s="1"/>
  <c r="AR74" i="1"/>
  <c r="AR129" i="1"/>
  <c r="AR130" i="1"/>
  <c r="AT131" i="1"/>
  <c r="AT138" i="1" s="1"/>
  <c r="AT132" i="1"/>
  <c r="AT139" i="1" s="1"/>
  <c r="AT133" i="1"/>
  <c r="AT140" i="1" s="1"/>
  <c r="AT134" i="1"/>
  <c r="AT141" i="1" s="1"/>
  <c r="AR148" i="1"/>
  <c r="AF115" i="4" l="1"/>
  <c r="AF117" i="4"/>
  <c r="G109" i="5"/>
  <c r="G111" i="5"/>
  <c r="G113" i="5" s="1"/>
  <c r="AT117" i="4"/>
  <c r="Z117" i="4"/>
  <c r="AR71" i="1"/>
  <c r="M109" i="5"/>
  <c r="M110" i="5" s="1"/>
  <c r="AD115" i="4"/>
  <c r="AD117" i="4"/>
  <c r="X115" i="4"/>
  <c r="X117" i="4"/>
  <c r="AJ115" i="4"/>
  <c r="AJ117" i="4"/>
  <c r="AH115" i="4"/>
  <c r="R115" i="4"/>
  <c r="AT122" i="1"/>
  <c r="AR155" i="1"/>
  <c r="AT36" i="1"/>
  <c r="AS142" i="1"/>
  <c r="AS36" i="1"/>
  <c r="H109" i="5"/>
  <c r="H111" i="5"/>
  <c r="H113" i="5" s="1"/>
  <c r="V115" i="4"/>
  <c r="V117" i="4"/>
  <c r="AP115" i="4"/>
  <c r="AP117" i="4"/>
  <c r="T117" i="4"/>
  <c r="T115" i="4"/>
  <c r="AV122" i="1"/>
  <c r="AV117" i="4"/>
  <c r="AV115" i="4"/>
  <c r="F117" i="4"/>
  <c r="N117" i="4"/>
  <c r="H115" i="4"/>
  <c r="AV155" i="1"/>
  <c r="BK117" i="4"/>
  <c r="AN109" i="4"/>
  <c r="AN111" i="4"/>
  <c r="AN113" i="4" s="1"/>
  <c r="L109" i="5"/>
  <c r="L110" i="5" s="1"/>
  <c r="P115" i="4"/>
  <c r="P117" i="4"/>
  <c r="BE115" i="4"/>
  <c r="BE117" i="4"/>
  <c r="AR115" i="4"/>
  <c r="AR117" i="4"/>
  <c r="AY115" i="4"/>
  <c r="AX18" i="1"/>
  <c r="BH115" i="4"/>
  <c r="BH117" i="4"/>
  <c r="BD117" i="4"/>
  <c r="AR137" i="1"/>
  <c r="AU130" i="1"/>
  <c r="AU137" i="1" s="1"/>
  <c r="AR136" i="1"/>
  <c r="AU129" i="1"/>
  <c r="AU136" i="1" s="1"/>
  <c r="AT72" i="1"/>
  <c r="AT71" i="1"/>
  <c r="AR81" i="1"/>
  <c r="AU74" i="1"/>
  <c r="AU81" i="1" s="1"/>
  <c r="AR113" i="1"/>
  <c r="AR120" i="1" s="1"/>
  <c r="AW113" i="1"/>
  <c r="AW120" i="1" s="1"/>
  <c r="AR112" i="1"/>
  <c r="AR119" i="1" s="1"/>
  <c r="AW112" i="1"/>
  <c r="AW119" i="1" s="1"/>
  <c r="AT75" i="1"/>
  <c r="AT82" i="1" s="1"/>
  <c r="AT14" i="1"/>
  <c r="AT74" i="1"/>
  <c r="AT81" i="1" s="1"/>
  <c r="AT13" i="1"/>
  <c r="AT129" i="1"/>
  <c r="AT136" i="1" s="1"/>
  <c r="AU117" i="1"/>
  <c r="AW95" i="1"/>
  <c r="AW102" i="1" s="1"/>
  <c r="AW94" i="1"/>
  <c r="AW101" i="1" s="1"/>
  <c r="AR160" i="1"/>
  <c r="AR158" i="1"/>
  <c r="AU121" i="1"/>
  <c r="AU120" i="1"/>
  <c r="AU119" i="1"/>
  <c r="AR47" i="1"/>
  <c r="AU47" i="1"/>
  <c r="AT47" i="1"/>
  <c r="AV47" i="1"/>
  <c r="AT130" i="1"/>
  <c r="AT137" i="1" s="1"/>
  <c r="AR82" i="1"/>
  <c r="AV159" i="1"/>
  <c r="AV157" i="1"/>
  <c r="AT121" i="1"/>
  <c r="AT120" i="1"/>
  <c r="AT119" i="1"/>
  <c r="AX15" i="1"/>
  <c r="AS82" i="1"/>
  <c r="AU108" i="1"/>
  <c r="AU107" i="1"/>
  <c r="AU72" i="1"/>
  <c r="AU71" i="1"/>
  <c r="AS53" i="1"/>
  <c r="AS52" i="1"/>
  <c r="AR114" i="1"/>
  <c r="AR121" i="1" s="1"/>
  <c r="AW114" i="1"/>
  <c r="AW121" i="1" s="1"/>
  <c r="AW20" i="1"/>
  <c r="AW19" i="1"/>
  <c r="AX14" i="1"/>
  <c r="AT9" i="1"/>
  <c r="AT10" i="1"/>
  <c r="AU4" i="1"/>
  <c r="AU118" i="1"/>
  <c r="AS117" i="1"/>
  <c r="AR159" i="1"/>
  <c r="AR157" i="1"/>
  <c r="AS121" i="1"/>
  <c r="AS120" i="1"/>
  <c r="AS119" i="1"/>
  <c r="AR46" i="1"/>
  <c r="AW47" i="1"/>
  <c r="AV46" i="1"/>
  <c r="AU82" i="1"/>
  <c r="AV160" i="1"/>
  <c r="AV158" i="1"/>
  <c r="AV162" i="1" s="1"/>
  <c r="AV121" i="1"/>
  <c r="AV120" i="1"/>
  <c r="AV119" i="1"/>
  <c r="AR156" i="1"/>
  <c r="AX16" i="1"/>
  <c r="AV161" i="1" l="1"/>
  <c r="G117" i="5"/>
  <c r="G115" i="5"/>
  <c r="AM109" i="4"/>
  <c r="AN115" i="4"/>
  <c r="AM115" i="4" s="1"/>
  <c r="AN117" i="4"/>
  <c r="AM117" i="4" s="1"/>
  <c r="H117" i="5"/>
  <c r="H115" i="5"/>
  <c r="AU10" i="1"/>
  <c r="AU9" i="1"/>
  <c r="AS88" i="1"/>
  <c r="AS87" i="1"/>
  <c r="AR162" i="1"/>
  <c r="AR161" i="1"/>
  <c r="AU88" i="1"/>
  <c r="AU87" i="1"/>
  <c r="AW53" i="1"/>
  <c r="AW52" i="1"/>
  <c r="AU124" i="1"/>
  <c r="AU123" i="1"/>
  <c r="AX19" i="1"/>
  <c r="AX20" i="1"/>
  <c r="AR88" i="1"/>
  <c r="AR87" i="1"/>
  <c r="AV53" i="1"/>
  <c r="AV52" i="1"/>
  <c r="AU53" i="1"/>
  <c r="AU52" i="1"/>
  <c r="AW108" i="1"/>
  <c r="AW107" i="1"/>
  <c r="AT88" i="1"/>
  <c r="AT87" i="1"/>
  <c r="AR143" i="1"/>
  <c r="AR142" i="1"/>
  <c r="AT143" i="1"/>
  <c r="AT142" i="1"/>
  <c r="AT53" i="1"/>
  <c r="AT52" i="1"/>
  <c r="AR53" i="1"/>
  <c r="AR52" i="1"/>
  <c r="AR110" i="1"/>
  <c r="AR117" i="1" s="1"/>
  <c r="AW110" i="1"/>
  <c r="AW117" i="1" s="1"/>
  <c r="AX13" i="1"/>
  <c r="AT117" i="1"/>
  <c r="AV117" i="1"/>
  <c r="AR111" i="1"/>
  <c r="AR118" i="1" s="1"/>
  <c r="AT19" i="1"/>
  <c r="AW111" i="1"/>
  <c r="AW118" i="1" s="1"/>
  <c r="AT20" i="1"/>
  <c r="AV118" i="1"/>
  <c r="AS118" i="1"/>
  <c r="AT118" i="1"/>
  <c r="AU143" i="1"/>
  <c r="AU142" i="1"/>
  <c r="AS124" i="1" l="1"/>
  <c r="AS123" i="1"/>
  <c r="AT124" i="1"/>
  <c r="AT123" i="1"/>
  <c r="AV124" i="1"/>
  <c r="AV123" i="1"/>
  <c r="AW124" i="1"/>
  <c r="AW123" i="1"/>
  <c r="AR124" i="1"/>
  <c r="AR123" i="1"/>
</calcChain>
</file>

<file path=xl/sharedStrings.xml><?xml version="1.0" encoding="utf-8"?>
<sst xmlns="http://schemas.openxmlformats.org/spreadsheetml/2006/main" count="27430" uniqueCount="1298">
  <si>
    <t>BothIV&gt;1h</t>
  </si>
  <si>
    <t>Group</t>
  </si>
  <si>
    <t>Indiv</t>
  </si>
  <si>
    <t>Date</t>
  </si>
  <si>
    <t>DayNum</t>
  </si>
  <si>
    <t>Flag</t>
  </si>
  <si>
    <t>Patch_StartTime</t>
  </si>
  <si>
    <t>Patch_EndTime</t>
  </si>
  <si>
    <t>PatchResidence</t>
  </si>
  <si>
    <t>Patch_ForageTime</t>
  </si>
  <si>
    <t>ForageTime_seconds</t>
  </si>
  <si>
    <t>TimeToNext</t>
  </si>
  <si>
    <t>TimeTravelToNext</t>
  </si>
  <si>
    <t>Weather</t>
  </si>
  <si>
    <t>Season</t>
  </si>
  <si>
    <t>ReproStatus</t>
  </si>
  <si>
    <t>ScanAd</t>
  </si>
  <si>
    <t>ScanJv</t>
  </si>
  <si>
    <t>InfCarr</t>
  </si>
  <si>
    <t>Height</t>
  </si>
  <si>
    <t>Light</t>
  </si>
  <si>
    <t>Food</t>
  </si>
  <si>
    <t>Eaten</t>
  </si>
  <si>
    <t>Color</t>
  </si>
  <si>
    <t>Family</t>
  </si>
  <si>
    <t>Genus</t>
  </si>
  <si>
    <t>Species</t>
  </si>
  <si>
    <t>FGS</t>
  </si>
  <si>
    <t>No_ID?</t>
  </si>
  <si>
    <t>Habit</t>
  </si>
  <si>
    <t>Detection</t>
  </si>
  <si>
    <t>First(blank=alone)</t>
  </si>
  <si>
    <t>Tree</t>
  </si>
  <si>
    <t>Seed</t>
  </si>
  <si>
    <t>Ambient</t>
  </si>
  <si>
    <t>Censor</t>
  </si>
  <si>
    <t>OtherAdBehav</t>
  </si>
  <si>
    <t>OtherAdSubBehav</t>
  </si>
  <si>
    <t>Times_visited</t>
  </si>
  <si>
    <t>Unmarked?</t>
  </si>
  <si>
    <t>sum_marked</t>
  </si>
  <si>
    <t>Fem</t>
  </si>
  <si>
    <t>Sun/Cld</t>
  </si>
  <si>
    <t>Wet</t>
  </si>
  <si>
    <t>lactating</t>
  </si>
  <si>
    <t>&lt;10m</t>
  </si>
  <si>
    <t>No</t>
  </si>
  <si>
    <t>&lt;20m</t>
  </si>
  <si>
    <t>Lrg Gap</t>
  </si>
  <si>
    <t>Fruit</t>
  </si>
  <si>
    <t>aril</t>
  </si>
  <si>
    <t xml:space="preserve">green brown </t>
  </si>
  <si>
    <t>Fabaceae</t>
  </si>
  <si>
    <t>Inga</t>
  </si>
  <si>
    <t>oerstediana</t>
  </si>
  <si>
    <t>Fabaceae Inga oerstediana (Fruit)</t>
  </si>
  <si>
    <t>tree</t>
  </si>
  <si>
    <t>Luminance</t>
  </si>
  <si>
    <t>1_RT_20Sep05_0917</t>
  </si>
  <si>
    <t>hard</t>
  </si>
  <si>
    <t>Lrg_Gap_Sun/Cld</t>
  </si>
  <si>
    <t>Travel</t>
  </si>
  <si>
    <t>Total patches together and alone</t>
  </si>
  <si>
    <t>Total discovered YOR patches</t>
  </si>
  <si>
    <t>%</t>
  </si>
  <si>
    <t>Total "discovered" patches</t>
  </si>
  <si>
    <t>Prt Shade</t>
  </si>
  <si>
    <t>Insect</t>
  </si>
  <si>
    <t>insect</t>
  </si>
  <si>
    <t>insect   (Insect)</t>
  </si>
  <si>
    <t>Cryptic</t>
  </si>
  <si>
    <t>Prt_Shade_Sun/Cld</t>
  </si>
  <si>
    <t>Walk</t>
  </si>
  <si>
    <t>all</t>
  </si>
  <si>
    <t>males_YOR</t>
  </si>
  <si>
    <t>Cloud</t>
  </si>
  <si>
    <t>&lt;5m</t>
  </si>
  <si>
    <t>pulp</t>
  </si>
  <si>
    <t>purple yellow red</t>
  </si>
  <si>
    <t>Annonaceae</t>
  </si>
  <si>
    <t>Oxandra</t>
  </si>
  <si>
    <t>sphaerocarpa</t>
  </si>
  <si>
    <t>Annonaceae Oxandra sphaerocarpa (Fruit)</t>
  </si>
  <si>
    <t>YOR_Lumin</t>
  </si>
  <si>
    <t>fem</t>
  </si>
  <si>
    <t>1_FT_27Jan06_1325</t>
  </si>
  <si>
    <t>Rest</t>
  </si>
  <si>
    <t>Sit</t>
  </si>
  <si>
    <t>Grp1</t>
  </si>
  <si>
    <t>females_YOR</t>
  </si>
  <si>
    <t>Rain</t>
  </si>
  <si>
    <t>Contact</t>
  </si>
  <si>
    <t>Full Shade</t>
  </si>
  <si>
    <t xml:space="preserve">   ()</t>
  </si>
  <si>
    <t>Grp2</t>
  </si>
  <si>
    <t>males_YORLum</t>
  </si>
  <si>
    <t xml:space="preserve">green </t>
  </si>
  <si>
    <t>poeppigiana</t>
  </si>
  <si>
    <t>Fabaceae Inga poeppigiana (Fruit)</t>
  </si>
  <si>
    <t>1_FT_27Jan06_1648</t>
  </si>
  <si>
    <t>Grp3</t>
  </si>
  <si>
    <t>females_YORLum</t>
  </si>
  <si>
    <t>Leaf/Stem</t>
  </si>
  <si>
    <t>leaf</t>
  </si>
  <si>
    <t xml:space="preserve">   (Leaf/Stem)</t>
  </si>
  <si>
    <t>liana</t>
  </si>
  <si>
    <t>1_FL_27Jan06_1705</t>
  </si>
  <si>
    <t>GrpS</t>
  </si>
  <si>
    <t>brown white green</t>
  </si>
  <si>
    <t>Arecaceae</t>
  </si>
  <si>
    <t>Ireartea</t>
  </si>
  <si>
    <t>deltoidea</t>
  </si>
  <si>
    <t>Arecaceae Ireartea deltoidea (Fruit)</t>
  </si>
  <si>
    <t>unk</t>
  </si>
  <si>
    <t>1_FT_27Jan06_1713</t>
  </si>
  <si>
    <t>very hard</t>
  </si>
  <si>
    <t>Forage</t>
  </si>
  <si>
    <t>Process</t>
  </si>
  <si>
    <t>GrpW</t>
  </si>
  <si>
    <t>Mal</t>
  </si>
  <si>
    <t>EndOfDay</t>
  </si>
  <si>
    <t>green</t>
  </si>
  <si>
    <t>Early/Late_Cloud</t>
  </si>
  <si>
    <t>mean</t>
  </si>
  <si>
    <t>High</t>
  </si>
  <si>
    <t>pulp? seed?</t>
  </si>
  <si>
    <t>Moraceae</t>
  </si>
  <si>
    <t>Brosimum</t>
  </si>
  <si>
    <t>alicastrum</t>
  </si>
  <si>
    <t>Moraceae Brosimum alicastrum (Fruit)</t>
  </si>
  <si>
    <t>1_FT_13Jan06_1605</t>
  </si>
  <si>
    <t>sd</t>
  </si>
  <si>
    <t>FAR</t>
  </si>
  <si>
    <t>OOV</t>
  </si>
  <si>
    <t>Total foraging time in seconds</t>
  </si>
  <si>
    <t>in hours</t>
  </si>
  <si>
    <t>Total Foraging Time Discovered YOR in seconds</t>
  </si>
  <si>
    <t>hours</t>
  </si>
  <si>
    <t>ratio</t>
  </si>
  <si>
    <t>1_RT_07Feb06_1617</t>
  </si>
  <si>
    <t>pulp seed?</t>
  </si>
  <si>
    <t>black purple red white</t>
  </si>
  <si>
    <t>Myrtaceae</t>
  </si>
  <si>
    <t>Myrcia</t>
  </si>
  <si>
    <t>Myrtaceae Myrcia 6 (Fruit)</t>
  </si>
  <si>
    <t>1_FT_15Feb06_0706</t>
  </si>
  <si>
    <t>1_FL_15Feb06_1302</t>
  </si>
  <si>
    <t>censored</t>
  </si>
  <si>
    <t>yellow red white green</t>
  </si>
  <si>
    <t>Euphorbiaceae</t>
  </si>
  <si>
    <t>Richeria</t>
  </si>
  <si>
    <t>grandis</t>
  </si>
  <si>
    <t>Euphorbiaceae Richeria grandis (Fruit)</t>
  </si>
  <si>
    <t>mal</t>
  </si>
  <si>
    <t>1_FT_15Feb06_1702</t>
  </si>
  <si>
    <t>Search</t>
  </si>
  <si>
    <t>Small Gap</t>
  </si>
  <si>
    <t xml:space="preserve"> </t>
  </si>
  <si>
    <t>green red yellow brown</t>
  </si>
  <si>
    <t>Elaeocarpaceae</t>
  </si>
  <si>
    <t>Sloanea</t>
  </si>
  <si>
    <t>obtusifolia</t>
  </si>
  <si>
    <t>Elaeocarpaceae Sloanea obtusifolia (Fruit)</t>
  </si>
  <si>
    <t>not fem</t>
  </si>
  <si>
    <t>1_FT_09Mar06_1145</t>
  </si>
  <si>
    <t>soft</t>
  </si>
  <si>
    <t>COUNT</t>
  </si>
  <si>
    <t>flower</t>
  </si>
  <si>
    <t>fruit</t>
  </si>
  <si>
    <t>leaf/stem</t>
  </si>
  <si>
    <t>other</t>
  </si>
  <si>
    <t>unknown</t>
  </si>
  <si>
    <t>not lactating</t>
  </si>
  <si>
    <t>1_FT_20Mar06_1152</t>
  </si>
  <si>
    <t>ForageOOV</t>
  </si>
  <si>
    <t>1_FT_20Mar06_1615</t>
  </si>
  <si>
    <t>1_FT_21Mar06_0719</t>
  </si>
  <si>
    <t>yellow green</t>
  </si>
  <si>
    <t>Rollinia</t>
  </si>
  <si>
    <t>edulis</t>
  </si>
  <si>
    <t>Annonaceae Rollinia edulis (Fruit)</t>
  </si>
  <si>
    <t>YOR</t>
  </si>
  <si>
    <t>1_FT_21Mar06_0735</t>
  </si>
  <si>
    <t>COUNT%</t>
  </si>
  <si>
    <t>leaf stem</t>
  </si>
  <si>
    <t>42   (Leaf/Stem)</t>
  </si>
  <si>
    <t>1_RT_21Mar06_1623</t>
  </si>
  <si>
    <t>Recline</t>
  </si>
  <si>
    <t>MEAN</t>
  </si>
  <si>
    <t>SD</t>
  </si>
  <si>
    <t>TIME_SEC</t>
  </si>
  <si>
    <t>&lt;1m</t>
  </si>
  <si>
    <t>1_RT_30Mar06_0641</t>
  </si>
  <si>
    <t>1_FT_10Aug05_0950</t>
  </si>
  <si>
    <t>red brown purple green</t>
  </si>
  <si>
    <t>Duguetia</t>
  </si>
  <si>
    <t>quitarensis</t>
  </si>
  <si>
    <t>Annonaceae Duguetia quitarensis (Fruit)</t>
  </si>
  <si>
    <t>juv</t>
  </si>
  <si>
    <t>1_FT_04Apr06_0933</t>
  </si>
  <si>
    <t>fruit seed</t>
  </si>
  <si>
    <t>red pink purple white yellow</t>
  </si>
  <si>
    <t>Ficus</t>
  </si>
  <si>
    <t>killipii</t>
  </si>
  <si>
    <t>Moraceae Ficus killipii (Fruit)</t>
  </si>
  <si>
    <t>1_FT_10Aug05_0845</t>
  </si>
  <si>
    <t>small</t>
  </si>
  <si>
    <t>TIME%</t>
  </si>
  <si>
    <t>yellow</t>
  </si>
  <si>
    <t>1_RT_17Aug05_1315</t>
  </si>
  <si>
    <t>possibly pregnant</t>
  </si>
  <si>
    <t>1_RT_07Apr06_0622</t>
  </si>
  <si>
    <t>1_RT_09Mar06_1145</t>
  </si>
  <si>
    <t>not mal</t>
  </si>
  <si>
    <t>acreana</t>
  </si>
  <si>
    <t>Fabaceae Inga acreana (Leaf/Stem)</t>
  </si>
  <si>
    <t>1_FT_07Apr06_1441</t>
  </si>
  <si>
    <t>1_FL_07Apr06_1507</t>
  </si>
  <si>
    <t>white pink green (orange)</t>
  </si>
  <si>
    <t>Myristicaceae</t>
  </si>
  <si>
    <t>Otoba</t>
  </si>
  <si>
    <t>parviflora</t>
  </si>
  <si>
    <t>Myristicaceae Otoba parviflora (Fruit)</t>
  </si>
  <si>
    <t>1_ST_28Sep05_1645</t>
  </si>
  <si>
    <t>shoot leaf</t>
  </si>
  <si>
    <t>Fabaceae   (Leaf/Stem)</t>
  </si>
  <si>
    <t>1_RT_27Jan06_1734</t>
  </si>
  <si>
    <t>pregnant</t>
  </si>
  <si>
    <t>1_FT_18Apr06_0801</t>
  </si>
  <si>
    <t>Other</t>
  </si>
  <si>
    <t>YORall</t>
  </si>
  <si>
    <t>stem</t>
  </si>
  <si>
    <t>1_RT_18Apr06_1104</t>
  </si>
  <si>
    <t>pulp seed</t>
  </si>
  <si>
    <t>purple orange yellow black</t>
  </si>
  <si>
    <t>Flacourtiaceae</t>
  </si>
  <si>
    <t>Lunania</t>
  </si>
  <si>
    <t>Flacourtiaceae Lunania parviflora (Fruit)</t>
  </si>
  <si>
    <t>1_FT_18Apr06_1354</t>
  </si>
  <si>
    <t>Ulmaceae</t>
  </si>
  <si>
    <t>Celtis</t>
  </si>
  <si>
    <t>iguanea</t>
  </si>
  <si>
    <t>Ulmaceae Celtis iguanea (Fruit)</t>
  </si>
  <si>
    <t>1_FT_18Apr06_1405</t>
  </si>
  <si>
    <t>1_RT_27Mar06_1613</t>
  </si>
  <si>
    <t>1_RT_27Apr06_0824</t>
  </si>
  <si>
    <t>purple red pink green</t>
  </si>
  <si>
    <t>Nyctaginaceae</t>
  </si>
  <si>
    <t>Neea</t>
  </si>
  <si>
    <t>Nyctaginaceae Neea 28 (Fruit)</t>
  </si>
  <si>
    <t>1_FT_27Apr06_0829</t>
  </si>
  <si>
    <t>Clear</t>
  </si>
  <si>
    <t>1_FT_27Apr06_1019</t>
  </si>
  <si>
    <t>Full_Shade_Clear</t>
  </si>
  <si>
    <t>1_FT_27Apr06_1035</t>
  </si>
  <si>
    <t>Small_Gap_Clear</t>
  </si>
  <si>
    <t>1_RT_27Apr06_1046</t>
  </si>
  <si>
    <t>Prt_Shade_Clear</t>
  </si>
  <si>
    <t xml:space="preserve">   (Fruit)</t>
  </si>
  <si>
    <t>red orange green</t>
  </si>
  <si>
    <t>Sapindaceae</t>
  </si>
  <si>
    <t>Allophylus</t>
  </si>
  <si>
    <t>floribundus</t>
  </si>
  <si>
    <t>Sapindaceae Allophylus floribundus (Fruit)</t>
  </si>
  <si>
    <t>1_FT_27Apr06_1259</t>
  </si>
  <si>
    <t>1_RT_21Mar06_1215</t>
  </si>
  <si>
    <t>1_RT_02Nov05_0745</t>
  </si>
  <si>
    <t>1_FT_20Mar05_1152</t>
  </si>
  <si>
    <t>seed</t>
  </si>
  <si>
    <t>green brown purple</t>
  </si>
  <si>
    <t>Chrysobalanaceae</t>
  </si>
  <si>
    <t>Hirtella</t>
  </si>
  <si>
    <t>lightioides</t>
  </si>
  <si>
    <t>Chrysobalanaceae Hirtella lightioides (Fruit)</t>
  </si>
  <si>
    <t>1_FT_28Apr06_0947</t>
  </si>
  <si>
    <t>green white</t>
  </si>
  <si>
    <t>Icacinaceae</t>
  </si>
  <si>
    <t>Calatola</t>
  </si>
  <si>
    <t>costaricensis</t>
  </si>
  <si>
    <t>Icacinaceae Calatola costaricensis (Fruit)</t>
  </si>
  <si>
    <t>1_FT_28Apr06_1130</t>
  </si>
  <si>
    <t>1_FL_28Apr06_1239</t>
  </si>
  <si>
    <t>1_FT_28Apr06_1350</t>
  </si>
  <si>
    <t>45   (Leaf/Stem)</t>
  </si>
  <si>
    <t>1_RT_19Aug05_1315</t>
  </si>
  <si>
    <t>1_RT_19Aug05_1050</t>
  </si>
  <si>
    <t>Dry</t>
  </si>
  <si>
    <t>1_RT_15May06_0732</t>
  </si>
  <si>
    <t>1_RT_15May06_0743</t>
  </si>
  <si>
    <t>Together</t>
  </si>
  <si>
    <t>AloneFemale</t>
  </si>
  <si>
    <t>AloneMale</t>
  </si>
  <si>
    <t>Al_Once_Fem</t>
  </si>
  <si>
    <t>Al_Once_Mal</t>
  </si>
  <si>
    <t>togetherOR&gt;once</t>
  </si>
  <si>
    <t>not juv</t>
  </si>
  <si>
    <t>1_RT_15May06_0757</t>
  </si>
  <si>
    <t>Flower</t>
  </si>
  <si>
    <t>yellow orange purple green</t>
  </si>
  <si>
    <t>Fabaceae 17  (Flower)</t>
  </si>
  <si>
    <t>1_FL_15May06_1416</t>
  </si>
  <si>
    <t>1_RT_04Nov05_1420</t>
  </si>
  <si>
    <t>black orange white</t>
  </si>
  <si>
    <t>Formicidae</t>
  </si>
  <si>
    <t>Eciton</t>
  </si>
  <si>
    <t>burchelli</t>
  </si>
  <si>
    <t>Formicidae Eciton burchelli (Insect)</t>
  </si>
  <si>
    <t>1_RT_15May06_1626</t>
  </si>
  <si>
    <t>seed? pulp?</t>
  </si>
  <si>
    <t>purple green</t>
  </si>
  <si>
    <t>excelsa</t>
  </si>
  <si>
    <t>Chrysobalanaceae Hirtella excelsa (Fruit)</t>
  </si>
  <si>
    <t>1_RT_06Jul06_1123</t>
  </si>
  <si>
    <t xml:space="preserve">?  </t>
  </si>
  <si>
    <t>1_RT_26Jul06_0628</t>
  </si>
  <si>
    <t>1_RT_26Jul06_0741</t>
  </si>
  <si>
    <t>green brown</t>
  </si>
  <si>
    <t>Machaerium</t>
  </si>
  <si>
    <t>Fabaceae Machaerium 1 (Fruit)</t>
  </si>
  <si>
    <t>1_FL_26Jul06_0802</t>
  </si>
  <si>
    <t xml:space="preserve">yellow orange green </t>
  </si>
  <si>
    <t>Solanaceae</t>
  </si>
  <si>
    <t>Lycianthes</t>
  </si>
  <si>
    <t>Solanaceae Lycianthes  (Fruit)</t>
  </si>
  <si>
    <t>2_FL_26Jul06_1129</t>
  </si>
  <si>
    <t>Zygia</t>
  </si>
  <si>
    <t>macrophyllum</t>
  </si>
  <si>
    <t>Fabaceae Zygia macrophyllum (Leaf/Stem)</t>
  </si>
  <si>
    <t>1_FT_26Jul06_1457</t>
  </si>
  <si>
    <t>Vocal</t>
  </si>
  <si>
    <t>1_RT_09Mar06_1025</t>
  </si>
  <si>
    <t>1_FL_26Jul06_1626</t>
  </si>
  <si>
    <t>black purple red green</t>
  </si>
  <si>
    <t>Xylosma</t>
  </si>
  <si>
    <t>intermedium</t>
  </si>
  <si>
    <t>Flacourtiaceae Xylosma intermedium (Fruit)</t>
  </si>
  <si>
    <t>1_FT_27Jul06_0711</t>
  </si>
  <si>
    <t>TIME_H</t>
  </si>
  <si>
    <t>Rosaceae</t>
  </si>
  <si>
    <t>Prunus</t>
  </si>
  <si>
    <t>vana</t>
  </si>
  <si>
    <t>Rosaceae Prunus vana (Fruit)</t>
  </si>
  <si>
    <t>1_FT_27Jul06_0814</t>
  </si>
  <si>
    <t>1_FT_08Aug05_0830</t>
  </si>
  <si>
    <t>1_FL_27Jul06_1518</t>
  </si>
  <si>
    <t>1_RT_18Aug06_0916</t>
  </si>
  <si>
    <t>red pink brown green (yellow) (white)</t>
  </si>
  <si>
    <t>Burseraceae</t>
  </si>
  <si>
    <t>Protium</t>
  </si>
  <si>
    <t>puncticulatum</t>
  </si>
  <si>
    <t>Burseraceae Protium puncticulatum (Fruit)</t>
  </si>
  <si>
    <t>1_FT_18Aug06_0947</t>
  </si>
  <si>
    <t>1_RT_03Nov05_0645</t>
  </si>
  <si>
    <t>1_FT_18Aug06_1024</t>
  </si>
  <si>
    <t>59   (Flower)</t>
  </si>
  <si>
    <t>1_FL_18Aug06_1202</t>
  </si>
  <si>
    <t>Sterculiaceae</t>
  </si>
  <si>
    <t>Byttneria</t>
  </si>
  <si>
    <t>pescapraeifolia</t>
  </si>
  <si>
    <t>Sterculiaceae Byttneria pescapraeifolia (Fruit)</t>
  </si>
  <si>
    <t>1_RT_28Apr06_1150</t>
  </si>
  <si>
    <t>1_FT_18Aug06_1324</t>
  </si>
  <si>
    <t>1_FT_18Aug06_1346</t>
  </si>
  <si>
    <t>triandra</t>
  </si>
  <si>
    <t>Chrysobalanaceae Hirtella triandra (Fruit)</t>
  </si>
  <si>
    <t>1_FT_18Jul05_0000</t>
  </si>
  <si>
    <t>1_FT_18Aug06_1624</t>
  </si>
  <si>
    <t>Alone and Once</t>
  </si>
  <si>
    <t>1_RT_18Aug05_1125</t>
  </si>
  <si>
    <t xml:space="preserve">brown green </t>
  </si>
  <si>
    <t>1_RT_23Aug06_1022</t>
  </si>
  <si>
    <t>brown orange yellow white</t>
  </si>
  <si>
    <t>hamatum</t>
  </si>
  <si>
    <t>Formicidae Eciton hamatum (Insect)</t>
  </si>
  <si>
    <t>1_RT_27Jul06_1320</t>
  </si>
  <si>
    <t>green black pink</t>
  </si>
  <si>
    <t>Lauraceae</t>
  </si>
  <si>
    <t>Lauraceae 2  (Fruit)</t>
  </si>
  <si>
    <t>1_FT_23Aug06_1252</t>
  </si>
  <si>
    <t>Lrg_Gap_Clear</t>
  </si>
  <si>
    <t>1_RT_08Aug05_1344</t>
  </si>
  <si>
    <t>Social</t>
  </si>
  <si>
    <t>Groom</t>
  </si>
  <si>
    <t>fruit seed?</t>
  </si>
  <si>
    <t xml:space="preserve">red </t>
  </si>
  <si>
    <t>Dilleniaceae</t>
  </si>
  <si>
    <t>Doliocarpus</t>
  </si>
  <si>
    <t>Dilleniaceae Doliocarpus  (Fruit)</t>
  </si>
  <si>
    <t>1_RT_04Nov05_1255</t>
  </si>
  <si>
    <t xml:space="preserve">yellow green </t>
  </si>
  <si>
    <t>1_FL_07Sep06_1050</t>
  </si>
  <si>
    <t>1_RT_07Sep06_1200</t>
  </si>
  <si>
    <t>1_FT_07Sep06_1503</t>
  </si>
  <si>
    <t>Alone Once YOR shade</t>
  </si>
  <si>
    <t>Alone Once YOR cloud</t>
  </si>
  <si>
    <t>1_RT_28Apr06_1635</t>
  </si>
  <si>
    <t xml:space="preserve">purple red pink green white </t>
  </si>
  <si>
    <t>trigona</t>
  </si>
  <si>
    <t>Moraceae Ficus trigona (Fruit)</t>
  </si>
  <si>
    <t>hemiepiphyte</t>
  </si>
  <si>
    <t>1_FT_26Sep06_1231</t>
  </si>
  <si>
    <t>1_FT_26Sep06_1257</t>
  </si>
  <si>
    <t>Fabaceae 1  (Leaf/Stem)</t>
  </si>
  <si>
    <t>1_FL_26Sep06_1427</t>
  </si>
  <si>
    <t>1_FL_03Oct06_0647</t>
  </si>
  <si>
    <t xml:space="preserve">orange </t>
  </si>
  <si>
    <t>Menispermaceae</t>
  </si>
  <si>
    <t>Sciadotenia</t>
  </si>
  <si>
    <t>toxifera</t>
  </si>
  <si>
    <t>Menispermaceae Sciadotenia toxifera (Fruit)</t>
  </si>
  <si>
    <t>1_FL_03Oct06_0735</t>
  </si>
  <si>
    <t>1_FL_18Nov05_1405</t>
  </si>
  <si>
    <t>1_RT_03Oct06_0937</t>
  </si>
  <si>
    <t>Fabaceae Inga 20 (Fruit)</t>
  </si>
  <si>
    <t>1_FT_03Oct06_1009</t>
  </si>
  <si>
    <t>Passifloraceae</t>
  </si>
  <si>
    <t>Passiflora</t>
  </si>
  <si>
    <t>Passifloraceae Passiflora 44 (Leaf/Stem)</t>
  </si>
  <si>
    <t>1_RT_03Oct06_1229</t>
  </si>
  <si>
    <t>1_FT_03Oct06_1245</t>
  </si>
  <si>
    <t>1_FT_09Mar06_1144</t>
  </si>
  <si>
    <t>Tettigoniidae (Orthoptera)</t>
  </si>
  <si>
    <t>Tettigoniidae (Orthoptera)   (Insect)</t>
  </si>
  <si>
    <t>1_RT_07Feb06_1100</t>
  </si>
  <si>
    <t>rolled leaf</t>
  </si>
  <si>
    <t>rolled leaf   (Insect)</t>
  </si>
  <si>
    <t>1_FT_18Apr06_0811</t>
  </si>
  <si>
    <t>1_FL_28Apr06_0759</t>
  </si>
  <si>
    <t>1_FL_28Apr06_1019</t>
  </si>
  <si>
    <t>1_FL_28Apr06_1212</t>
  </si>
  <si>
    <t xml:space="preserve">red orange yellow </t>
  </si>
  <si>
    <t>Fabaceae 16  (Flower)</t>
  </si>
  <si>
    <t>1_FL_28Apr06_1346</t>
  </si>
  <si>
    <t>shoot</t>
  </si>
  <si>
    <t xml:space="preserve">brown </t>
  </si>
  <si>
    <t>Polygonaceae</t>
  </si>
  <si>
    <t>Coccoloba</t>
  </si>
  <si>
    <t>Polygonaceae Coccoloba 71 (Leaf/Stem)</t>
  </si>
  <si>
    <t>1_FT_15May06_0843</t>
  </si>
  <si>
    <t>pulp?</t>
  </si>
  <si>
    <t>black yellow pink (red)</t>
  </si>
  <si>
    <t>Staphyleaceae</t>
  </si>
  <si>
    <t>Huertea</t>
  </si>
  <si>
    <t>glandulosa</t>
  </si>
  <si>
    <t>Staphyleaceae Huertea glandulosa (Fruit)</t>
  </si>
  <si>
    <t>1_FT_15May06_1028</t>
  </si>
  <si>
    <t>1_FT_15May06_1112</t>
  </si>
  <si>
    <t>1_FL_26Jul06_1617</t>
  </si>
  <si>
    <t>pink green</t>
  </si>
  <si>
    <t>55   (Leaf/Stem)</t>
  </si>
  <si>
    <t>1_RT_17Aug05_1435</t>
  </si>
  <si>
    <t>Yes</t>
  </si>
  <si>
    <t>Lauraceae 3  (Fruit)</t>
  </si>
  <si>
    <t>1_FT_23Aug06_1431</t>
  </si>
  <si>
    <t>red green white (pink)</t>
  </si>
  <si>
    <t>Sapium</t>
  </si>
  <si>
    <t>aereum</t>
  </si>
  <si>
    <t>Euphorbiaceae Sapium aereum (Fruit)</t>
  </si>
  <si>
    <t>2_RT_23Sep05_0654</t>
  </si>
  <si>
    <t>Early/Late_Clear</t>
  </si>
  <si>
    <t xml:space="preserve">? </t>
  </si>
  <si>
    <t>2_FT_22Sep05_0855</t>
  </si>
  <si>
    <t>2_FT_06Feb06_0624</t>
  </si>
  <si>
    <t>2_RT_06Feb06_0642</t>
  </si>
  <si>
    <t>red pink purple brown (white)</t>
  </si>
  <si>
    <t>tenuifolium</t>
  </si>
  <si>
    <t>Burseraceae Protium tenuifolium (Fruit)</t>
  </si>
  <si>
    <t>2_FT_06Feb06_0749</t>
  </si>
  <si>
    <t>purple black yellow red orange</t>
  </si>
  <si>
    <t>Sorocea</t>
  </si>
  <si>
    <t>pileata</t>
  </si>
  <si>
    <t>Moraceae Sorocea pileata (Fruit)</t>
  </si>
  <si>
    <t>2_FT_18Jan06_1601</t>
  </si>
  <si>
    <t>2_FT_06Feb06_1643</t>
  </si>
  <si>
    <t>2_FL_06Feb06_1723</t>
  </si>
  <si>
    <t>green (red) (yellow) (brown)</t>
  </si>
  <si>
    <t>2_FT_09Feb06_0729</t>
  </si>
  <si>
    <t>2_RT_09Sep05_0810</t>
  </si>
  <si>
    <t>2_RT_23Nov05_1306</t>
  </si>
  <si>
    <t>Fabaceae 7  (Leaf/Stem)</t>
  </si>
  <si>
    <t>2_FT_09Feb06_1559</t>
  </si>
  <si>
    <t>2_RT_10Mar06_0644</t>
  </si>
  <si>
    <t>2_RT_23Jan06_0814</t>
  </si>
  <si>
    <t>2_RT_10Mar06_0912</t>
  </si>
  <si>
    <t>black</t>
  </si>
  <si>
    <t>2_FT_10Mar06_1627</t>
  </si>
  <si>
    <t>2_RT_10Mar06_1713</t>
  </si>
  <si>
    <t>pink red black white</t>
  </si>
  <si>
    <t>Xylopia</t>
  </si>
  <si>
    <t>ligustrifolia</t>
  </si>
  <si>
    <t>Annonaceae Xylopia ligustrifolia (Fruit)</t>
  </si>
  <si>
    <t>2_FT_13Mar06_0627</t>
  </si>
  <si>
    <t>brown</t>
  </si>
  <si>
    <t>white yellow</t>
  </si>
  <si>
    <t>Casearia</t>
  </si>
  <si>
    <t>decandra</t>
  </si>
  <si>
    <t>Flacourtiaceae Casearia decandra (Fruit)</t>
  </si>
  <si>
    <t>2_FT_13Mar06_1437</t>
  </si>
  <si>
    <t>aril?</t>
  </si>
  <si>
    <t>green orange black</t>
  </si>
  <si>
    <t>Cupania</t>
  </si>
  <si>
    <t>cinerea</t>
  </si>
  <si>
    <t>Sapindaceae Cupania cinerea (Fruit)</t>
  </si>
  <si>
    <t>2_FT_23Sep05_1441</t>
  </si>
  <si>
    <t xml:space="preserve">   (Other)</t>
  </si>
  <si>
    <t>2_FT_17Mar06_0702</t>
  </si>
  <si>
    <t>white green</t>
  </si>
  <si>
    <t>Apocynaceae</t>
  </si>
  <si>
    <t>Apocynaceae 34  (Flower)</t>
  </si>
  <si>
    <t>2_FL_11Apr06_1207</t>
  </si>
  <si>
    <t>orange yellow green</t>
  </si>
  <si>
    <t>Paullinia</t>
  </si>
  <si>
    <t>obovata</t>
  </si>
  <si>
    <t>Sapindaceae Paullinia obovata (Fruit)</t>
  </si>
  <si>
    <t>2_RT_11Apr06_1243</t>
  </si>
  <si>
    <t>2_FT_11Apr06_1352</t>
  </si>
  <si>
    <t>2_ST_21Sep05_1718</t>
  </si>
  <si>
    <t>2_FT_25Apr06_1412</t>
  </si>
  <si>
    <t>2_FL_25Apr06_1435</t>
  </si>
  <si>
    <t>2_FL_17May06_0906</t>
  </si>
  <si>
    <t>2_RT_17May06_0925</t>
  </si>
  <si>
    <t>2_RT_17May06_1007</t>
  </si>
  <si>
    <t>black purple green</t>
  </si>
  <si>
    <t>Unonopsis</t>
  </si>
  <si>
    <t>floribunda</t>
  </si>
  <si>
    <t>Annonaceae Unonopsis floribunda (Fruit)</t>
  </si>
  <si>
    <t>2_FT_17May06_1100</t>
  </si>
  <si>
    <t>black purple yellow pink orange</t>
  </si>
  <si>
    <t>Rubiaceae</t>
  </si>
  <si>
    <t>Faramea</t>
  </si>
  <si>
    <t>occidentalis</t>
  </si>
  <si>
    <t>Rubiaceae Faramea occidentalis (Fruit)</t>
  </si>
  <si>
    <t>2_FT_17May06_1402</t>
  </si>
  <si>
    <t>2_FL_17May06_1435</t>
  </si>
  <si>
    <t>yellow white green</t>
  </si>
  <si>
    <t>scrobiculatus</t>
  </si>
  <si>
    <t>Sapindaceae Allophylus scrobiculatus (Fruit)</t>
  </si>
  <si>
    <t>2_FT_23May06_0958</t>
  </si>
  <si>
    <t xml:space="preserve">yellow </t>
  </si>
  <si>
    <t>Icacinaceae Calatola 1 (Fruit)</t>
  </si>
  <si>
    <t>2_RT_23May06_1255</t>
  </si>
  <si>
    <t>2_FL_23May06_1353</t>
  </si>
  <si>
    <t>2_FT_29Jun06_0941</t>
  </si>
  <si>
    <t>50   (Leaf/Stem)</t>
  </si>
  <si>
    <t>2_FL_29Jun06_0941</t>
  </si>
  <si>
    <t>2_FT_29Jun06_0949</t>
  </si>
  <si>
    <t>2_FL_29Jun06_1009</t>
  </si>
  <si>
    <t>2_FT_29Jun06_1016</t>
  </si>
  <si>
    <t>2_FT_23Nov05_1145</t>
  </si>
  <si>
    <t>2_FT_17Mar06_1402</t>
  </si>
  <si>
    <t>2_RT_12Sep05_1359</t>
  </si>
  <si>
    <t>2_RT_29Jun06_1410</t>
  </si>
  <si>
    <t>yellow orange brown white black</t>
  </si>
  <si>
    <t>Celastraceae</t>
  </si>
  <si>
    <t>Gymnosporia</t>
  </si>
  <si>
    <t>magnifolia</t>
  </si>
  <si>
    <t>Celastraceae Gymnosporia magnifolia (Fruit)</t>
  </si>
  <si>
    <t>2_RT_29Jun06_1422</t>
  </si>
  <si>
    <t>flower?</t>
  </si>
  <si>
    <t>orange yellow red pink</t>
  </si>
  <si>
    <t>Combretaceae</t>
  </si>
  <si>
    <t>Combretum</t>
  </si>
  <si>
    <t>assimile</t>
  </si>
  <si>
    <t>Combretaceae Combretum assimile (Flower)</t>
  </si>
  <si>
    <t>2_RT_02Dec05_1616</t>
  </si>
  <si>
    <t>2_RT_17May06_1220</t>
  </si>
  <si>
    <t>2_ST_22Sep06_1655</t>
  </si>
  <si>
    <t>purple red pink white green</t>
  </si>
  <si>
    <t>2_FT_25Jul06_0800</t>
  </si>
  <si>
    <t>2_FT_25Jul06_0819</t>
  </si>
  <si>
    <t>2_RT_25Jul06_0956</t>
  </si>
  <si>
    <t>2_FT_25Jul06_1549</t>
  </si>
  <si>
    <t>fosteri</t>
  </si>
  <si>
    <t>Annonaceae Rollinia fosteri (Fruit)</t>
  </si>
  <si>
    <t>2_FT_25Jul06_1600</t>
  </si>
  <si>
    <t>orange yellow</t>
  </si>
  <si>
    <t>lactescens</t>
  </si>
  <si>
    <t>Moraceae Brosimum lactescens (Fruit)</t>
  </si>
  <si>
    <t>2_FT_25Jul06_1624</t>
  </si>
  <si>
    <t>2_FT_14Aug06_0635</t>
  </si>
  <si>
    <t>2_FT_14Aug06_0713</t>
  </si>
  <si>
    <t>2_RT_02Dec05_0000</t>
  </si>
  <si>
    <t>2_RT_15Sep05_0826</t>
  </si>
  <si>
    <t>2_FL_02Dec05_0806</t>
  </si>
  <si>
    <t>46   (Leaf/Stem)</t>
  </si>
  <si>
    <t>2_FT_21Aug06_1201</t>
  </si>
  <si>
    <t>Violaceae</t>
  </si>
  <si>
    <t>Leonia</t>
  </si>
  <si>
    <t>racemosa</t>
  </si>
  <si>
    <t>Violaceae Leonia racemosa (Fruit)</t>
  </si>
  <si>
    <t>2_FT_21Aug06_1216</t>
  </si>
  <si>
    <t>2_FL_21Aug06_1602</t>
  </si>
  <si>
    <t>2_RT_25Jul06_0753</t>
  </si>
  <si>
    <t>2_FT_25Aug06_0911</t>
  </si>
  <si>
    <t>green purple</t>
  </si>
  <si>
    <t>2_RT_09Feb06_1635</t>
  </si>
  <si>
    <t>red orange</t>
  </si>
  <si>
    <t>Formicidae   (Insect)</t>
  </si>
  <si>
    <t>2_RT_23May06_1542</t>
  </si>
  <si>
    <t>red pink purple black</t>
  </si>
  <si>
    <t>Myrsinaceae</t>
  </si>
  <si>
    <t>Stylogyne</t>
  </si>
  <si>
    <t>cauliflora</t>
  </si>
  <si>
    <t>Myrsinaceae Stylogyne cauliflora (Fruit)</t>
  </si>
  <si>
    <t>2_FT_25Aug06_1134</t>
  </si>
  <si>
    <t>purple red brown</t>
  </si>
  <si>
    <t>Combretaceae Combretum assimile (Fruit)</t>
  </si>
  <si>
    <t>2_RT_02Dec05_1205</t>
  </si>
  <si>
    <t>2_FT_24Aug06_1134</t>
  </si>
  <si>
    <t>seed?</t>
  </si>
  <si>
    <t>white brown (yellow)</t>
  </si>
  <si>
    <t>Fabaceae 19  (Fruit)</t>
  </si>
  <si>
    <t>2_ST_29Jun06_0617</t>
  </si>
  <si>
    <t>2_RT_06Sep06_1137</t>
  </si>
  <si>
    <t xml:space="preserve">white </t>
  </si>
  <si>
    <t>Lauraceae 4  (Flower)</t>
  </si>
  <si>
    <t>2_FT_06Sep06_1301</t>
  </si>
  <si>
    <t>2_FL_06Sep06_1312</t>
  </si>
  <si>
    <t>Pseudolmedia</t>
  </si>
  <si>
    <t>laevis</t>
  </si>
  <si>
    <t>Moraceae Pseudolmedia laevis (Fruit)</t>
  </si>
  <si>
    <t>2_RT_29Jun06_0917</t>
  </si>
  <si>
    <t>2_FT_06Sep06_1554</t>
  </si>
  <si>
    <t>2_RT_23Nov05_1106</t>
  </si>
  <si>
    <t>2_ST_23Sep05_1725</t>
  </si>
  <si>
    <t>Lauraceae 4  (Fruit)</t>
  </si>
  <si>
    <t>2_FT_06Sep06_1201</t>
  </si>
  <si>
    <t xml:space="preserve">green red </t>
  </si>
  <si>
    <t>Virola</t>
  </si>
  <si>
    <t>calophylla</t>
  </si>
  <si>
    <t>Myristicaceae Virola calophylla (Fruit)</t>
  </si>
  <si>
    <t>2_RT_02Dec05_0847</t>
  </si>
  <si>
    <t>Nyctaginaceae Neea 68 (Leaf/Stem)</t>
  </si>
  <si>
    <t>2_FT_08Sep06_1621</t>
  </si>
  <si>
    <t>aril seed?</t>
  </si>
  <si>
    <t>red black green</t>
  </si>
  <si>
    <t>Tetracera</t>
  </si>
  <si>
    <t>Dilleniaceae Tetracera parviflora (Fruit)</t>
  </si>
  <si>
    <t>2_RT_06Sep06_1225</t>
  </si>
  <si>
    <t>2_FL_08Sep06_1639</t>
  </si>
  <si>
    <t>2_RT_29Jun06_0653</t>
  </si>
  <si>
    <t>Rubiaceae Faramea occidentalis (Leaf/Stem)</t>
  </si>
  <si>
    <t>2_FT_08Sep06_1720</t>
  </si>
  <si>
    <t>yellow red</t>
  </si>
  <si>
    <t>2_FT_28Jun06_1125</t>
  </si>
  <si>
    <t>red pink white</t>
  </si>
  <si>
    <t>Clusiaceae</t>
  </si>
  <si>
    <t>Chrysochlamys</t>
  </si>
  <si>
    <t>ulei</t>
  </si>
  <si>
    <t>Clusiaceae Chrysochlamys ulei (Fruit)</t>
  </si>
  <si>
    <t>2_FT_02Dec05_0847</t>
  </si>
  <si>
    <t>green pink</t>
  </si>
  <si>
    <t>66   (Leaf/Stem)</t>
  </si>
  <si>
    <t>2_FT_22Sep06_1332</t>
  </si>
  <si>
    <t>lehmannii</t>
  </si>
  <si>
    <t>Polygonaceae Coccoloba lehmannii (Leaf/Stem)</t>
  </si>
  <si>
    <t>Guatteria</t>
  </si>
  <si>
    <t>discolor</t>
  </si>
  <si>
    <t>Annonaceae Guatteria discolor (Fruit)</t>
  </si>
  <si>
    <t xml:space="preserve">green pink </t>
  </si>
  <si>
    <t>possibly lactating</t>
  </si>
  <si>
    <t>green red yellow</t>
  </si>
  <si>
    <t>2_FL_04Oct06_0711</t>
  </si>
  <si>
    <t>2_RT_23Sep05_1348</t>
  </si>
  <si>
    <t>orange red</t>
  </si>
  <si>
    <t>Meliaceae</t>
  </si>
  <si>
    <t>Trichilia</t>
  </si>
  <si>
    <t>maynasiana</t>
  </si>
  <si>
    <t>Meliaceae Trichilia maynasiana (Fruit)</t>
  </si>
  <si>
    <t>2_FT_04Oct06_0834</t>
  </si>
  <si>
    <t>2_FT_15Sep05_0945</t>
  </si>
  <si>
    <t>stem leaf</t>
  </si>
  <si>
    <t>2_FL_23May06_1251</t>
  </si>
  <si>
    <t xml:space="preserve">pink </t>
  </si>
  <si>
    <t>2_FT_28Jun06_1155</t>
  </si>
  <si>
    <t>2_FT_08Sep05_1650</t>
  </si>
  <si>
    <t>2_RT_06Feb06_1143</t>
  </si>
  <si>
    <t>2_RT_06Sep06_1211</t>
  </si>
  <si>
    <t>Dichapetalaceae</t>
  </si>
  <si>
    <t>Tapura</t>
  </si>
  <si>
    <t>juruana</t>
  </si>
  <si>
    <t>Dichapetalaceae Tapura juruana (Fruit)</t>
  </si>
  <si>
    <t>3_FT_03Feb06_1103</t>
  </si>
  <si>
    <t xml:space="preserve">pink green </t>
  </si>
  <si>
    <t>3_FT_03Feb06_1357</t>
  </si>
  <si>
    <t>3_FL_03Feb06_1432</t>
  </si>
  <si>
    <t>Stem</t>
  </si>
  <si>
    <t>leiocalycina</t>
  </si>
  <si>
    <t>Fabaceae Inga leiocalycina (Fruit)</t>
  </si>
  <si>
    <t>3_FT_03Feb06_1454</t>
  </si>
  <si>
    <t>3_FT_20Jan06_0813</t>
  </si>
  <si>
    <t>3_FT_03Feb06_1532</t>
  </si>
  <si>
    <t>purple</t>
  </si>
  <si>
    <t xml:space="preserve">   (Flower)</t>
  </si>
  <si>
    <t>VB</t>
  </si>
  <si>
    <t>Far</t>
  </si>
  <si>
    <t>3_FT_10Feb06_0717</t>
  </si>
  <si>
    <t>Mabea</t>
  </si>
  <si>
    <t>Euphorbiaceae Mabea  (Fruit)</t>
  </si>
  <si>
    <t>3_FL_10Feb06_1229</t>
  </si>
  <si>
    <t>green yellow</t>
  </si>
  <si>
    <t>Hippocrataceae</t>
  </si>
  <si>
    <t>Cheiloclinium</t>
  </si>
  <si>
    <t>cognatum</t>
  </si>
  <si>
    <t>Hippocrataceae Cheiloclinium cognatum (Fruit)</t>
  </si>
  <si>
    <t>3_FT_20Jan06_1337</t>
  </si>
  <si>
    <t>3_RT_19Sep05_1102</t>
  </si>
  <si>
    <t>red yellow orange brown</t>
  </si>
  <si>
    <t>Perebea</t>
  </si>
  <si>
    <t>tessmannii</t>
  </si>
  <si>
    <t>Moraceae Perebea tessmannii (Fruit)</t>
  </si>
  <si>
    <t>3_FT_10Feb06_1704</t>
  </si>
  <si>
    <t>3_FT_16Feb06_0928</t>
  </si>
  <si>
    <t>3_FT_16Mar06_1402</t>
  </si>
  <si>
    <t>Fabaceae Inga 8 (Fruit)</t>
  </si>
  <si>
    <t>3_RT_16Feb06_1506</t>
  </si>
  <si>
    <t>3_RT_16Feb06_1513</t>
  </si>
  <si>
    <t>FoodCarry</t>
  </si>
  <si>
    <t>red</t>
  </si>
  <si>
    <t>schippii</t>
  </si>
  <si>
    <t>Ulmaceae Celtis schippii (Fruit)</t>
  </si>
  <si>
    <t>3_FL_24Nov05_1616</t>
  </si>
  <si>
    <t>3_RT_16Feb06_1402</t>
  </si>
  <si>
    <t>3_RT_20Jan06_0853</t>
  </si>
  <si>
    <t>purple pink red</t>
  </si>
  <si>
    <t>Melastomataceae</t>
  </si>
  <si>
    <t>Miconia</t>
  </si>
  <si>
    <t>aulocalyx</t>
  </si>
  <si>
    <t>Melastomataceae Miconia aulocalyx (Fruit)</t>
  </si>
  <si>
    <t>3_FT_20Feb06_1019</t>
  </si>
  <si>
    <t>3_FT_19Jan06_1320</t>
  </si>
  <si>
    <t>ruiziana</t>
  </si>
  <si>
    <t>Fabaceae Inga ruiziana (Fruit)</t>
  </si>
  <si>
    <t>3_RT_20Feb06_1412</t>
  </si>
  <si>
    <t>13   (Leaf/Stem)</t>
  </si>
  <si>
    <t>3_FT_20Feb06_1447</t>
  </si>
  <si>
    <t>3_FT_20Feb06_1501</t>
  </si>
  <si>
    <t>3_FT_30Mar06_1423</t>
  </si>
  <si>
    <t>3_RT_03Apr06_0826</t>
  </si>
  <si>
    <t>pink white yellow red purple</t>
  </si>
  <si>
    <t>3_FT_26Apr06_0746</t>
  </si>
  <si>
    <t>3_FT_04May06_0824</t>
  </si>
  <si>
    <t>pink green red orange</t>
  </si>
  <si>
    <t>Trema</t>
  </si>
  <si>
    <t>micrantha</t>
  </si>
  <si>
    <t>Ulmaceae Trema micrantha (Fruit)</t>
  </si>
  <si>
    <t>3_RT_16Feb06_1140</t>
  </si>
  <si>
    <t>3_FT_04May06_0957</t>
  </si>
  <si>
    <t>3_FT_24Apr06_1326</t>
  </si>
  <si>
    <t>3_FT_04May06_1020</t>
  </si>
  <si>
    <t>3_FT_04May06_1024</t>
  </si>
  <si>
    <t>3_RT_04May06_1512</t>
  </si>
  <si>
    <t>3_RT_05Mar06_0832</t>
  </si>
  <si>
    <t>Bignoniaceae</t>
  </si>
  <si>
    <t>Bignoniaceae 3  (Leaf/Stem)</t>
  </si>
  <si>
    <t>3_FL_12May06_0803</t>
  </si>
  <si>
    <t>yellow pink orange</t>
  </si>
  <si>
    <t>erythrosticta</t>
  </si>
  <si>
    <t>Moraceae Ficus erythrosticta (Fruit)</t>
  </si>
  <si>
    <t>3_FT_11May06_1042</t>
  </si>
  <si>
    <t>3_FT_26Apr06_0917</t>
  </si>
  <si>
    <t>3_RT_20Jan06_0907</t>
  </si>
  <si>
    <t>3_FT_12May06_1022</t>
  </si>
  <si>
    <t>3_FT_12May06_1126</t>
  </si>
  <si>
    <t>3_FL_03Jun06_1348</t>
  </si>
  <si>
    <t>3_FT_24Apr06_1452</t>
  </si>
  <si>
    <t>3_FT_03Jun06_1426</t>
  </si>
  <si>
    <t>Bombacaceae</t>
  </si>
  <si>
    <t>Quararibea</t>
  </si>
  <si>
    <t>wittii</t>
  </si>
  <si>
    <t>Bombacaceae Quararibea wittii (Fruit)</t>
  </si>
  <si>
    <t>3_FT_03Jun06_1450</t>
  </si>
  <si>
    <t>3_FT_03Jun06_1549</t>
  </si>
  <si>
    <t>green (yellow)</t>
  </si>
  <si>
    <t>Peritassa</t>
  </si>
  <si>
    <t>peruviana</t>
  </si>
  <si>
    <t>Hippocrataceae Peritassa peruviana (Fruit)</t>
  </si>
  <si>
    <t>3_FT_05Jul06_0708</t>
  </si>
  <si>
    <t xml:space="preserve">purple </t>
  </si>
  <si>
    <t>Leretia</t>
  </si>
  <si>
    <t>Icacinaceae Leretia  (Fruit)</t>
  </si>
  <si>
    <t>3_FT_05Jul06_0944</t>
  </si>
  <si>
    <t>3_RT_05Jul06_0957</t>
  </si>
  <si>
    <t>red pink green purple</t>
  </si>
  <si>
    <t>calvescens</t>
  </si>
  <si>
    <t>Melastomataceae Miconia calvescens (Fruit)</t>
  </si>
  <si>
    <t>3_FT_05Jul06_1132</t>
  </si>
  <si>
    <t>sololong</t>
  </si>
  <si>
    <t>Leaf</t>
  </si>
  <si>
    <t>3_RT_03Apr06_0723</t>
  </si>
  <si>
    <t>3_RT_07Jul06_0732</t>
  </si>
  <si>
    <t>green (red) (pink)</t>
  </si>
  <si>
    <t>Malvaceae</t>
  </si>
  <si>
    <t>Malvaviscus</t>
  </si>
  <si>
    <t>arborea</t>
  </si>
  <si>
    <t>Malvaceae Malvaviscus arborea (Other)</t>
  </si>
  <si>
    <t>3_FL_07Jul06_1044</t>
  </si>
  <si>
    <t>3_FT_07Jul06_1203</t>
  </si>
  <si>
    <t>white pink green</t>
  </si>
  <si>
    <t>Pithecellobium</t>
  </si>
  <si>
    <t>latifolium</t>
  </si>
  <si>
    <t>Fabaceae Pithecellobium latifolium (Other)</t>
  </si>
  <si>
    <t>3_FT_07Jul06_1210</t>
  </si>
  <si>
    <t>white green red</t>
  </si>
  <si>
    <t>Cremastosperma</t>
  </si>
  <si>
    <t>leiophyllum</t>
  </si>
  <si>
    <t>Annonaceae Cremastosperma leiophyllum (Flower)</t>
  </si>
  <si>
    <t>3_FT_07Jul06_1217</t>
  </si>
  <si>
    <t>3_RT_12May06_0726</t>
  </si>
  <si>
    <t>3_FT_07Jul06_1432</t>
  </si>
  <si>
    <t>3_FL_07Jul06_1501</t>
  </si>
  <si>
    <t>3_FL_07Jul06_1318</t>
  </si>
  <si>
    <t>3_FT_07Jul06_1626</t>
  </si>
  <si>
    <t>3_RT_03Jun06_1234</t>
  </si>
  <si>
    <t>3_FT_14Jul06_0834</t>
  </si>
  <si>
    <t>3_FT_05Jul06_0720</t>
  </si>
  <si>
    <t>3_RT_30Mar06_1123</t>
  </si>
  <si>
    <t>3_FT_14Jul06_0946</t>
  </si>
  <si>
    <t>3_FT_14Jul06_0634</t>
  </si>
  <si>
    <t>3_FL_14Jul06_1320</t>
  </si>
  <si>
    <t>3_FT_14Jul06_1331</t>
  </si>
  <si>
    <t>3_FT_14Jul06_1401</t>
  </si>
  <si>
    <t>3_FT_14Jul06_0843</t>
  </si>
  <si>
    <t>3_FL_14Jul06_1625</t>
  </si>
  <si>
    <t>3_FL_18Jul06_1454</t>
  </si>
  <si>
    <t>3_FT_15Jul06_0720</t>
  </si>
  <si>
    <t>3_RT_24Mar06_1719</t>
  </si>
  <si>
    <t>3_RT_24Nov05_0707</t>
  </si>
  <si>
    <t>3_FT_16Feb06_1513</t>
  </si>
  <si>
    <t>3_FL_24Apr06_1501</t>
  </si>
  <si>
    <t>black green red pink orange</t>
  </si>
  <si>
    <t>Euterpe</t>
  </si>
  <si>
    <t>precatoria</t>
  </si>
  <si>
    <t>Arecaceae Euterpe precatoria (Fruit)</t>
  </si>
  <si>
    <t>3_RT_18Jul06_0842</t>
  </si>
  <si>
    <t>3_FL_20Jul06_1528</t>
  </si>
  <si>
    <t>3_RT_24Apr06_0657</t>
  </si>
  <si>
    <t>3_FT_01Aug06_0744</t>
  </si>
  <si>
    <t>Fabaceae Inga  (Fruit)</t>
  </si>
  <si>
    <t>3_FT_01Aug06_0757</t>
  </si>
  <si>
    <t>3_FT_01Aug06_0808</t>
  </si>
  <si>
    <t xml:space="preserve">orange pink </t>
  </si>
  <si>
    <t>3_FL_01Aug06_0922</t>
  </si>
  <si>
    <t>3_RT_01Aug06_0927</t>
  </si>
  <si>
    <t>3_FT_14Jul06_1153</t>
  </si>
  <si>
    <t>3_RT_20Jun06_1305</t>
  </si>
  <si>
    <t>3_FT_30May06_1132</t>
  </si>
  <si>
    <t>3_RT_20Jan06_1305</t>
  </si>
  <si>
    <t>Araceae</t>
  </si>
  <si>
    <t>Monstera</t>
  </si>
  <si>
    <t>obliqua</t>
  </si>
  <si>
    <t>Araceae Monstera obliqua (Fruit)</t>
  </si>
  <si>
    <t>3_FL_01Aug06_1242</t>
  </si>
  <si>
    <t>purple pink green</t>
  </si>
  <si>
    <t>3_FT_14Jul06_0912</t>
  </si>
  <si>
    <t>3_FT_01Aug06_1327</t>
  </si>
  <si>
    <t>3_FT_01Aug06_1419</t>
  </si>
  <si>
    <t>Vitaceae</t>
  </si>
  <si>
    <t>Cissus</t>
  </si>
  <si>
    <t>pseudosicyoides</t>
  </si>
  <si>
    <t>Vitaceae Cissus pseudosicyoides (Fruit)</t>
  </si>
  <si>
    <t>3_FL_01Aug05_1650</t>
  </si>
  <si>
    <t>3_FL_01Aug06_1601</t>
  </si>
  <si>
    <t>3_FT_01Aug06_1620</t>
  </si>
  <si>
    <t>3_RT_18Jul06_0831</t>
  </si>
  <si>
    <t>1_FL_11Aug05_0645</t>
  </si>
  <si>
    <t>3_RT_10Aug06_0826</t>
  </si>
  <si>
    <t>3_RT_10Aug06_0957</t>
  </si>
  <si>
    <t>3_FL_10Aug06_1032</t>
  </si>
  <si>
    <t>3_RT_10Aug06_0908</t>
  </si>
  <si>
    <t>3_FT_10Aug06_1126</t>
  </si>
  <si>
    <t>3_FT_10Aug06_1201</t>
  </si>
  <si>
    <t>3_RT_19Jan06_1240</t>
  </si>
  <si>
    <t>3_FT_10Aug06_1512</t>
  </si>
  <si>
    <t>3_FL_20Jan06_1356</t>
  </si>
  <si>
    <t>3_FL_20Feb06_0737</t>
  </si>
  <si>
    <t>3_RT_10Aug06_1242</t>
  </si>
  <si>
    <t>green purple (red)</t>
  </si>
  <si>
    <t>Memecylaceae</t>
  </si>
  <si>
    <t>Mouriri</t>
  </si>
  <si>
    <t>myrtilloides</t>
  </si>
  <si>
    <t>Memecylaceae Mouriri myrtilloides (Fruit)</t>
  </si>
  <si>
    <t>3_FT_22Aug06_0931</t>
  </si>
  <si>
    <t>(Lepidoptera)</t>
  </si>
  <si>
    <t>(Lepidoptera)   (Insect)</t>
  </si>
  <si>
    <t>3_FL_24Apr06_1033</t>
  </si>
  <si>
    <t>3_FT_22Aug06_1014</t>
  </si>
  <si>
    <t>red pink purple brown yellow green</t>
  </si>
  <si>
    <t>Copaifera</t>
  </si>
  <si>
    <t>reticulata</t>
  </si>
  <si>
    <t>Fabaceae Copaifera reticulata (Fruit)</t>
  </si>
  <si>
    <t>3_FT_22Aug06_1053</t>
  </si>
  <si>
    <t>Bignoniaceae 4  (Flower)</t>
  </si>
  <si>
    <t>3_FL_22Aug06_1150</t>
  </si>
  <si>
    <t>3_FL_22Aug06_1253</t>
  </si>
  <si>
    <t>3_FT_22Aug06_1312</t>
  </si>
  <si>
    <t>3_FT_22Aug06_1520</t>
  </si>
  <si>
    <t>3_FT_22Aug06_1532</t>
  </si>
  <si>
    <t>3_RT_03Feb06_1422</t>
  </si>
  <si>
    <t>3_FT_22Aug06_1603</t>
  </si>
  <si>
    <t>3_FT_22Aug06_1628</t>
  </si>
  <si>
    <t>3_RT_14Sep06_0631</t>
  </si>
  <si>
    <t>green red</t>
  </si>
  <si>
    <t>pleena</t>
  </si>
  <si>
    <t>Meliaceae Trichilia pleena (Fruit)</t>
  </si>
  <si>
    <t>3_FT_14Sep06_0859</t>
  </si>
  <si>
    <t>purple black</t>
  </si>
  <si>
    <t>3_FT_14Sep06_1402</t>
  </si>
  <si>
    <t>3_FT_14Sep06_1415</t>
  </si>
  <si>
    <t>3_FT_14Sep06_1551</t>
  </si>
  <si>
    <t>3_FT_05Oct06_0622</t>
  </si>
  <si>
    <t>3_FT_05Oct06_0758</t>
  </si>
  <si>
    <t>68   (Fruit)</t>
  </si>
  <si>
    <t>3_FT_05Oct06_0833</t>
  </si>
  <si>
    <t>3_FT_05Oct06_0855</t>
  </si>
  <si>
    <t xml:space="preserve">green yellow </t>
  </si>
  <si>
    <t>Memecylaceae Mouriri peruviana (Fruit)</t>
  </si>
  <si>
    <t>3_FT_05Oct06_0928</t>
  </si>
  <si>
    <t>3_RT_05Oct06_1127</t>
  </si>
  <si>
    <t>chirrup</t>
  </si>
  <si>
    <t>3_RT_23Sep05_0629</t>
  </si>
  <si>
    <t>3_RT_10Feb06_1027</t>
  </si>
  <si>
    <t>3_RT_10Feb06_0908</t>
  </si>
  <si>
    <t>Fabaceae   (Fruit)</t>
  </si>
  <si>
    <t>3_FT_10Feb06_1300</t>
  </si>
  <si>
    <t>3_FL_24Nov05_1056</t>
  </si>
  <si>
    <t xml:space="preserve">red green </t>
  </si>
  <si>
    <t>3_FT_16Feb06_1445</t>
  </si>
  <si>
    <t>red green</t>
  </si>
  <si>
    <t>Aniba</t>
  </si>
  <si>
    <t>Lauraceae Aniba  (Fruit)</t>
  </si>
  <si>
    <t>3_RT_20Feb06_0912</t>
  </si>
  <si>
    <t>3_RT_20Jan06_1247</t>
  </si>
  <si>
    <t>3_RT_15Mar06_0832</t>
  </si>
  <si>
    <t>3_FL_14Jul06_0650</t>
  </si>
  <si>
    <t>3_RT_13Apr06_0733</t>
  </si>
  <si>
    <t>3_FT_14Jul06_1608</t>
  </si>
  <si>
    <t>3_FL_20Jul06_0924</t>
  </si>
  <si>
    <t>3_RT_07Jul06_0602</t>
  </si>
  <si>
    <t>3_FL_22Aug06_0900</t>
  </si>
  <si>
    <t>Polygonaceae Coccoloba peruviana (Fruit)</t>
  </si>
  <si>
    <t>3_FT_12Jul06_0946</t>
  </si>
  <si>
    <t>3_RT_14Sep06_1023</t>
  </si>
  <si>
    <t>3_RT_04May06_0645</t>
  </si>
  <si>
    <t>64   (Leaf/Stem)</t>
  </si>
  <si>
    <t>3_FT_14Sep06_1219</t>
  </si>
  <si>
    <t>3_FL_05Oct06_0627</t>
  </si>
  <si>
    <t>3_FT_05Oct06_0702</t>
  </si>
  <si>
    <t>S</t>
  </si>
  <si>
    <t>S_RT_27Jul05_1600</t>
  </si>
  <si>
    <t>S_FT_28Mar06_1337</t>
  </si>
  <si>
    <t>red green brown (yellow)</t>
  </si>
  <si>
    <t>guianensis</t>
  </si>
  <si>
    <t>Elaeocarpaceae Sloanea guianensis (Fruit)</t>
  </si>
  <si>
    <t>S_FT_05Apr06_1541</t>
  </si>
  <si>
    <t>S_FT_06Apr06_0753</t>
  </si>
  <si>
    <t>S_FT_20Apr06_0615</t>
  </si>
  <si>
    <t>S_FT_08May06_1102</t>
  </si>
  <si>
    <t>S_RT_09Sep06_1515</t>
  </si>
  <si>
    <t>S_FT_10May06_1400</t>
  </si>
  <si>
    <t>S_RT_10May06_1415</t>
  </si>
  <si>
    <t>S_FT_15Sep05_1320</t>
  </si>
  <si>
    <t>Fabaceae 37  (Flower)</t>
  </si>
  <si>
    <t>S_FT_14Apr06_0730</t>
  </si>
  <si>
    <t>S_FT_19May06_0949</t>
  </si>
  <si>
    <t>S_FT_19May06_1038</t>
  </si>
  <si>
    <t>S_FL_19May06_1211</t>
  </si>
  <si>
    <t>S_FT_19May06_1419</t>
  </si>
  <si>
    <t>pink yellow</t>
  </si>
  <si>
    <t>S_FL_19May06_1606</t>
  </si>
  <si>
    <t>S_FT_30Jun06_1200</t>
  </si>
  <si>
    <t>green (yellow) (orange)</t>
  </si>
  <si>
    <t>S_FT_25Jul05_1545</t>
  </si>
  <si>
    <t>S_FT_30Jun06_1435</t>
  </si>
  <si>
    <t>S_FT_30Jun06_1442</t>
  </si>
  <si>
    <t>green yellow orange</t>
  </si>
  <si>
    <t>S_FL_09Sep05_1417</t>
  </si>
  <si>
    <t>bud?</t>
  </si>
  <si>
    <t>52   (Flower)</t>
  </si>
  <si>
    <t>S_FL_11Jul06_1630</t>
  </si>
  <si>
    <t>S_FL_11Jul06_1643</t>
  </si>
  <si>
    <t>S_RT_29May06_1528</t>
  </si>
  <si>
    <t>S_FL_12Jul06_1624</t>
  </si>
  <si>
    <t>S_FT_29May06_1536</t>
  </si>
  <si>
    <t>S_FL_29May06_1542</t>
  </si>
  <si>
    <t>S_FT_03Aug06_1202</t>
  </si>
  <si>
    <t>S_FT_30May06_0710</t>
  </si>
  <si>
    <t>S_FT_12Jul06_0654</t>
  </si>
  <si>
    <t>S_FT_13Jul06_0957</t>
  </si>
  <si>
    <t>S_FT_09Sep05_1025</t>
  </si>
  <si>
    <t>S_FT_16Sep05_1005</t>
  </si>
  <si>
    <t>S_RT_12Jul06_1438</t>
  </si>
  <si>
    <t>S_RT_16Aug06_1514</t>
  </si>
  <si>
    <t>S_FT_29Aug06_1041</t>
  </si>
  <si>
    <t>S_FT_31Aug06_0755</t>
  </si>
  <si>
    <t>S_RT_02Jun06_0655</t>
  </si>
  <si>
    <t>S_RT_31Aug06_1421</t>
  </si>
  <si>
    <t>S_FT_31Aug06_1536</t>
  </si>
  <si>
    <t>S_RT_05Sep06_1413</t>
  </si>
  <si>
    <t>Callichlamys</t>
  </si>
  <si>
    <t>latifolia</t>
  </si>
  <si>
    <t>Bignoniaceae Callichlamys latifolia (Flower)</t>
  </si>
  <si>
    <t>S_FT_12Jul06_0926</t>
  </si>
  <si>
    <t>S_FT_12Sep06_1147</t>
  </si>
  <si>
    <t>S_RT_12Sep06_1200</t>
  </si>
  <si>
    <t>S_RT_25May06_0908</t>
  </si>
  <si>
    <t>S_RT_28Mar06_1417</t>
  </si>
  <si>
    <t>green orange</t>
  </si>
  <si>
    <t>S_RT_13Jul06_1510</t>
  </si>
  <si>
    <t>S_RT_31May06_1325</t>
  </si>
  <si>
    <t>Lauraceae   (Fruit)</t>
  </si>
  <si>
    <t>S_FT_12Sep06_1536</t>
  </si>
  <si>
    <t>S_RT_26Aug05_1156</t>
  </si>
  <si>
    <t>S_RT_13Sep06_1230</t>
  </si>
  <si>
    <t>S_RT_11Jul06_1414</t>
  </si>
  <si>
    <t>S_FT_05Oct04_0000</t>
  </si>
  <si>
    <t>Fabaceae Machaerium 2 (Fruit)</t>
  </si>
  <si>
    <t>S_RT_02Oct06_1126</t>
  </si>
  <si>
    <t>purple red</t>
  </si>
  <si>
    <t>S_FT_02Oct06_1328</t>
  </si>
  <si>
    <t>marginata</t>
  </si>
  <si>
    <t>Fabaceae Inga marginata (Fruit)</t>
  </si>
  <si>
    <t>S_RT_16Aug05_1145</t>
  </si>
  <si>
    <t xml:space="preserve"> ?</t>
  </si>
  <si>
    <t>S_FT_22Mar06_1015</t>
  </si>
  <si>
    <t>S_RT_25Nov05_1641</t>
  </si>
  <si>
    <t>S_RL_06Apr06_0843</t>
  </si>
  <si>
    <t>S_RT_22Mar06_1023</t>
  </si>
  <si>
    <t>S_FT_25May06_0744</t>
  </si>
  <si>
    <t>S_FL_29May06_1514</t>
  </si>
  <si>
    <t>S_FL_30Jun06_1439</t>
  </si>
  <si>
    <t>S_RT_02Oct06_1404</t>
  </si>
  <si>
    <t>Suckle</t>
  </si>
  <si>
    <t>W</t>
  </si>
  <si>
    <t>W_RT_30Jan06_1305</t>
  </si>
  <si>
    <t>flowerbase</t>
  </si>
  <si>
    <t>violet white</t>
  </si>
  <si>
    <t>Fabaceae 11  (Flower)</t>
  </si>
  <si>
    <t>VB_Lumin</t>
  </si>
  <si>
    <t>W_RT_08Feb06_1436</t>
  </si>
  <si>
    <t>W_FT_08Feb06_1523</t>
  </si>
  <si>
    <t>W_FT_08Feb06_1636</t>
  </si>
  <si>
    <t>W_RT_08Feb06_1656</t>
  </si>
  <si>
    <t>W_FT_29Nov05_1605</t>
  </si>
  <si>
    <t>W_FT_16Feb06_0846</t>
  </si>
  <si>
    <t>W_RT_17Feb06_1616</t>
  </si>
  <si>
    <t>W_RT_21Feb06_1154</t>
  </si>
  <si>
    <t>W_FT_21Feb06_1532</t>
  </si>
  <si>
    <t>W_FT_21Feb06_1553</t>
  </si>
  <si>
    <t>W_FT_21Feb06_1605</t>
  </si>
  <si>
    <t>aril? exocarp?</t>
  </si>
  <si>
    <t>W_FT_30Jan06_1645</t>
  </si>
  <si>
    <t>W_RT_21Feb06_1605</t>
  </si>
  <si>
    <t>W_FT_23Feb06_1553</t>
  </si>
  <si>
    <t>W_FT_17Feb06_1616</t>
  </si>
  <si>
    <t>W_RT_23Feb06_0917</t>
  </si>
  <si>
    <t>W_RT_17Feb06_1544</t>
  </si>
  <si>
    <t>W_RT_23Feb06_1232</t>
  </si>
  <si>
    <t xml:space="preserve"> aril</t>
  </si>
  <si>
    <t>W_FT_17Feb06_0846</t>
  </si>
  <si>
    <t>W_RT_23Feb06_1358</t>
  </si>
  <si>
    <t>W_FT_23Feb06_1414</t>
  </si>
  <si>
    <t>W_FL_29Nov05_1207</t>
  </si>
  <si>
    <t>W_FL_23Feb06_1522</t>
  </si>
  <si>
    <t>W_FT_23Feb06_1612</t>
  </si>
  <si>
    <t>W_RT_17Oct05_0700</t>
  </si>
  <si>
    <t>pink</t>
  </si>
  <si>
    <t>green (black) (purple)</t>
  </si>
  <si>
    <t>Acanthaceae</t>
  </si>
  <si>
    <t>Mendoncia</t>
  </si>
  <si>
    <t>robusta</t>
  </si>
  <si>
    <t>Acanthaceae Mendoncia robusta (Fruit)</t>
  </si>
  <si>
    <t>W_RT_21Nov05_1229</t>
  </si>
  <si>
    <t>Elaeocarpaceae Sloanea  (Fruit)</t>
  </si>
  <si>
    <t>W_FT_16Mar06_1103</t>
  </si>
  <si>
    <t>W_FT_16Mar06_1139</t>
  </si>
  <si>
    <t>W_ST_24Nov04_0000</t>
  </si>
  <si>
    <t>W_RT_11Oct05_0600</t>
  </si>
  <si>
    <t>24   (Leaf/Stem)</t>
  </si>
  <si>
    <t>W_FL_16Mar06_1530</t>
  </si>
  <si>
    <t>23   (Leaf/Stem)</t>
  </si>
  <si>
    <t>shrub</t>
  </si>
  <si>
    <t>W_FT_16Mar06_1535</t>
  </si>
  <si>
    <t>W_FT_16Mar06_1608</t>
  </si>
  <si>
    <t>W_FT_16Mar06_1632</t>
  </si>
  <si>
    <t>W_RT_10Oct05_1402</t>
  </si>
  <si>
    <t>W_FT_23Mar06_0645</t>
  </si>
  <si>
    <t>W_RT_23Mar06_0849</t>
  </si>
  <si>
    <t>W_FT_01Mar06_1141</t>
  </si>
  <si>
    <t>26   (Leaf/Stem)</t>
  </si>
  <si>
    <t>W_FT_23Mar06_1121</t>
  </si>
  <si>
    <t>W_FL_23Mar06_1135</t>
  </si>
  <si>
    <t>W_RT_23Mar06_1328</t>
  </si>
  <si>
    <t>W_FT_23Mar06_1516</t>
  </si>
  <si>
    <t>W_RT_23Mar06_1607</t>
  </si>
  <si>
    <t>Poaceae</t>
  </si>
  <si>
    <t>Guadua</t>
  </si>
  <si>
    <t>weberbaueri</t>
  </si>
  <si>
    <t>Poaceae Guadua weberbaueri (Leaf/Stem)</t>
  </si>
  <si>
    <t>bamboo</t>
  </si>
  <si>
    <t>W_RT_23Mar06_1624</t>
  </si>
  <si>
    <t>W_RT_17Oct05_0800</t>
  </si>
  <si>
    <t>W_FT_19Apr06_0859</t>
  </si>
  <si>
    <t>W_RT_06Mar06_1103</t>
  </si>
  <si>
    <t>W_FT_19Apr06_1008</t>
  </si>
  <si>
    <t>W_RT_29Nov05_1309</t>
  </si>
  <si>
    <t>W_RT_11Oct05_1150</t>
  </si>
  <si>
    <t>W_FT_19Apr06_0939</t>
  </si>
  <si>
    <t>W_ST_06Dec04_0000</t>
  </si>
  <si>
    <t>W_FL_21Nov05_0741</t>
  </si>
  <si>
    <t>W_RT_29Nov05_0759</t>
  </si>
  <si>
    <t>W_RT_21Apr06_0917</t>
  </si>
  <si>
    <t>W_ST_10Oct05_1700</t>
  </si>
  <si>
    <t>W_FT_21Apr06_1341</t>
  </si>
  <si>
    <t>W_RT_17Feb06_1500</t>
  </si>
  <si>
    <t>W_FL_21Apr06_1414</t>
  </si>
  <si>
    <t>W_FT_21Apr06_1450</t>
  </si>
  <si>
    <t>W_FT_05May06_1004</t>
  </si>
  <si>
    <t>W_FT_05May06_1020</t>
  </si>
  <si>
    <t>W_RT_13Oct05_1225</t>
  </si>
  <si>
    <t>W_FT_05May06_1115</t>
  </si>
  <si>
    <t>W_RT_29Nov05_1254</t>
  </si>
  <si>
    <t>orange black</t>
  </si>
  <si>
    <t>Zingiberaceae</t>
  </si>
  <si>
    <t>Renealmia</t>
  </si>
  <si>
    <t>cernua</t>
  </si>
  <si>
    <t>Zingiberaceae Renealmia cernua (Fruit)</t>
  </si>
  <si>
    <t>herb</t>
  </si>
  <si>
    <t>red yellow orange purple</t>
  </si>
  <si>
    <t>W_FT_09May06_0706</t>
  </si>
  <si>
    <t>W_FT_09May06_0753</t>
  </si>
  <si>
    <t>W_RT_29Nov05_1441</t>
  </si>
  <si>
    <t>W_FT_09May06_0923</t>
  </si>
  <si>
    <t>W_RT_13Oct05_0835</t>
  </si>
  <si>
    <t>W_RT_29Nov05_0657</t>
  </si>
  <si>
    <t>W_FT_18May06_0709</t>
  </si>
  <si>
    <t>W_RT_21Apr06_1435</t>
  </si>
  <si>
    <t>W_FT_18May06_0807</t>
  </si>
  <si>
    <t>W_FT_17Feb06_1544</t>
  </si>
  <si>
    <t>W_RT_23Feb06_0949</t>
  </si>
  <si>
    <t>W_FL_18May06_1003</t>
  </si>
  <si>
    <t>W_FL_16Mar06_1603</t>
  </si>
  <si>
    <t>W_FL_08Feb06_1523</t>
  </si>
  <si>
    <t>W_FT_12Apr06_1450</t>
  </si>
  <si>
    <t>W_RT_23Mar06_1701</t>
  </si>
  <si>
    <t>W_FT_18May06_1353</t>
  </si>
  <si>
    <t>W_RT_23Feb06_0637</t>
  </si>
  <si>
    <t>W_RT_18May06_1547</t>
  </si>
  <si>
    <t>49   (Leaf/Stem)</t>
  </si>
  <si>
    <t>W_FL_18May06_1547</t>
  </si>
  <si>
    <t>W_RT_05May06_1559</t>
  </si>
  <si>
    <t>W_FL_03Jul06_0745</t>
  </si>
  <si>
    <t>W_ST_01Dec04_0000</t>
  </si>
  <si>
    <t>green (orange)</t>
  </si>
  <si>
    <t>Ebenaceae</t>
  </si>
  <si>
    <t>Diospyrus</t>
  </si>
  <si>
    <t>pavonii</t>
  </si>
  <si>
    <t>Ebenaceae Diospyrus pavonii (Fruit)</t>
  </si>
  <si>
    <t>W_RT_08Feb06_0709</t>
  </si>
  <si>
    <t>W_FT_03Jul06_1035</t>
  </si>
  <si>
    <t>W_FT_18May06_0752</t>
  </si>
  <si>
    <t>W_FL_03Jul06_1057</t>
  </si>
  <si>
    <t>W_FT_03Jul06_0805</t>
  </si>
  <si>
    <t>W_RT_17Oct05_0845</t>
  </si>
  <si>
    <t>W_RT_05May06_1027</t>
  </si>
  <si>
    <t>W_RT_16Mar06_1259</t>
  </si>
  <si>
    <t>W_FL_03Jul06_1552</t>
  </si>
  <si>
    <t>Dichapetalaceae Tapura peruviana (Fruit)</t>
  </si>
  <si>
    <t>W_FT_03Jul06_1635</t>
  </si>
  <si>
    <t>W_FT_04Jul06_0752</t>
  </si>
  <si>
    <t>W_FT_04Jul06_1115</t>
  </si>
  <si>
    <t>W_RT_30Jan06_1635</t>
  </si>
  <si>
    <t>Fabaceae Inga 18 (Fruit)</t>
  </si>
  <si>
    <t>W_FL_21Nov05_0709</t>
  </si>
  <si>
    <t>W_RT_13Oct05_0800</t>
  </si>
  <si>
    <t>W_RT_05May06_1454</t>
  </si>
  <si>
    <t>W_RT_17Feb06_1430</t>
  </si>
  <si>
    <t>W_FT_10Oct05_0844</t>
  </si>
  <si>
    <t>W_FT_19Jul06_1423</t>
  </si>
  <si>
    <t>W_RT_19Jul06_0806</t>
  </si>
  <si>
    <t>W_RT_21Nov05_1507</t>
  </si>
  <si>
    <t>W_FT_21Jul06_1117</t>
  </si>
  <si>
    <t>W_FT_21Jul06_1306</t>
  </si>
  <si>
    <t>W_FT_10Oct05_0845</t>
  </si>
  <si>
    <t xml:space="preserve">purple red pink green </t>
  </si>
  <si>
    <t>ambigua</t>
  </si>
  <si>
    <t>Myrsinaceae Stylogyne ambigua (Fruit)</t>
  </si>
  <si>
    <t>purple red orange yellow green</t>
  </si>
  <si>
    <t>Psychotria</t>
  </si>
  <si>
    <t>viridis</t>
  </si>
  <si>
    <t>Rubiaceae Psychotria viridis (Fruit)</t>
  </si>
  <si>
    <t>W_RT_04Aug06_1303</t>
  </si>
  <si>
    <t>W_RT_23Feb06_1703</t>
  </si>
  <si>
    <t>W_RT_08Aug06_0724</t>
  </si>
  <si>
    <t>W_FT_23Feb06_0637</t>
  </si>
  <si>
    <t>W_FL_03Jul06_0700</t>
  </si>
  <si>
    <t>Bignoniaceae 2  (Leaf/Stem)</t>
  </si>
  <si>
    <t>W_FL_08Aug06_0859</t>
  </si>
  <si>
    <t>W_RL_08Aug06_0913</t>
  </si>
  <si>
    <t>egg sacks</t>
  </si>
  <si>
    <t>egg sacks   (Insect)</t>
  </si>
  <si>
    <t>W_RT_08Aug06_1026</t>
  </si>
  <si>
    <t>W_RT_13Oct05_1254</t>
  </si>
  <si>
    <t>W_RT_19Apr06_0859</t>
  </si>
  <si>
    <t>W_RT_13Oct06_1254</t>
  </si>
  <si>
    <t>W_RT_08Aug06_1338</t>
  </si>
  <si>
    <t>W_RT_08Aug06_1457</t>
  </si>
  <si>
    <t>W_RT_08Aug06_1512</t>
  </si>
  <si>
    <t>W_FT_08Aug06_1637</t>
  </si>
  <si>
    <t>W_RT_30Aug06_0653</t>
  </si>
  <si>
    <t>brown green</t>
  </si>
  <si>
    <t>W_FT_30Aug06_0757</t>
  </si>
  <si>
    <t>W_FT_30Aug06_0855</t>
  </si>
  <si>
    <t>W_FT_30Aug06_0000</t>
  </si>
  <si>
    <t>W_RT_30Aug06_1400</t>
  </si>
  <si>
    <t>W_FT_11Oct05_0819</t>
  </si>
  <si>
    <t>65   (Fruit)</t>
  </si>
  <si>
    <t>W_FT_19Sep06_0824</t>
  </si>
  <si>
    <t>W_FT_19Sep06_1252</t>
  </si>
  <si>
    <t>W_RT_19Apr06_0623</t>
  </si>
  <si>
    <t>W_RT_18May06_0657</t>
  </si>
  <si>
    <t>W_RT_04Aug06_1700</t>
  </si>
  <si>
    <t>W_RT_10Oct05_1215</t>
  </si>
  <si>
    <t>W_RT_13Oct06_0800</t>
  </si>
  <si>
    <t>W_RT_06Oct06_1328</t>
  </si>
  <si>
    <t>brown white yellow</t>
  </si>
  <si>
    <t>Genipa</t>
  </si>
  <si>
    <t>americana</t>
  </si>
  <si>
    <t>Rubiaceae Genipa americana (Fruit)</t>
  </si>
  <si>
    <t>W_FT_30Jan06_1215</t>
  </si>
  <si>
    <t>W_FT_21Feb06_1525</t>
  </si>
  <si>
    <t>W_FT_29Nov05_1309</t>
  </si>
  <si>
    <t>W_RT_04Jul06_1049</t>
  </si>
  <si>
    <t>TotalPatches</t>
  </si>
  <si>
    <t>TotalTime</t>
  </si>
  <si>
    <t>FlowerT</t>
  </si>
  <si>
    <t>FruitT</t>
  </si>
  <si>
    <t>InsectT</t>
  </si>
  <si>
    <t>LeafStem</t>
  </si>
  <si>
    <t>LeafStemT</t>
  </si>
  <si>
    <t>Unknown</t>
  </si>
  <si>
    <t>UnknownT</t>
  </si>
  <si>
    <t>YORT</t>
  </si>
  <si>
    <t>nonYOR</t>
  </si>
  <si>
    <t>nonYORT</t>
  </si>
  <si>
    <t>Memorable</t>
  </si>
  <si>
    <t>MemorableT</t>
  </si>
  <si>
    <t>FemDisc</t>
  </si>
  <si>
    <t>FemDiscT</t>
  </si>
  <si>
    <t>MalDisc</t>
  </si>
  <si>
    <t>MalDiscT</t>
  </si>
  <si>
    <t>DiscYOR</t>
  </si>
  <si>
    <t>DiscNonYOR</t>
  </si>
  <si>
    <t>DiscYORShade</t>
  </si>
  <si>
    <t>DiscYORCloud</t>
  </si>
  <si>
    <t>DiscYORLightUnknown</t>
  </si>
  <si>
    <t>DiscYORT</t>
  </si>
  <si>
    <t>DiscNonYORT</t>
  </si>
  <si>
    <t>FlowerC</t>
  </si>
  <si>
    <t>FruitC</t>
  </si>
  <si>
    <t>InsectC</t>
  </si>
  <si>
    <t>LeafStemC</t>
  </si>
  <si>
    <t>UnknownC</t>
  </si>
  <si>
    <t>YORC</t>
  </si>
  <si>
    <t>nonYORC</t>
  </si>
  <si>
    <t>MemorableC</t>
  </si>
  <si>
    <t>FemDiscC</t>
  </si>
  <si>
    <t>MalDiscC</t>
  </si>
  <si>
    <t>DiscYORDiscC</t>
  </si>
  <si>
    <t>DiscYORAllC</t>
  </si>
  <si>
    <t>DiscNonYORDiscC</t>
  </si>
  <si>
    <t>DiscNonYORAllC</t>
  </si>
  <si>
    <t>DiscYORShadeC</t>
  </si>
  <si>
    <t>DiscYORCloudC</t>
  </si>
  <si>
    <t>DiscYORAllT</t>
  </si>
  <si>
    <t>DiscNonYORAllT</t>
  </si>
  <si>
    <t>count</t>
  </si>
  <si>
    <t>sum</t>
  </si>
  <si>
    <t>sum (h)</t>
  </si>
  <si>
    <t>variance</t>
  </si>
  <si>
    <t>SE</t>
  </si>
  <si>
    <t>lowerCI</t>
  </si>
  <si>
    <t>upperCI</t>
  </si>
  <si>
    <t>count days</t>
  </si>
  <si>
    <t>appropriate days</t>
  </si>
  <si>
    <t>done with macro: FoodProportions_A_CIs()</t>
  </si>
  <si>
    <t>total disc</t>
  </si>
  <si>
    <t>0's</t>
  </si>
  <si>
    <t>no 0's</t>
  </si>
  <si>
    <t>proportion of daily discovered that are YOR, vs. previous DiscYORAll, which is proportion of all daily patches that are YOR</t>
  </si>
  <si>
    <t>mem</t>
  </si>
  <si>
    <t>time/patch</t>
  </si>
  <si>
    <t>Disc</t>
  </si>
  <si>
    <t>number</t>
  </si>
  <si>
    <t>Time</t>
  </si>
  <si>
    <t>Time/patch</t>
  </si>
  <si>
    <t>&lt;-minutes</t>
  </si>
  <si>
    <t>minutes-&gt;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</si>
</sst>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;@"/>
    <numFmt numFmtId="165" formatCode="[h]:mm:ss;@"/>
    <numFmt numFmtId="166" formatCode="0.000"/>
    <numFmt numFmtId="167" formatCode="0.0"/>
    <numFmt numFmtId="168" formatCode="0.00000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2" fontId="0" fillId="0" borderId="0" xfId="0" applyNumberFormat="1" applyFill="1"/>
    <xf numFmtId="1" fontId="0" fillId="0" borderId="0" xfId="0" applyNumberFormat="1" applyFill="1"/>
    <xf numFmtId="166" fontId="0" fillId="0" borderId="0" xfId="0" applyNumberFormat="1" applyFill="1"/>
    <xf numFmtId="167" fontId="0" fillId="0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1431"/>
  <sheetViews>
    <sheetView workbookViewId="0">
      <selection activeCell="K14" sqref="K14"/>
    </sheetView>
  </sheetViews>
  <sheetFormatPr defaultColWidth="9.15234375" defaultRowHeight="14.6" x14ac:dyDescent="0.4"/>
  <cols>
    <col min="1" max="3" width="9.15234375" style="1"/>
    <col min="4" max="4" width="10.15234375" style="1" bestFit="1" customWidth="1"/>
    <col min="5" max="9" width="9.15234375" style="1"/>
    <col min="10" max="10" width="17.53515625" style="1" bestFit="1" customWidth="1"/>
    <col min="11" max="11" width="19.84375" style="4" bestFit="1" customWidth="1"/>
    <col min="12" max="27" width="9.15234375" style="1"/>
    <col min="28" max="28" width="47.84375" style="1" bestFit="1" customWidth="1"/>
    <col min="29" max="31" width="9.15234375" style="1"/>
    <col min="32" max="32" width="17.3828125" style="1" bestFit="1" customWidth="1"/>
    <col min="33" max="40" width="9.15234375" style="1"/>
    <col min="41" max="41" width="12.3828125" style="1" bestFit="1" customWidth="1"/>
    <col min="42" max="43" width="9.15234375" style="1"/>
    <col min="44" max="44" width="12.53515625" style="1" customWidth="1"/>
    <col min="45" max="45" width="12.84375" style="1" bestFit="1" customWidth="1"/>
    <col min="46" max="46" width="10.69140625" style="1" bestFit="1" customWidth="1"/>
    <col min="47" max="47" width="13" style="1" customWidth="1"/>
    <col min="48" max="48" width="16" style="1" customWidth="1"/>
    <col min="49" max="49" width="12.53515625" style="1" customWidth="1"/>
    <col min="50" max="16384" width="9.15234375" style="1"/>
  </cols>
  <sheetData>
    <row r="1" spans="1:50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50" x14ac:dyDescent="0.4">
      <c r="A2" s="1">
        <v>1</v>
      </c>
      <c r="B2" s="1">
        <v>1</v>
      </c>
      <c r="C2" s="1" t="s">
        <v>41</v>
      </c>
      <c r="D2" s="2">
        <v>38744</v>
      </c>
      <c r="E2" s="1">
        <v>27</v>
      </c>
      <c r="F2" s="1">
        <v>1</v>
      </c>
      <c r="G2" s="3">
        <v>0.30712962962962964</v>
      </c>
      <c r="H2" s="3">
        <v>0.31890046296296298</v>
      </c>
      <c r="I2" s="3">
        <v>1.1770833333333341E-2</v>
      </c>
      <c r="J2" s="3">
        <v>9.3055555555555669E-3</v>
      </c>
      <c r="K2" s="5">
        <f t="shared" ref="K2:K65" si="0">HOUR(J2)*60*60+MINUTE(J2)*60+SECOND(J2)</f>
        <v>804</v>
      </c>
      <c r="L2" s="3">
        <v>8.1828703703703543E-3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45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 t="s">
        <v>53</v>
      </c>
      <c r="AA2" s="1" t="s">
        <v>54</v>
      </c>
      <c r="AB2" s="1" t="s">
        <v>55</v>
      </c>
      <c r="AC2" s="1">
        <v>0</v>
      </c>
      <c r="AD2" s="1" t="s">
        <v>56</v>
      </c>
      <c r="AE2" s="1" t="s">
        <v>57</v>
      </c>
      <c r="AG2" s="1" t="s">
        <v>58</v>
      </c>
      <c r="AH2" s="1" t="s">
        <v>59</v>
      </c>
      <c r="AI2" s="1" t="s">
        <v>60</v>
      </c>
      <c r="AK2" s="1" t="s">
        <v>61</v>
      </c>
      <c r="AL2" s="1" t="s">
        <v>61</v>
      </c>
      <c r="AM2" s="1">
        <v>1</v>
      </c>
      <c r="AN2" s="1">
        <v>0</v>
      </c>
      <c r="AO2" s="1">
        <f>SUM(AM2:AN2)</f>
        <v>1</v>
      </c>
      <c r="AQ2" s="1" t="s">
        <v>62</v>
      </c>
      <c r="AT2" s="1" t="s">
        <v>63</v>
      </c>
      <c r="AU2" s="1" t="s">
        <v>64</v>
      </c>
      <c r="AW2" s="1" t="s">
        <v>65</v>
      </c>
    </row>
    <row r="3" spans="1:50" x14ac:dyDescent="0.4">
      <c r="A3" s="1">
        <v>1</v>
      </c>
      <c r="B3" s="1">
        <v>1</v>
      </c>
      <c r="C3" s="1" t="s">
        <v>41</v>
      </c>
      <c r="D3" s="2">
        <v>38744</v>
      </c>
      <c r="E3" s="1">
        <v>27</v>
      </c>
      <c r="F3" s="1">
        <v>1.5</v>
      </c>
      <c r="G3" s="3">
        <v>0.32708333333333334</v>
      </c>
      <c r="H3" s="3">
        <v>0.32922453703703702</v>
      </c>
      <c r="I3" s="3">
        <v>2.1412037037036868E-3</v>
      </c>
      <c r="J3" s="3">
        <v>2.1412037037036868E-3</v>
      </c>
      <c r="K3" s="5">
        <f t="shared" si="0"/>
        <v>185</v>
      </c>
      <c r="L3" s="3">
        <v>0.229375</v>
      </c>
      <c r="N3" s="1" t="s">
        <v>42</v>
      </c>
      <c r="O3" s="1" t="s">
        <v>43</v>
      </c>
      <c r="P3" s="1" t="s">
        <v>44</v>
      </c>
      <c r="S3" s="1" t="s">
        <v>46</v>
      </c>
      <c r="T3" s="1" t="s">
        <v>45</v>
      </c>
      <c r="U3" s="1" t="s">
        <v>66</v>
      </c>
      <c r="V3" s="1" t="s">
        <v>67</v>
      </c>
      <c r="W3" s="1" t="s">
        <v>68</v>
      </c>
      <c r="Y3" s="1" t="s">
        <v>68</v>
      </c>
      <c r="AB3" s="1" t="s">
        <v>69</v>
      </c>
      <c r="AC3" s="1">
        <v>0</v>
      </c>
      <c r="AD3" s="1" t="s">
        <v>68</v>
      </c>
      <c r="AE3" s="1" t="s">
        <v>70</v>
      </c>
      <c r="AI3" s="1" t="s">
        <v>71</v>
      </c>
      <c r="AK3" s="1" t="s">
        <v>61</v>
      </c>
      <c r="AL3" s="1" t="s">
        <v>72</v>
      </c>
      <c r="AN3" s="1">
        <v>1</v>
      </c>
      <c r="AO3" s="1">
        <f t="shared" ref="AO3:AO66" si="1">SUM(AM3:AN3)</f>
        <v>1</v>
      </c>
      <c r="AQ3" s="1" t="s">
        <v>73</v>
      </c>
      <c r="AR3" s="1">
        <f>COUNTA(D2:D1431)</f>
        <v>1430</v>
      </c>
      <c r="AT3" s="1">
        <f>SUM(COUNTIFS($AO$2:$AO$1431, "&lt;2", $AF$2:$AF$1431, "", $AE$2:$AE$1431, "YOR"), COUNTIFS($AO$2:$AO$1431, "&lt;2", $AF$2:$AF$1431, "", $AE$2:$AE$1431, "YOR_Lumin"))</f>
        <v>93</v>
      </c>
      <c r="AU3" s="6">
        <f>AT3/AR3</f>
        <v>6.5034965034965031E-2</v>
      </c>
      <c r="AW3" s="1" t="s">
        <v>74</v>
      </c>
      <c r="AX3" s="1">
        <f>COUNTIFS($AO$2:$AO$1431, "&lt;2", $AF$2:$AF$1431, "", $C$2:$C$1431, "Mal", $AE$2:$AE$1431, "YOR")</f>
        <v>13</v>
      </c>
    </row>
    <row r="4" spans="1:50" x14ac:dyDescent="0.4">
      <c r="A4" s="1">
        <v>1</v>
      </c>
      <c r="B4" s="1">
        <v>1</v>
      </c>
      <c r="C4" s="1" t="s">
        <v>41</v>
      </c>
      <c r="D4" s="2">
        <v>38744</v>
      </c>
      <c r="E4" s="1">
        <v>27</v>
      </c>
      <c r="F4" s="1">
        <v>3</v>
      </c>
      <c r="G4" s="3">
        <v>0.55859953703703702</v>
      </c>
      <c r="H4" s="3">
        <v>0.56293981481481481</v>
      </c>
      <c r="I4" s="3">
        <v>4.3402777777777901E-3</v>
      </c>
      <c r="J4" s="3">
        <v>4.3402777777777901E-3</v>
      </c>
      <c r="K4" s="5">
        <f t="shared" si="0"/>
        <v>375</v>
      </c>
      <c r="L4" s="3">
        <v>6.438657407407411E-2</v>
      </c>
      <c r="N4" s="1" t="s">
        <v>75</v>
      </c>
      <c r="O4" s="1" t="s">
        <v>43</v>
      </c>
      <c r="P4" s="1" t="s">
        <v>44</v>
      </c>
      <c r="Q4" s="1" t="s">
        <v>76</v>
      </c>
      <c r="R4" s="1" t="s">
        <v>76</v>
      </c>
      <c r="S4" s="1" t="s">
        <v>46</v>
      </c>
      <c r="T4" s="1" t="s">
        <v>45</v>
      </c>
      <c r="V4" s="1" t="s">
        <v>49</v>
      </c>
      <c r="W4" s="1" t="s">
        <v>77</v>
      </c>
      <c r="X4" s="1" t="s">
        <v>78</v>
      </c>
      <c r="Y4" s="1" t="s">
        <v>79</v>
      </c>
      <c r="Z4" s="1" t="s">
        <v>80</v>
      </c>
      <c r="AA4" s="1" t="s">
        <v>81</v>
      </c>
      <c r="AB4" s="1" t="s">
        <v>82</v>
      </c>
      <c r="AC4" s="1">
        <v>0</v>
      </c>
      <c r="AD4" s="1" t="s">
        <v>56</v>
      </c>
      <c r="AE4" s="1" t="s">
        <v>83</v>
      </c>
      <c r="AF4" s="1" t="s">
        <v>84</v>
      </c>
      <c r="AG4" s="1" t="s">
        <v>85</v>
      </c>
      <c r="AK4" s="1" t="s">
        <v>86</v>
      </c>
      <c r="AL4" s="1" t="s">
        <v>87</v>
      </c>
      <c r="AM4" s="1">
        <v>1</v>
      </c>
      <c r="AN4" s="1">
        <v>0</v>
      </c>
      <c r="AO4" s="1">
        <f t="shared" si="1"/>
        <v>1</v>
      </c>
      <c r="AQ4" s="1" t="s">
        <v>88</v>
      </c>
      <c r="AR4" s="1">
        <f>COUNTIFS($B$2:$B$1431, "1")</f>
        <v>193</v>
      </c>
      <c r="AT4" s="1">
        <f>SUM(COUNTIFS($AO$2:$AO$1431, "&lt;2", $AF$2:$AF$1431, "", $AE$2:$AE$1431, "YOR", $B$2:$B$1431, "1"), COUNTIFS($AO$2:$AO$1431, "&lt;2", $AF$2:$AF$1431, "", $AE$2:$AE$1431, "YOR_Lumin", $B$2:$B$1431, "1"))</f>
        <v>20</v>
      </c>
      <c r="AU4" s="6">
        <f t="shared" ref="AU4:AU8" si="2">AT4/AR4</f>
        <v>0.10362694300518134</v>
      </c>
      <c r="AW4" s="1" t="s">
        <v>89</v>
      </c>
      <c r="AX4" s="1">
        <f>COUNTIFS($AO$2:$AO$1431, "&lt;2", $AF$2:$AF$1431, "", $C$2:$C$1431, "Fem", $AE$2:$AE$1431, "YOR")</f>
        <v>33</v>
      </c>
    </row>
    <row r="5" spans="1:50" x14ac:dyDescent="0.4">
      <c r="A5" s="1">
        <v>1</v>
      </c>
      <c r="B5" s="1">
        <v>1</v>
      </c>
      <c r="C5" s="1" t="s">
        <v>41</v>
      </c>
      <c r="D5" s="2">
        <v>38744</v>
      </c>
      <c r="E5" s="1">
        <v>27</v>
      </c>
      <c r="F5" s="1">
        <v>3.5</v>
      </c>
      <c r="G5" s="3">
        <v>0.62732638888888892</v>
      </c>
      <c r="H5" s="3">
        <v>0.63396990740740744</v>
      </c>
      <c r="I5" s="3">
        <v>6.6435185185185208E-3</v>
      </c>
      <c r="J5" s="3">
        <v>6.6435185185185208E-3</v>
      </c>
      <c r="K5" s="5">
        <f t="shared" si="0"/>
        <v>574</v>
      </c>
      <c r="L5" s="3">
        <v>6.7592592592592537E-2</v>
      </c>
      <c r="N5" s="1" t="s">
        <v>90</v>
      </c>
      <c r="O5" s="1" t="s">
        <v>43</v>
      </c>
      <c r="P5" s="1" t="s">
        <v>44</v>
      </c>
      <c r="Q5" s="1" t="s">
        <v>91</v>
      </c>
      <c r="R5" s="1" t="s">
        <v>91</v>
      </c>
      <c r="S5" s="1" t="s">
        <v>46</v>
      </c>
      <c r="T5" s="1" t="s">
        <v>45</v>
      </c>
      <c r="U5" s="1" t="s">
        <v>92</v>
      </c>
      <c r="AB5" s="1" t="s">
        <v>93</v>
      </c>
      <c r="AC5" s="1">
        <v>1</v>
      </c>
      <c r="AI5" s="1" t="s">
        <v>75</v>
      </c>
      <c r="AK5" s="1" t="s">
        <v>86</v>
      </c>
      <c r="AL5" s="1" t="s">
        <v>87</v>
      </c>
      <c r="AN5" s="1">
        <v>1</v>
      </c>
      <c r="AO5" s="1">
        <f t="shared" si="1"/>
        <v>1</v>
      </c>
      <c r="AQ5" s="1" t="s">
        <v>94</v>
      </c>
      <c r="AR5" s="1">
        <f>COUNTIFS($B$2:$B$1431, "2")</f>
        <v>230</v>
      </c>
      <c r="AT5" s="1">
        <f>SUM(COUNTIFS($AO$2:$AO$1431, "&lt;2", $AF$2:$AF$1431, "", $AE$2:$AE$1431, "YOR", $B$2:$B$1431, "2"), COUNTIFS($AO$2:$AO$1431, "&lt;2", $AF$2:$AF$1431, "", $AE$2:$AE$1431, "YOR_Lumin", $B$2:$B$1431, "2"))</f>
        <v>15</v>
      </c>
      <c r="AU5" s="6">
        <f t="shared" si="2"/>
        <v>6.5217391304347824E-2</v>
      </c>
      <c r="AW5" s="1" t="s">
        <v>95</v>
      </c>
      <c r="AX5" s="1">
        <f>COUNTIFS($AO$2:$AO$1431, "&lt;2", $AF$2:$AF$1431, "", $C$2:$C$1431, "Mal", $AE$2:$AE$1431, "YOR_Lumin")</f>
        <v>9</v>
      </c>
    </row>
    <row r="6" spans="1:50" x14ac:dyDescent="0.4">
      <c r="A6" s="1">
        <v>1</v>
      </c>
      <c r="B6" s="1">
        <v>1</v>
      </c>
      <c r="C6" s="1" t="s">
        <v>41</v>
      </c>
      <c r="D6" s="2">
        <v>38744</v>
      </c>
      <c r="E6" s="1">
        <v>27</v>
      </c>
      <c r="F6" s="1">
        <v>4</v>
      </c>
      <c r="G6" s="3">
        <v>0.70156249999999998</v>
      </c>
      <c r="H6" s="3">
        <v>0.70628472222222216</v>
      </c>
      <c r="I6" s="3">
        <v>4.7222222222221832E-3</v>
      </c>
      <c r="J6" s="3">
        <v>4.7222222222221832E-3</v>
      </c>
      <c r="K6" s="5">
        <f t="shared" si="0"/>
        <v>408</v>
      </c>
      <c r="L6" s="3">
        <v>4.7106481481482554E-3</v>
      </c>
      <c r="N6" s="1" t="s">
        <v>75</v>
      </c>
      <c r="O6" s="1" t="s">
        <v>43</v>
      </c>
      <c r="P6" s="1" t="s">
        <v>44</v>
      </c>
      <c r="Q6" s="1" t="s">
        <v>76</v>
      </c>
      <c r="R6" s="1" t="s">
        <v>76</v>
      </c>
      <c r="S6" s="1" t="s">
        <v>46</v>
      </c>
      <c r="T6" s="1" t="s">
        <v>45</v>
      </c>
      <c r="U6" s="1" t="s">
        <v>66</v>
      </c>
      <c r="V6" s="1" t="s">
        <v>49</v>
      </c>
      <c r="W6" s="1" t="s">
        <v>50</v>
      </c>
      <c r="X6" s="1" t="s">
        <v>96</v>
      </c>
      <c r="Y6" s="1" t="s">
        <v>52</v>
      </c>
      <c r="Z6" s="1" t="s">
        <v>53</v>
      </c>
      <c r="AA6" s="1" t="s">
        <v>97</v>
      </c>
      <c r="AB6" s="1" t="s">
        <v>98</v>
      </c>
      <c r="AC6" s="1">
        <v>0</v>
      </c>
      <c r="AD6" s="1" t="s">
        <v>56</v>
      </c>
      <c r="AE6" s="1" t="s">
        <v>70</v>
      </c>
      <c r="AG6" s="1" t="s">
        <v>99</v>
      </c>
      <c r="AH6" s="1" t="s">
        <v>59</v>
      </c>
      <c r="AI6" s="1" t="s">
        <v>75</v>
      </c>
      <c r="AK6" s="1" t="s">
        <v>86</v>
      </c>
      <c r="AL6" s="1" t="s">
        <v>87</v>
      </c>
      <c r="AM6" s="1">
        <v>1</v>
      </c>
      <c r="AN6" s="1">
        <v>0</v>
      </c>
      <c r="AO6" s="1">
        <f t="shared" si="1"/>
        <v>1</v>
      </c>
      <c r="AQ6" s="1" t="s">
        <v>100</v>
      </c>
      <c r="AR6" s="1">
        <f>COUNTIFS($B$2:$B$1431, "3")</f>
        <v>363</v>
      </c>
      <c r="AT6" s="1">
        <f>SUM(COUNTIFS($AO$2:$AO$1431, "&lt;2", $AF$2:$AF$1431, "", $AE$2:$AE$1431, "YOR", $B$2:$B$1431, "3"), COUNTIFS($AO$2:$AO$1431, "&lt;2", $AF$2:$AF$1431, "", $AE$2:$AE$1431, "YOR_Lumin", $B$2:$B$1431, "3"))</f>
        <v>36</v>
      </c>
      <c r="AU6" s="6">
        <f t="shared" si="2"/>
        <v>9.9173553719008267E-2</v>
      </c>
      <c r="AW6" s="1" t="s">
        <v>101</v>
      </c>
      <c r="AX6" s="1">
        <f>COUNTIFS($AO$2:$AO$1431, "&lt;2", $AF$2:$AF$1431, "", $C$2:$C$1431, "Fem", $AE$2:$AE$1431, "YOR_Lumin")</f>
        <v>38</v>
      </c>
    </row>
    <row r="7" spans="1:50" x14ac:dyDescent="0.4">
      <c r="A7" s="1">
        <v>1</v>
      </c>
      <c r="B7" s="1">
        <v>1</v>
      </c>
      <c r="C7" s="1" t="s">
        <v>41</v>
      </c>
      <c r="D7" s="2">
        <v>38744</v>
      </c>
      <c r="E7" s="1">
        <v>27</v>
      </c>
      <c r="F7" s="1">
        <v>5</v>
      </c>
      <c r="G7" s="3">
        <v>0.71099537037037042</v>
      </c>
      <c r="H7" s="3">
        <v>0.71380787037037041</v>
      </c>
      <c r="I7" s="3">
        <v>2.8124999999999956E-3</v>
      </c>
      <c r="J7" s="3">
        <v>2.8124999999999956E-3</v>
      </c>
      <c r="K7" s="5">
        <f t="shared" si="0"/>
        <v>243</v>
      </c>
      <c r="L7" s="3">
        <v>3.657407407407387E-3</v>
      </c>
      <c r="N7" s="1" t="s">
        <v>75</v>
      </c>
      <c r="O7" s="1" t="s">
        <v>43</v>
      </c>
      <c r="P7" s="1" t="s">
        <v>44</v>
      </c>
      <c r="Q7" s="1" t="s">
        <v>76</v>
      </c>
      <c r="R7" s="1" t="s">
        <v>76</v>
      </c>
      <c r="S7" s="1" t="s">
        <v>46</v>
      </c>
      <c r="T7" s="1" t="s">
        <v>45</v>
      </c>
      <c r="U7" s="1" t="s">
        <v>66</v>
      </c>
      <c r="V7" s="1" t="s">
        <v>102</v>
      </c>
      <c r="W7" s="1" t="s">
        <v>103</v>
      </c>
      <c r="AB7" s="1" t="s">
        <v>104</v>
      </c>
      <c r="AC7" s="1">
        <v>0</v>
      </c>
      <c r="AD7" s="1" t="s">
        <v>105</v>
      </c>
      <c r="AF7" s="1" t="s">
        <v>84</v>
      </c>
      <c r="AG7" s="1" t="s">
        <v>106</v>
      </c>
      <c r="AI7" s="1" t="s">
        <v>75</v>
      </c>
      <c r="AK7" s="1" t="s">
        <v>86</v>
      </c>
      <c r="AL7" s="1" t="s">
        <v>87</v>
      </c>
      <c r="AM7" s="1">
        <v>1</v>
      </c>
      <c r="AN7" s="1">
        <v>0</v>
      </c>
      <c r="AO7" s="1">
        <f t="shared" si="1"/>
        <v>1</v>
      </c>
      <c r="AQ7" s="1" t="s">
        <v>107</v>
      </c>
      <c r="AR7" s="1">
        <f>COUNTIFS($B$2:$B$1431, "S")</f>
        <v>136</v>
      </c>
      <c r="AT7" s="1">
        <f>SUM(COUNTIFS($AO$2:$AO$1431, "&lt;2", $AF$2:$AF$1431, "", $AE$2:$AE$1431, "YOR", $B$2:$B$1431, "S"), COUNTIFS($AO$2:$AO$1431, "&lt;2", $AF$2:$AF$1431, "", $AE$2:$AE$1431, "YOR_Lumin", $B$2:$B$1431, "S"))</f>
        <v>5</v>
      </c>
      <c r="AU7" s="6">
        <f t="shared" si="2"/>
        <v>3.6764705882352942E-2</v>
      </c>
      <c r="AW7" s="1" t="s">
        <v>41</v>
      </c>
      <c r="AX7" s="1">
        <f>AX6+AX4</f>
        <v>71</v>
      </c>
    </row>
    <row r="8" spans="1:50" x14ac:dyDescent="0.4">
      <c r="A8" s="1">
        <v>1</v>
      </c>
      <c r="B8" s="1">
        <v>1</v>
      </c>
      <c r="C8" s="1" t="s">
        <v>41</v>
      </c>
      <c r="D8" s="2">
        <v>38744</v>
      </c>
      <c r="E8" s="1">
        <v>27</v>
      </c>
      <c r="F8" s="1">
        <v>6</v>
      </c>
      <c r="G8" s="3">
        <v>0.7174652777777778</v>
      </c>
      <c r="H8" s="3">
        <v>0.72219907407407413</v>
      </c>
      <c r="I8" s="3">
        <v>4.7337962962963331E-3</v>
      </c>
      <c r="J8" s="3">
        <v>4.3402777777777901E-3</v>
      </c>
      <c r="K8" s="5">
        <f t="shared" si="0"/>
        <v>375</v>
      </c>
      <c r="L8" s="3">
        <v>4.7685185185184498E-3</v>
      </c>
      <c r="N8" s="1" t="s">
        <v>75</v>
      </c>
      <c r="O8" s="1" t="s">
        <v>43</v>
      </c>
      <c r="P8" s="1" t="s">
        <v>44</v>
      </c>
      <c r="Q8" s="1" t="s">
        <v>76</v>
      </c>
      <c r="R8" s="1" t="s">
        <v>76</v>
      </c>
      <c r="S8" s="1" t="s">
        <v>46</v>
      </c>
      <c r="T8" s="1" t="s">
        <v>47</v>
      </c>
      <c r="U8" s="1" t="s">
        <v>48</v>
      </c>
      <c r="V8" s="1" t="s">
        <v>49</v>
      </c>
      <c r="W8" s="1" t="s">
        <v>77</v>
      </c>
      <c r="X8" s="1" t="s">
        <v>108</v>
      </c>
      <c r="Y8" s="1" t="s">
        <v>109</v>
      </c>
      <c r="Z8" s="1" t="s">
        <v>110</v>
      </c>
      <c r="AA8" s="1" t="s">
        <v>111</v>
      </c>
      <c r="AB8" s="1" t="s">
        <v>112</v>
      </c>
      <c r="AC8" s="1">
        <v>0</v>
      </c>
      <c r="AD8" s="1" t="s">
        <v>56</v>
      </c>
      <c r="AE8" s="1" t="s">
        <v>57</v>
      </c>
      <c r="AF8" s="1" t="s">
        <v>113</v>
      </c>
      <c r="AG8" s="1" t="s">
        <v>114</v>
      </c>
      <c r="AH8" s="1" t="s">
        <v>115</v>
      </c>
      <c r="AI8" s="1" t="s">
        <v>75</v>
      </c>
      <c r="AK8" s="1" t="s">
        <v>116</v>
      </c>
      <c r="AL8" s="1" t="s">
        <v>117</v>
      </c>
      <c r="AM8" s="1">
        <v>1</v>
      </c>
      <c r="AN8" s="1">
        <v>0</v>
      </c>
      <c r="AO8" s="1">
        <f t="shared" si="1"/>
        <v>1</v>
      </c>
      <c r="AQ8" s="1" t="s">
        <v>118</v>
      </c>
      <c r="AR8" s="1">
        <f>COUNTIFS($B$2:$B$1431, "W")</f>
        <v>508</v>
      </c>
      <c r="AT8" s="1">
        <f>SUM(COUNTIFS($AO$2:$AO$1431, "&lt;2", $AF$2:$AF$1431, "", $AE$2:$AE$1431, "YOR", $B$2:$B$1431, "W"), COUNTIFS($AO$2:$AO$1431, "&lt;2", $AF$2:$AF$1431, "", $AE$2:$AE$1431, "YOR_Lumin", $B$2:$B$1431, "W"))</f>
        <v>17</v>
      </c>
      <c r="AU8" s="6">
        <f t="shared" si="2"/>
        <v>3.3464566929133861E-2</v>
      </c>
      <c r="AW8" s="1" t="s">
        <v>119</v>
      </c>
      <c r="AX8" s="1">
        <f>AX5+AX3</f>
        <v>22</v>
      </c>
    </row>
    <row r="9" spans="1:50" x14ac:dyDescent="0.4">
      <c r="A9" s="1">
        <v>1</v>
      </c>
      <c r="B9" s="1">
        <v>1</v>
      </c>
      <c r="C9" s="1" t="s">
        <v>41</v>
      </c>
      <c r="D9" s="2">
        <v>38744</v>
      </c>
      <c r="E9" s="1">
        <v>27</v>
      </c>
      <c r="F9" s="1">
        <v>7</v>
      </c>
      <c r="G9" s="3">
        <v>0.72696759259259258</v>
      </c>
      <c r="H9" s="3">
        <v>0.72853009259259249</v>
      </c>
      <c r="I9" s="3">
        <v>1.5624999999999112E-3</v>
      </c>
      <c r="J9" s="3">
        <v>1.5624999999999112E-3</v>
      </c>
      <c r="K9" s="5">
        <f t="shared" si="0"/>
        <v>135</v>
      </c>
      <c r="L9" s="3" t="s">
        <v>120</v>
      </c>
      <c r="N9" s="1" t="s">
        <v>75</v>
      </c>
      <c r="O9" s="1" t="s">
        <v>43</v>
      </c>
      <c r="P9" s="1" t="s">
        <v>44</v>
      </c>
      <c r="Q9" s="1" t="s">
        <v>76</v>
      </c>
      <c r="R9" s="1" t="s">
        <v>76</v>
      </c>
      <c r="S9" s="1" t="s">
        <v>46</v>
      </c>
      <c r="T9" s="1" t="s">
        <v>45</v>
      </c>
      <c r="U9" s="1" t="s">
        <v>48</v>
      </c>
      <c r="V9" s="1" t="s">
        <v>102</v>
      </c>
      <c r="W9" s="1" t="s">
        <v>103</v>
      </c>
      <c r="X9" s="1" t="s">
        <v>121</v>
      </c>
      <c r="AB9" s="1" t="s">
        <v>104</v>
      </c>
      <c r="AC9" s="1">
        <v>0</v>
      </c>
      <c r="AE9" s="1" t="s">
        <v>70</v>
      </c>
      <c r="AI9" s="1" t="s">
        <v>122</v>
      </c>
      <c r="AK9" s="1" t="s">
        <v>61</v>
      </c>
      <c r="AL9" s="1" t="s">
        <v>72</v>
      </c>
      <c r="AN9" s="1">
        <v>1</v>
      </c>
      <c r="AO9" s="1">
        <f t="shared" si="1"/>
        <v>1</v>
      </c>
      <c r="AQ9" s="1" t="s">
        <v>123</v>
      </c>
      <c r="AR9" s="1">
        <f>AVERAGE(AR4:AR8)</f>
        <v>286</v>
      </c>
      <c r="AT9" s="1">
        <f>AVERAGE(AT4:AT8)</f>
        <v>18.600000000000001</v>
      </c>
      <c r="AU9" s="6">
        <f>AVERAGE(AU4:AU8)</f>
        <v>6.7649432168004842E-2</v>
      </c>
      <c r="AV9" s="6">
        <v>6.76494321680048E-2</v>
      </c>
    </row>
    <row r="10" spans="1:50" x14ac:dyDescent="0.4">
      <c r="A10" s="1">
        <v>1</v>
      </c>
      <c r="B10" s="1">
        <v>1</v>
      </c>
      <c r="C10" s="1" t="s">
        <v>41</v>
      </c>
      <c r="D10" s="2">
        <v>38755</v>
      </c>
      <c r="E10" s="1">
        <v>38</v>
      </c>
      <c r="F10" s="1">
        <v>1</v>
      </c>
      <c r="G10" s="3">
        <v>0.26991898148148147</v>
      </c>
      <c r="H10" s="3">
        <v>0.29184027777777777</v>
      </c>
      <c r="I10" s="3">
        <v>2.19212962962963E-2</v>
      </c>
      <c r="J10" s="3">
        <v>1.8321759259259218E-2</v>
      </c>
      <c r="K10" s="5">
        <f t="shared" si="0"/>
        <v>1583</v>
      </c>
      <c r="L10" s="3">
        <v>0.35822916666666671</v>
      </c>
      <c r="N10" s="1" t="s">
        <v>75</v>
      </c>
      <c r="O10" s="1" t="s">
        <v>43</v>
      </c>
      <c r="P10" s="1" t="s">
        <v>44</v>
      </c>
      <c r="Q10" s="1" t="s">
        <v>45</v>
      </c>
      <c r="R10" s="1" t="s">
        <v>45</v>
      </c>
      <c r="S10" s="1" t="s">
        <v>46</v>
      </c>
      <c r="T10" s="1" t="s">
        <v>124</v>
      </c>
      <c r="U10" s="1" t="s">
        <v>66</v>
      </c>
      <c r="V10" s="1" t="s">
        <v>49</v>
      </c>
      <c r="W10" s="1" t="s">
        <v>125</v>
      </c>
      <c r="X10" s="1" t="s">
        <v>96</v>
      </c>
      <c r="Y10" s="1" t="s">
        <v>126</v>
      </c>
      <c r="Z10" s="1" t="s">
        <v>127</v>
      </c>
      <c r="AA10" s="1" t="s">
        <v>128</v>
      </c>
      <c r="AB10" s="1" t="s">
        <v>129</v>
      </c>
      <c r="AC10" s="1">
        <v>0</v>
      </c>
      <c r="AD10" s="1" t="s">
        <v>56</v>
      </c>
      <c r="AE10" s="1" t="s">
        <v>70</v>
      </c>
      <c r="AF10" s="1" t="s">
        <v>113</v>
      </c>
      <c r="AG10" s="1" t="s">
        <v>130</v>
      </c>
      <c r="AI10" s="1" t="s">
        <v>75</v>
      </c>
      <c r="AK10" s="1" t="s">
        <v>116</v>
      </c>
      <c r="AL10" s="1" t="s">
        <v>117</v>
      </c>
      <c r="AM10" s="1">
        <v>4</v>
      </c>
      <c r="AN10" s="1">
        <v>0</v>
      </c>
      <c r="AO10" s="1">
        <f t="shared" si="1"/>
        <v>4</v>
      </c>
      <c r="AQ10" s="1" t="s">
        <v>131</v>
      </c>
      <c r="AR10" s="7">
        <f>STDEV(AR4:AR8)</f>
        <v>149.58108169150267</v>
      </c>
      <c r="AT10" s="7">
        <f>STDEV(AT4:AT8)</f>
        <v>11.23832727766904</v>
      </c>
      <c r="AU10" s="6">
        <f>STDEV(AU4:AU8)</f>
        <v>3.3228518164008979E-2</v>
      </c>
      <c r="AV10" s="6">
        <v>3.3228518164008999E-2</v>
      </c>
    </row>
    <row r="11" spans="1:50" x14ac:dyDescent="0.4">
      <c r="A11" s="1">
        <v>1</v>
      </c>
      <c r="B11" s="1">
        <v>1</v>
      </c>
      <c r="C11" s="1" t="s">
        <v>41</v>
      </c>
      <c r="D11" s="2">
        <v>38755</v>
      </c>
      <c r="E11" s="1">
        <v>38</v>
      </c>
      <c r="F11" s="1">
        <v>1.25</v>
      </c>
      <c r="G11" s="3">
        <v>0.65006944444444448</v>
      </c>
      <c r="H11" s="3">
        <v>0.65026620370370369</v>
      </c>
      <c r="I11" s="3">
        <v>1.96759259259216E-4</v>
      </c>
      <c r="J11" s="3">
        <v>1.96759259259216E-4</v>
      </c>
      <c r="K11" s="5">
        <f t="shared" si="0"/>
        <v>17</v>
      </c>
      <c r="L11" s="3">
        <v>1.40393518518519E-2</v>
      </c>
      <c r="N11" s="1" t="s">
        <v>75</v>
      </c>
      <c r="O11" s="1" t="s">
        <v>43</v>
      </c>
      <c r="P11" s="1" t="s">
        <v>44</v>
      </c>
      <c r="Q11" s="1" t="s">
        <v>132</v>
      </c>
      <c r="S11" s="1" t="s">
        <v>46</v>
      </c>
      <c r="T11" s="1" t="s">
        <v>45</v>
      </c>
      <c r="U11" s="1" t="s">
        <v>48</v>
      </c>
      <c r="V11" s="1" t="s">
        <v>67</v>
      </c>
      <c r="W11" s="1" t="s">
        <v>68</v>
      </c>
      <c r="Y11" s="1" t="s">
        <v>68</v>
      </c>
      <c r="AB11" s="1" t="s">
        <v>69</v>
      </c>
      <c r="AC11" s="1">
        <v>0</v>
      </c>
      <c r="AD11" s="1" t="s">
        <v>68</v>
      </c>
      <c r="AE11" s="1" t="s">
        <v>70</v>
      </c>
      <c r="AI11" s="1" t="s">
        <v>75</v>
      </c>
      <c r="AK11" s="1" t="s">
        <v>61</v>
      </c>
      <c r="AL11" s="1" t="s">
        <v>72</v>
      </c>
      <c r="AN11" s="1">
        <v>1</v>
      </c>
      <c r="AO11" s="1">
        <f t="shared" si="1"/>
        <v>1</v>
      </c>
      <c r="AR11" s="7"/>
    </row>
    <row r="12" spans="1:50" x14ac:dyDescent="0.4">
      <c r="A12" s="1">
        <v>1</v>
      </c>
      <c r="B12" s="1">
        <v>1</v>
      </c>
      <c r="C12" s="1" t="s">
        <v>41</v>
      </c>
      <c r="D12" s="2">
        <v>38755</v>
      </c>
      <c r="E12" s="1">
        <v>38</v>
      </c>
      <c r="F12" s="1">
        <v>1.5</v>
      </c>
      <c r="G12" s="3">
        <v>0.66430555555555559</v>
      </c>
      <c r="H12" s="3">
        <v>0.66442129629629632</v>
      </c>
      <c r="I12" s="3">
        <v>1.1574074074072183E-4</v>
      </c>
      <c r="J12" s="3">
        <v>1.1574074074072183E-4</v>
      </c>
      <c r="K12" s="5">
        <f t="shared" si="0"/>
        <v>10</v>
      </c>
      <c r="L12" s="3">
        <v>1.3229166666666625E-2</v>
      </c>
      <c r="N12" s="1" t="s">
        <v>75</v>
      </c>
      <c r="O12" s="1" t="s">
        <v>43</v>
      </c>
      <c r="P12" s="1" t="s">
        <v>44</v>
      </c>
      <c r="Q12" s="1" t="s">
        <v>45</v>
      </c>
      <c r="S12" s="1" t="s">
        <v>46</v>
      </c>
      <c r="T12" s="1" t="s">
        <v>47</v>
      </c>
      <c r="U12" s="1" t="s">
        <v>48</v>
      </c>
      <c r="V12" s="1" t="s">
        <v>67</v>
      </c>
      <c r="W12" s="1" t="s">
        <v>68</v>
      </c>
      <c r="Y12" s="1" t="s">
        <v>68</v>
      </c>
      <c r="AB12" s="1" t="s">
        <v>69</v>
      </c>
      <c r="AC12" s="1">
        <v>0</v>
      </c>
      <c r="AD12" s="1" t="s">
        <v>68</v>
      </c>
      <c r="AE12" s="1" t="s">
        <v>70</v>
      </c>
      <c r="AI12" s="1" t="s">
        <v>75</v>
      </c>
      <c r="AK12" s="1" t="s">
        <v>86</v>
      </c>
      <c r="AL12" s="1" t="s">
        <v>133</v>
      </c>
      <c r="AN12" s="1">
        <v>1</v>
      </c>
      <c r="AO12" s="1">
        <f t="shared" si="1"/>
        <v>1</v>
      </c>
      <c r="AQ12" s="1" t="s">
        <v>134</v>
      </c>
      <c r="AT12" s="1" t="s">
        <v>135</v>
      </c>
      <c r="AU12" s="1" t="s">
        <v>136</v>
      </c>
      <c r="AW12" s="1" t="s">
        <v>137</v>
      </c>
      <c r="AX12" s="1" t="s">
        <v>138</v>
      </c>
    </row>
    <row r="13" spans="1:50" x14ac:dyDescent="0.4">
      <c r="A13" s="1">
        <v>1</v>
      </c>
      <c r="B13" s="1">
        <v>1</v>
      </c>
      <c r="C13" s="1" t="s">
        <v>41</v>
      </c>
      <c r="D13" s="2">
        <v>38755</v>
      </c>
      <c r="E13" s="1">
        <v>38</v>
      </c>
      <c r="F13" s="1">
        <v>1.75</v>
      </c>
      <c r="G13" s="3">
        <v>0.67765046296296294</v>
      </c>
      <c r="H13" s="3">
        <v>0.67821759259259251</v>
      </c>
      <c r="I13" s="3">
        <v>5.6712962962957025E-4</v>
      </c>
      <c r="J13" s="3">
        <v>3.8194444444439313E-4</v>
      </c>
      <c r="K13" s="5">
        <f t="shared" si="0"/>
        <v>33</v>
      </c>
      <c r="L13" s="3">
        <v>3.6006944444444633E-2</v>
      </c>
      <c r="N13" s="1" t="s">
        <v>75</v>
      </c>
      <c r="O13" s="1" t="s">
        <v>43</v>
      </c>
      <c r="P13" s="1" t="s">
        <v>44</v>
      </c>
      <c r="Q13" s="1" t="s">
        <v>76</v>
      </c>
      <c r="R13" s="1" t="s">
        <v>76</v>
      </c>
      <c r="S13" s="1" t="s">
        <v>46</v>
      </c>
      <c r="T13" s="1" t="s">
        <v>45</v>
      </c>
      <c r="U13" s="1" t="s">
        <v>48</v>
      </c>
      <c r="V13" s="1" t="s">
        <v>67</v>
      </c>
      <c r="W13" s="1" t="s">
        <v>68</v>
      </c>
      <c r="Y13" s="1" t="s">
        <v>68</v>
      </c>
      <c r="AB13" s="1" t="s">
        <v>69</v>
      </c>
      <c r="AC13" s="1">
        <v>0</v>
      </c>
      <c r="AD13" s="1" t="s">
        <v>68</v>
      </c>
      <c r="AE13" s="1" t="s">
        <v>70</v>
      </c>
      <c r="AG13" s="1" t="s">
        <v>139</v>
      </c>
      <c r="AI13" s="1" t="s">
        <v>75</v>
      </c>
      <c r="AK13" s="1" t="s">
        <v>86</v>
      </c>
      <c r="AL13" s="1" t="s">
        <v>86</v>
      </c>
      <c r="AM13" s="1">
        <v>1</v>
      </c>
      <c r="AN13" s="1">
        <v>0</v>
      </c>
      <c r="AO13" s="1">
        <f t="shared" si="1"/>
        <v>1</v>
      </c>
      <c r="AQ13" s="1" t="s">
        <v>73</v>
      </c>
      <c r="AR13" s="5">
        <f>SUM(K2:K1431)</f>
        <v>349955</v>
      </c>
      <c r="AT13" s="7">
        <f>AR13/60/60</f>
        <v>97.209722222222211</v>
      </c>
      <c r="AV13" s="1">
        <f>SUM(SUMIFS($K$2:$K$1431,$AO$2:$AO$1431,"&lt;2",$AF$2:$AF$1431,"",$AE$2:$AE$1431,"YOR"),SUMIFS($K$2:$K$1431,$AO$2:$AO$1431,"&lt;2",$AF$2:$AF$1431,"",$AE$2:$AE$1431,"YOR_Lumin"))</f>
        <v>18717</v>
      </c>
      <c r="AW13" s="4">
        <f>AV13/60/60</f>
        <v>5.1991666666666667</v>
      </c>
      <c r="AX13" s="6">
        <f>AW13/AT13</f>
        <v>5.3484019373919507E-2</v>
      </c>
    </row>
    <row r="14" spans="1:50" x14ac:dyDescent="0.4">
      <c r="A14" s="1">
        <v>1</v>
      </c>
      <c r="B14" s="1">
        <v>1</v>
      </c>
      <c r="C14" s="1" t="s">
        <v>41</v>
      </c>
      <c r="D14" s="2">
        <v>38755</v>
      </c>
      <c r="E14" s="1">
        <v>38</v>
      </c>
      <c r="F14" s="1">
        <v>2</v>
      </c>
      <c r="G14" s="3">
        <v>0.71422453703703714</v>
      </c>
      <c r="H14" s="3">
        <v>0.72141203703703705</v>
      </c>
      <c r="I14" s="3">
        <v>7.1874999999999023E-3</v>
      </c>
      <c r="J14" s="3">
        <v>7.1874999999999023E-3</v>
      </c>
      <c r="K14" s="5">
        <f t="shared" si="0"/>
        <v>621</v>
      </c>
      <c r="L14" s="3" t="s">
        <v>120</v>
      </c>
      <c r="N14" s="1" t="s">
        <v>75</v>
      </c>
      <c r="O14" s="1" t="s">
        <v>43</v>
      </c>
      <c r="P14" s="1" t="s">
        <v>44</v>
      </c>
      <c r="Q14" s="1" t="s">
        <v>76</v>
      </c>
      <c r="R14" s="1" t="s">
        <v>76</v>
      </c>
      <c r="S14" s="1" t="s">
        <v>46</v>
      </c>
      <c r="T14" s="1" t="s">
        <v>124</v>
      </c>
      <c r="V14" s="1" t="s">
        <v>49</v>
      </c>
      <c r="W14" s="1" t="s">
        <v>125</v>
      </c>
      <c r="X14" s="1" t="s">
        <v>96</v>
      </c>
      <c r="Y14" s="1" t="s">
        <v>126</v>
      </c>
      <c r="Z14" s="1" t="s">
        <v>127</v>
      </c>
      <c r="AA14" s="1" t="s">
        <v>128</v>
      </c>
      <c r="AB14" s="1" t="s">
        <v>129</v>
      </c>
      <c r="AC14" s="1">
        <v>0</v>
      </c>
      <c r="AD14" s="1" t="s">
        <v>56</v>
      </c>
      <c r="AE14" s="1" t="s">
        <v>70</v>
      </c>
      <c r="AF14" s="1" t="s">
        <v>113</v>
      </c>
      <c r="AG14" s="1" t="s">
        <v>130</v>
      </c>
      <c r="AK14" s="1" t="s">
        <v>116</v>
      </c>
      <c r="AL14" s="1" t="s">
        <v>117</v>
      </c>
      <c r="AM14" s="1">
        <v>4</v>
      </c>
      <c r="AN14" s="1">
        <v>0</v>
      </c>
      <c r="AO14" s="1">
        <f t="shared" si="1"/>
        <v>4</v>
      </c>
      <c r="AQ14" s="1" t="s">
        <v>88</v>
      </c>
      <c r="AR14" s="5">
        <f>SUMIFS($K$2:$K$1431, $B$2:$B$1431, "1")</f>
        <v>72823</v>
      </c>
      <c r="AS14" s="3"/>
      <c r="AT14" s="7">
        <f>AR14/60/60</f>
        <v>20.22861111111111</v>
      </c>
      <c r="AV14" s="1">
        <f>SUM(SUMIFS($K$2:$K$1431,$B$2:$B$1431, "1",$AO$2:$AO$1431,"&lt;2",$AF$2:$AF$1431,"",$AE$2:$AE$1431,"YOR"),SUMIFS($K$2:$K$1431,$B$2:$B$1431, "1", $AO$2:$AO$1431,"&lt;2",$AF$2:$AF$1431,"",$AE$2:$AE$1431,"YOR_Lumin"))</f>
        <v>4601</v>
      </c>
      <c r="AW14" s="4">
        <f t="shared" ref="AW14:AW17" si="3">AV14/60/60</f>
        <v>1.2780555555555557</v>
      </c>
      <c r="AX14" s="6">
        <f t="shared" ref="AX14:AX17" si="4">AW14/AT14</f>
        <v>6.3180588550320646E-2</v>
      </c>
    </row>
    <row r="15" spans="1:50" x14ac:dyDescent="0.4">
      <c r="A15" s="1">
        <v>1</v>
      </c>
      <c r="B15" s="1">
        <v>1</v>
      </c>
      <c r="C15" s="1" t="s">
        <v>41</v>
      </c>
      <c r="D15" s="2">
        <v>38763</v>
      </c>
      <c r="E15" s="1">
        <v>46</v>
      </c>
      <c r="F15" s="1">
        <v>1</v>
      </c>
      <c r="G15" s="3">
        <v>0.29675925925925922</v>
      </c>
      <c r="H15" s="3">
        <v>0.34678240740740746</v>
      </c>
      <c r="I15" s="3">
        <v>5.0023148148148233E-2</v>
      </c>
      <c r="J15" s="3">
        <v>1.9560185185185652E-3</v>
      </c>
      <c r="K15" s="5">
        <f t="shared" si="0"/>
        <v>169</v>
      </c>
      <c r="L15" s="3">
        <v>0.13085648148148143</v>
      </c>
      <c r="N15" s="1" t="s">
        <v>75</v>
      </c>
      <c r="O15" s="1" t="s">
        <v>43</v>
      </c>
      <c r="P15" s="1" t="s">
        <v>44</v>
      </c>
      <c r="Q15" s="1" t="s">
        <v>76</v>
      </c>
      <c r="R15" s="1" t="s">
        <v>76</v>
      </c>
      <c r="S15" s="1" t="s">
        <v>46</v>
      </c>
      <c r="T15" s="1" t="s">
        <v>45</v>
      </c>
      <c r="U15" s="1" t="s">
        <v>66</v>
      </c>
      <c r="V15" s="1" t="s">
        <v>49</v>
      </c>
      <c r="W15" s="1" t="s">
        <v>140</v>
      </c>
      <c r="X15" s="1" t="s">
        <v>141</v>
      </c>
      <c r="Y15" s="1" t="s">
        <v>142</v>
      </c>
      <c r="Z15" s="1" t="s">
        <v>143</v>
      </c>
      <c r="AA15" s="1">
        <v>6</v>
      </c>
      <c r="AB15" s="1" t="s">
        <v>144</v>
      </c>
      <c r="AC15" s="1">
        <v>0</v>
      </c>
      <c r="AD15" s="1" t="s">
        <v>56</v>
      </c>
      <c r="AE15" s="1" t="s">
        <v>83</v>
      </c>
      <c r="AF15" s="1" t="s">
        <v>113</v>
      </c>
      <c r="AG15" s="1" t="s">
        <v>145</v>
      </c>
      <c r="AI15" s="1" t="s">
        <v>75</v>
      </c>
      <c r="AK15" s="1" t="s">
        <v>86</v>
      </c>
      <c r="AL15" s="1" t="s">
        <v>133</v>
      </c>
      <c r="AM15" s="1">
        <v>2</v>
      </c>
      <c r="AN15" s="1">
        <v>0</v>
      </c>
      <c r="AO15" s="1">
        <f t="shared" si="1"/>
        <v>2</v>
      </c>
      <c r="AQ15" s="1" t="s">
        <v>94</v>
      </c>
      <c r="AR15" s="5">
        <f>SUMIFS($K$2:$K$1431, $B$2:$B$1431, "2")</f>
        <v>80980</v>
      </c>
      <c r="AS15" s="3"/>
      <c r="AT15" s="7">
        <f t="shared" ref="AT15:AT18" si="5">AR15/60/60</f>
        <v>22.494444444444447</v>
      </c>
      <c r="AV15" s="1">
        <f>SUM(SUMIFS($K$2:$K$1431,$B$2:$B$1431, "2",$AO$2:$AO$1431,"&lt;2",$AF$2:$AF$1431,"",$AE$2:$AE$1431,"YOR"),SUMIFS($K$2:$K$1431,$B$2:$B$1431, "2", $AO$2:$AO$1431,"&lt;2",$AF$2:$AF$1431,"",$AE$2:$AE$1431,"YOR_Lumin"))</f>
        <v>3307</v>
      </c>
      <c r="AW15" s="4">
        <f t="shared" si="3"/>
        <v>0.91861111111111116</v>
      </c>
      <c r="AX15" s="6">
        <f t="shared" si="4"/>
        <v>4.0837243763892313E-2</v>
      </c>
    </row>
    <row r="16" spans="1:50" x14ac:dyDescent="0.4">
      <c r="A16" s="1">
        <v>1</v>
      </c>
      <c r="B16" s="1">
        <v>1</v>
      </c>
      <c r="C16" s="1" t="s">
        <v>41</v>
      </c>
      <c r="D16" s="2">
        <v>38763</v>
      </c>
      <c r="E16" s="1">
        <v>46</v>
      </c>
      <c r="F16" s="1">
        <v>2</v>
      </c>
      <c r="G16" s="3">
        <v>0.47763888888888889</v>
      </c>
      <c r="H16" s="3">
        <v>0.49869212962962961</v>
      </c>
      <c r="I16" s="3">
        <v>2.105324074074072E-2</v>
      </c>
      <c r="J16" s="3">
        <v>1.9398148148148164E-2</v>
      </c>
      <c r="K16" s="5">
        <f t="shared" si="0"/>
        <v>1676</v>
      </c>
      <c r="L16" s="3">
        <v>4.5763888888888937E-2</v>
      </c>
      <c r="N16" s="1" t="s">
        <v>75</v>
      </c>
      <c r="O16" s="1" t="s">
        <v>43</v>
      </c>
      <c r="P16" s="1" t="s">
        <v>44</v>
      </c>
      <c r="Q16" s="1" t="s">
        <v>76</v>
      </c>
      <c r="R16" s="1" t="s">
        <v>76</v>
      </c>
      <c r="S16" s="1" t="s">
        <v>46</v>
      </c>
      <c r="T16" s="1" t="s">
        <v>45</v>
      </c>
      <c r="U16" s="1" t="s">
        <v>66</v>
      </c>
      <c r="V16" s="1" t="s">
        <v>49</v>
      </c>
      <c r="W16" s="1" t="s">
        <v>140</v>
      </c>
      <c r="X16" s="1" t="s">
        <v>141</v>
      </c>
      <c r="Y16" s="1" t="s">
        <v>142</v>
      </c>
      <c r="Z16" s="1" t="s">
        <v>143</v>
      </c>
      <c r="AA16" s="1">
        <v>6</v>
      </c>
      <c r="AB16" s="1" t="s">
        <v>144</v>
      </c>
      <c r="AC16" s="1">
        <v>0</v>
      </c>
      <c r="AD16" s="1" t="s">
        <v>56</v>
      </c>
      <c r="AE16" s="1" t="s">
        <v>83</v>
      </c>
      <c r="AF16" s="1" t="s">
        <v>113</v>
      </c>
      <c r="AG16" s="1" t="s">
        <v>145</v>
      </c>
      <c r="AI16" s="1" t="s">
        <v>75</v>
      </c>
      <c r="AK16" s="1" t="s">
        <v>116</v>
      </c>
      <c r="AL16" s="1" t="s">
        <v>117</v>
      </c>
      <c r="AM16" s="1">
        <v>2</v>
      </c>
      <c r="AN16" s="1">
        <v>0</v>
      </c>
      <c r="AO16" s="1">
        <f t="shared" si="1"/>
        <v>2</v>
      </c>
      <c r="AQ16" s="1" t="s">
        <v>100</v>
      </c>
      <c r="AR16" s="5">
        <f>SUMIFS($K$2:$K$1431, $B$2:$B$1431, "3")</f>
        <v>84221</v>
      </c>
      <c r="AS16" s="3"/>
      <c r="AT16" s="7">
        <f t="shared" si="5"/>
        <v>23.394722222222224</v>
      </c>
      <c r="AV16" s="1">
        <f>SUM(SUMIFS($K$2:$K$1431,$B$2:$B$1431, "3",$AO$2:$AO$1431,"&lt;2",$AF$2:$AF$1431,"",$AE$2:$AE$1431,"YOR"),SUMIFS($K$2:$K$1431,$B$2:$B$1431, "3", $AO$2:$AO$1431,"&lt;2",$AF$2:$AF$1431,"",$AE$2:$AE$1431,"YOR_Lumin"))</f>
        <v>6689</v>
      </c>
      <c r="AW16" s="4">
        <f t="shared" si="3"/>
        <v>1.8580555555555556</v>
      </c>
      <c r="AX16" s="6">
        <f t="shared" si="4"/>
        <v>7.9421996889136912E-2</v>
      </c>
    </row>
    <row r="17" spans="1:51" x14ac:dyDescent="0.4">
      <c r="A17" s="1">
        <v>1</v>
      </c>
      <c r="B17" s="1">
        <v>1</v>
      </c>
      <c r="C17" s="1" t="s">
        <v>41</v>
      </c>
      <c r="D17" s="2">
        <v>38763</v>
      </c>
      <c r="E17" s="1">
        <v>46</v>
      </c>
      <c r="F17" s="1">
        <v>3</v>
      </c>
      <c r="G17" s="3">
        <v>0.54445601851851855</v>
      </c>
      <c r="H17" s="3">
        <v>0.54523148148148148</v>
      </c>
      <c r="I17" s="3">
        <v>7.7546296296293615E-4</v>
      </c>
      <c r="J17" s="3">
        <v>7.7546296296293615E-4</v>
      </c>
      <c r="K17" s="5">
        <f t="shared" si="0"/>
        <v>67</v>
      </c>
      <c r="L17" s="3">
        <v>6.1585648148148153E-2</v>
      </c>
      <c r="N17" s="1" t="s">
        <v>75</v>
      </c>
      <c r="O17" s="1" t="s">
        <v>43</v>
      </c>
      <c r="P17" s="1" t="s">
        <v>44</v>
      </c>
      <c r="Q17" s="1" t="s">
        <v>76</v>
      </c>
      <c r="R17" s="1" t="s">
        <v>76</v>
      </c>
      <c r="S17" s="1" t="s">
        <v>46</v>
      </c>
      <c r="T17" s="1" t="s">
        <v>47</v>
      </c>
      <c r="U17" s="1" t="s">
        <v>48</v>
      </c>
      <c r="V17" s="1" t="s">
        <v>102</v>
      </c>
      <c r="W17" s="1" t="s">
        <v>103</v>
      </c>
      <c r="X17" s="1" t="s">
        <v>96</v>
      </c>
      <c r="AB17" s="1" t="s">
        <v>104</v>
      </c>
      <c r="AC17" s="1">
        <v>0</v>
      </c>
      <c r="AD17" s="1" t="s">
        <v>105</v>
      </c>
      <c r="AE17" s="1" t="s">
        <v>70</v>
      </c>
      <c r="AG17" s="1" t="s">
        <v>146</v>
      </c>
      <c r="AI17" s="1" t="s">
        <v>75</v>
      </c>
      <c r="AK17" s="1" t="s">
        <v>86</v>
      </c>
      <c r="AL17" s="1" t="s">
        <v>87</v>
      </c>
      <c r="AM17" s="1">
        <v>5</v>
      </c>
      <c r="AN17" s="1">
        <v>0</v>
      </c>
      <c r="AO17" s="1">
        <f t="shared" si="1"/>
        <v>5</v>
      </c>
      <c r="AQ17" s="1" t="s">
        <v>107</v>
      </c>
      <c r="AR17" s="5">
        <f>SUMIFS($K$2:$K$1431, $B$2:$B$1431, "S")</f>
        <v>36599</v>
      </c>
      <c r="AS17" s="3"/>
      <c r="AT17" s="7">
        <f t="shared" si="5"/>
        <v>10.166388888888889</v>
      </c>
      <c r="AV17" s="1">
        <f>SUM(SUMIFS($K$2:$K$1431,$B$2:$B$1431, "S",$AO$2:$AO$1431,"&lt;2",$AF$2:$AF$1431,"",$AE$2:$AE$1431,"YOR"),SUMIFS($K$2:$K$1431,$B$2:$B$1431, "S", $AO$2:$AO$1431,"&lt;2",$AF$2:$AF$1431,"",$AE$2:$AE$1431,"YOR_Lumin"))</f>
        <v>756</v>
      </c>
      <c r="AW17" s="4">
        <f t="shared" si="3"/>
        <v>0.21</v>
      </c>
      <c r="AX17" s="6">
        <f t="shared" si="4"/>
        <v>2.0656302084756412E-2</v>
      </c>
    </row>
    <row r="18" spans="1:51" x14ac:dyDescent="0.4">
      <c r="A18" s="1">
        <v>1</v>
      </c>
      <c r="B18" s="1">
        <v>1</v>
      </c>
      <c r="C18" s="1" t="s">
        <v>41</v>
      </c>
      <c r="D18" s="2">
        <v>38763</v>
      </c>
      <c r="E18" s="1">
        <v>46</v>
      </c>
      <c r="F18" s="1">
        <v>4</v>
      </c>
      <c r="G18" s="3">
        <v>0.60681712962962964</v>
      </c>
      <c r="H18" s="3">
        <v>0.62156250000000002</v>
      </c>
      <c r="I18" s="3">
        <v>1.4745370370370381E-2</v>
      </c>
      <c r="J18" s="3">
        <v>1.1597222222222259E-2</v>
      </c>
      <c r="K18" s="5">
        <f t="shared" si="0"/>
        <v>1002</v>
      </c>
      <c r="L18" s="3">
        <v>2.7013888888888893E-2</v>
      </c>
      <c r="N18" s="1" t="s">
        <v>42</v>
      </c>
      <c r="O18" s="1" t="s">
        <v>43</v>
      </c>
      <c r="P18" s="1" t="s">
        <v>44</v>
      </c>
      <c r="Q18" s="1" t="s">
        <v>45</v>
      </c>
      <c r="R18" s="1" t="s">
        <v>45</v>
      </c>
      <c r="S18" s="1" t="s">
        <v>46</v>
      </c>
      <c r="T18" s="1" t="s">
        <v>124</v>
      </c>
      <c r="U18" s="1" t="s">
        <v>66</v>
      </c>
      <c r="V18" s="1" t="s">
        <v>49</v>
      </c>
      <c r="W18" s="1" t="s">
        <v>125</v>
      </c>
      <c r="X18" s="1" t="s">
        <v>96</v>
      </c>
      <c r="Y18" s="1" t="s">
        <v>126</v>
      </c>
      <c r="Z18" s="1" t="s">
        <v>127</v>
      </c>
      <c r="AA18" s="1" t="s">
        <v>128</v>
      </c>
      <c r="AB18" s="1" t="s">
        <v>129</v>
      </c>
      <c r="AC18" s="1">
        <v>0</v>
      </c>
      <c r="AD18" s="1" t="s">
        <v>56</v>
      </c>
      <c r="AE18" s="1" t="s">
        <v>70</v>
      </c>
      <c r="AF18" s="1" t="s">
        <v>113</v>
      </c>
      <c r="AG18" s="1" t="s">
        <v>130</v>
      </c>
      <c r="AI18" s="1" t="s">
        <v>71</v>
      </c>
      <c r="AJ18" s="1" t="s">
        <v>147</v>
      </c>
      <c r="AK18" s="1" t="s">
        <v>86</v>
      </c>
      <c r="AL18" s="1" t="s">
        <v>86</v>
      </c>
      <c r="AM18" s="1">
        <v>4</v>
      </c>
      <c r="AN18" s="1">
        <v>0</v>
      </c>
      <c r="AO18" s="1">
        <f t="shared" si="1"/>
        <v>4</v>
      </c>
      <c r="AQ18" s="1" t="s">
        <v>118</v>
      </c>
      <c r="AR18" s="5">
        <f>SUMIFS($K$2:$K$1431, $B$2:$B$1431, "W")</f>
        <v>75332</v>
      </c>
      <c r="AS18" s="3"/>
      <c r="AT18" s="7">
        <f t="shared" si="5"/>
        <v>20.925555555555555</v>
      </c>
      <c r="AV18" s="1">
        <f>SUM(SUMIFS($K$2:$K$1431,$B$2:$B$1431, "W",$AO$2:$AO$1431,"&lt;2",$AF$2:$AF$1431,"",$AE$2:$AE$1431,"YOR"),SUMIFS($K$2:$K$1431,$B$2:$B$1431, "W", $AO$2:$AO$1431,"&lt;2",$AF$2:$AF$1431,"",$AE$2:$AE$1431,"YOR_Lumin"))</f>
        <v>3364</v>
      </c>
      <c r="AW18" s="4">
        <f>AV18/60/60</f>
        <v>0.93444444444444452</v>
      </c>
      <c r="AX18" s="6">
        <f>AW18/AT18</f>
        <v>4.4655657622258808E-2</v>
      </c>
    </row>
    <row r="19" spans="1:51" x14ac:dyDescent="0.4">
      <c r="A19" s="1">
        <v>1</v>
      </c>
      <c r="B19" s="1">
        <v>1</v>
      </c>
      <c r="C19" s="1" t="s">
        <v>41</v>
      </c>
      <c r="D19" s="2">
        <v>38763</v>
      </c>
      <c r="E19" s="1">
        <v>46</v>
      </c>
      <c r="F19" s="1">
        <v>4.5</v>
      </c>
      <c r="G19" s="3">
        <v>0.64857638888888891</v>
      </c>
      <c r="H19" s="3">
        <v>0.64871527777777771</v>
      </c>
      <c r="I19" s="3">
        <v>1.3888888888879958E-4</v>
      </c>
      <c r="J19" s="3">
        <v>1.3888888888879958E-4</v>
      </c>
      <c r="K19" s="5">
        <f t="shared" si="0"/>
        <v>12</v>
      </c>
      <c r="L19" s="3">
        <v>6.1875000000000124E-2</v>
      </c>
      <c r="N19" s="1" t="s">
        <v>75</v>
      </c>
      <c r="O19" s="1" t="s">
        <v>43</v>
      </c>
      <c r="P19" s="1" t="s">
        <v>44</v>
      </c>
      <c r="S19" s="1" t="s">
        <v>46</v>
      </c>
      <c r="T19" s="1" t="s">
        <v>45</v>
      </c>
      <c r="U19" s="1" t="s">
        <v>66</v>
      </c>
      <c r="AB19" s="1" t="s">
        <v>93</v>
      </c>
      <c r="AC19" s="1">
        <v>1</v>
      </c>
      <c r="AI19" s="1" t="s">
        <v>75</v>
      </c>
      <c r="AK19" s="1" t="s">
        <v>86</v>
      </c>
      <c r="AL19" s="1" t="s">
        <v>133</v>
      </c>
      <c r="AN19" s="1">
        <v>1</v>
      </c>
      <c r="AO19" s="1">
        <f t="shared" si="1"/>
        <v>1</v>
      </c>
      <c r="AS19" s="4" t="s">
        <v>123</v>
      </c>
      <c r="AT19" s="4">
        <f>AVERAGE(AT14:AT18)</f>
        <v>19.441944444444449</v>
      </c>
      <c r="AV19" s="4" t="s">
        <v>123</v>
      </c>
      <c r="AW19" s="4">
        <f>AVERAGE(AW14:AW18)</f>
        <v>1.0398333333333336</v>
      </c>
      <c r="AX19" s="6">
        <f>AVERAGE(AX14:AX18)</f>
        <v>4.9750357782073026E-2</v>
      </c>
      <c r="AY19" s="1">
        <v>4.9750357782072999E-2</v>
      </c>
    </row>
    <row r="20" spans="1:51" x14ac:dyDescent="0.4">
      <c r="A20" s="1">
        <v>1</v>
      </c>
      <c r="B20" s="1">
        <v>1</v>
      </c>
      <c r="C20" s="1" t="s">
        <v>41</v>
      </c>
      <c r="D20" s="2">
        <v>38763</v>
      </c>
      <c r="E20" s="1">
        <v>46</v>
      </c>
      <c r="F20" s="1">
        <v>5</v>
      </c>
      <c r="G20" s="3">
        <v>0.71059027777777783</v>
      </c>
      <c r="H20" s="3">
        <v>0.72894675925925922</v>
      </c>
      <c r="I20" s="3">
        <v>1.835648148148139E-2</v>
      </c>
      <c r="J20" s="3">
        <v>1.7962962962962847E-2</v>
      </c>
      <c r="K20" s="5">
        <f t="shared" si="0"/>
        <v>1552</v>
      </c>
      <c r="L20" s="3" t="s">
        <v>120</v>
      </c>
      <c r="N20" s="1" t="s">
        <v>75</v>
      </c>
      <c r="O20" s="1" t="s">
        <v>43</v>
      </c>
      <c r="P20" s="1" t="s">
        <v>44</v>
      </c>
      <c r="Q20" s="1" t="s">
        <v>76</v>
      </c>
      <c r="R20" s="1" t="s">
        <v>76</v>
      </c>
      <c r="S20" s="1" t="s">
        <v>46</v>
      </c>
      <c r="T20" s="1" t="s">
        <v>45</v>
      </c>
      <c r="U20" s="1" t="s">
        <v>66</v>
      </c>
      <c r="V20" s="1" t="s">
        <v>49</v>
      </c>
      <c r="W20" s="1" t="s">
        <v>50</v>
      </c>
      <c r="X20" s="1" t="s">
        <v>148</v>
      </c>
      <c r="Y20" s="1" t="s">
        <v>149</v>
      </c>
      <c r="Z20" s="1" t="s">
        <v>150</v>
      </c>
      <c r="AA20" s="1" t="s">
        <v>151</v>
      </c>
      <c r="AB20" s="1" t="s">
        <v>152</v>
      </c>
      <c r="AC20" s="1">
        <v>0</v>
      </c>
      <c r="AD20" s="1" t="s">
        <v>56</v>
      </c>
      <c r="AE20" s="1" t="s">
        <v>83</v>
      </c>
      <c r="AF20" s="1" t="s">
        <v>153</v>
      </c>
      <c r="AG20" s="1" t="s">
        <v>154</v>
      </c>
      <c r="AH20" s="1" t="s">
        <v>59</v>
      </c>
      <c r="AI20" s="1" t="s">
        <v>75</v>
      </c>
      <c r="AJ20" s="1" t="s">
        <v>147</v>
      </c>
      <c r="AK20" s="1" t="s">
        <v>116</v>
      </c>
      <c r="AL20" s="1" t="s">
        <v>155</v>
      </c>
      <c r="AM20" s="1">
        <v>1</v>
      </c>
      <c r="AN20" s="1">
        <v>0</v>
      </c>
      <c r="AO20" s="1">
        <f t="shared" si="1"/>
        <v>1</v>
      </c>
      <c r="AS20" s="4" t="s">
        <v>131</v>
      </c>
      <c r="AT20" s="4">
        <f>STDEV(AT14:AT18)</f>
        <v>5.3338092778085775</v>
      </c>
      <c r="AU20" s="4"/>
      <c r="AV20" s="4" t="s">
        <v>131</v>
      </c>
      <c r="AW20" s="4">
        <f>STDEV(AW14:AW18)</f>
        <v>0.60013799210506635</v>
      </c>
      <c r="AX20" s="6">
        <f>STDEV(AX14:AX18)</f>
        <v>2.2431233325021869E-2</v>
      </c>
      <c r="AY20" s="1">
        <v>2.24312333250219E-2</v>
      </c>
    </row>
    <row r="21" spans="1:51" x14ac:dyDescent="0.4">
      <c r="A21" s="1">
        <v>1</v>
      </c>
      <c r="B21" s="1">
        <v>1</v>
      </c>
      <c r="C21" s="1" t="s">
        <v>41</v>
      </c>
      <c r="D21" s="2">
        <v>38785</v>
      </c>
      <c r="E21" s="1">
        <v>68</v>
      </c>
      <c r="F21" s="1">
        <v>1</v>
      </c>
      <c r="G21" s="3">
        <v>0.31135416666666665</v>
      </c>
      <c r="H21" s="3">
        <v>0.31300925925925926</v>
      </c>
      <c r="I21" s="3">
        <v>1.6550925925926108E-3</v>
      </c>
      <c r="J21" s="3">
        <v>1.6550925925926108E-3</v>
      </c>
      <c r="K21" s="5">
        <f t="shared" si="0"/>
        <v>143</v>
      </c>
      <c r="L21" s="3">
        <v>0.18112268518518521</v>
      </c>
      <c r="N21" s="1" t="s">
        <v>42</v>
      </c>
      <c r="O21" s="1" t="s">
        <v>43</v>
      </c>
      <c r="P21" s="1" t="s">
        <v>44</v>
      </c>
      <c r="Q21" s="1" t="s">
        <v>132</v>
      </c>
      <c r="R21" s="1" t="s">
        <v>132</v>
      </c>
      <c r="T21" s="1" t="s">
        <v>47</v>
      </c>
      <c r="U21" s="1" t="s">
        <v>156</v>
      </c>
      <c r="V21" s="1" t="s">
        <v>49</v>
      </c>
      <c r="W21" s="1" t="s">
        <v>125</v>
      </c>
      <c r="X21" s="1" t="s">
        <v>96</v>
      </c>
      <c r="Y21" s="1" t="s">
        <v>126</v>
      </c>
      <c r="Z21" s="1" t="s">
        <v>127</v>
      </c>
      <c r="AA21" s="1" t="s">
        <v>128</v>
      </c>
      <c r="AB21" s="1" t="s">
        <v>129</v>
      </c>
      <c r="AC21" s="1">
        <v>0</v>
      </c>
      <c r="AD21" s="1" t="s">
        <v>56</v>
      </c>
      <c r="AE21" s="1" t="s">
        <v>70</v>
      </c>
      <c r="AG21" s="1" t="s">
        <v>130</v>
      </c>
      <c r="AH21" s="1" t="s">
        <v>157</v>
      </c>
      <c r="AI21" s="1" t="s">
        <v>75</v>
      </c>
      <c r="AK21" s="1" t="s">
        <v>86</v>
      </c>
      <c r="AL21" s="1" t="s">
        <v>133</v>
      </c>
      <c r="AM21" s="1">
        <v>4</v>
      </c>
      <c r="AN21" s="1">
        <v>0</v>
      </c>
      <c r="AO21" s="1">
        <f t="shared" si="1"/>
        <v>4</v>
      </c>
    </row>
    <row r="22" spans="1:51" x14ac:dyDescent="0.4">
      <c r="A22" s="1">
        <v>1</v>
      </c>
      <c r="B22" s="1">
        <v>1</v>
      </c>
      <c r="C22" s="1" t="s">
        <v>41</v>
      </c>
      <c r="D22" s="2">
        <v>38785</v>
      </c>
      <c r="E22" s="1">
        <v>68</v>
      </c>
      <c r="F22" s="1">
        <v>2</v>
      </c>
      <c r="G22" s="3">
        <v>0.49413194444444447</v>
      </c>
      <c r="H22" s="3">
        <v>0.5213078703703703</v>
      </c>
      <c r="I22" s="3">
        <v>2.7175925925925826E-2</v>
      </c>
      <c r="J22" s="3">
        <v>2.6921296296296193E-2</v>
      </c>
      <c r="K22" s="5">
        <f t="shared" si="0"/>
        <v>2326</v>
      </c>
      <c r="L22" s="3" t="s">
        <v>120</v>
      </c>
      <c r="N22" s="1" t="s">
        <v>42</v>
      </c>
      <c r="O22" s="1" t="s">
        <v>43</v>
      </c>
      <c r="P22" s="1" t="s">
        <v>44</v>
      </c>
      <c r="Q22" s="1" t="s">
        <v>76</v>
      </c>
      <c r="R22" s="1" t="s">
        <v>76</v>
      </c>
      <c r="T22" s="1" t="s">
        <v>47</v>
      </c>
      <c r="U22" s="1" t="s">
        <v>66</v>
      </c>
      <c r="V22" s="1" t="s">
        <v>49</v>
      </c>
      <c r="W22" s="1" t="s">
        <v>50</v>
      </c>
      <c r="X22" s="1" t="s">
        <v>158</v>
      </c>
      <c r="Y22" s="1" t="s">
        <v>159</v>
      </c>
      <c r="Z22" s="1" t="s">
        <v>160</v>
      </c>
      <c r="AA22" s="1" t="s">
        <v>161</v>
      </c>
      <c r="AB22" s="1" t="s">
        <v>162</v>
      </c>
      <c r="AC22" s="1">
        <v>0</v>
      </c>
      <c r="AD22" s="1" t="s">
        <v>56</v>
      </c>
      <c r="AE22" s="1" t="s">
        <v>83</v>
      </c>
      <c r="AF22" s="1" t="s">
        <v>163</v>
      </c>
      <c r="AG22" s="1" t="s">
        <v>164</v>
      </c>
      <c r="AH22" s="1" t="s">
        <v>165</v>
      </c>
      <c r="AI22" s="1" t="s">
        <v>71</v>
      </c>
      <c r="AJ22" s="1" t="s">
        <v>147</v>
      </c>
      <c r="AK22" s="1" t="s">
        <v>116</v>
      </c>
      <c r="AL22" s="1" t="s">
        <v>117</v>
      </c>
      <c r="AM22" s="1">
        <v>7</v>
      </c>
      <c r="AN22" s="1">
        <v>0</v>
      </c>
      <c r="AO22" s="1">
        <f t="shared" si="1"/>
        <v>7</v>
      </c>
      <c r="AQ22" s="1" t="s">
        <v>166</v>
      </c>
      <c r="AR22" s="1" t="s">
        <v>167</v>
      </c>
      <c r="AS22" s="1" t="s">
        <v>168</v>
      </c>
      <c r="AT22" s="1" t="s">
        <v>68</v>
      </c>
      <c r="AU22" s="1" t="s">
        <v>169</v>
      </c>
      <c r="AV22" s="1" t="s">
        <v>170</v>
      </c>
      <c r="AW22" s="1" t="s">
        <v>171</v>
      </c>
    </row>
    <row r="23" spans="1:51" x14ac:dyDescent="0.4">
      <c r="A23" s="1">
        <v>1</v>
      </c>
      <c r="B23" s="1">
        <v>1</v>
      </c>
      <c r="C23" s="1" t="s">
        <v>41</v>
      </c>
      <c r="D23" s="2">
        <v>38796</v>
      </c>
      <c r="E23" s="1">
        <v>79</v>
      </c>
      <c r="F23" s="1">
        <v>2</v>
      </c>
      <c r="G23" s="3">
        <v>0.49579861111111106</v>
      </c>
      <c r="H23" s="3">
        <v>0.50089120370370377</v>
      </c>
      <c r="I23" s="3">
        <v>5.092592592592704E-3</v>
      </c>
      <c r="J23" s="3">
        <v>5.092592592592704E-3</v>
      </c>
      <c r="K23" s="5">
        <f t="shared" si="0"/>
        <v>440</v>
      </c>
      <c r="L23" s="3">
        <v>3.6689814814814259E-3</v>
      </c>
      <c r="N23" s="1" t="s">
        <v>42</v>
      </c>
      <c r="O23" s="1" t="s">
        <v>43</v>
      </c>
      <c r="P23" s="1" t="s">
        <v>172</v>
      </c>
      <c r="Q23" s="1" t="s">
        <v>76</v>
      </c>
      <c r="R23" s="1" t="s">
        <v>76</v>
      </c>
      <c r="S23" s="1" t="s">
        <v>46</v>
      </c>
      <c r="T23" s="1" t="s">
        <v>45</v>
      </c>
      <c r="V23" s="1" t="s">
        <v>49</v>
      </c>
      <c r="W23" s="1" t="s">
        <v>50</v>
      </c>
      <c r="X23" s="1" t="s">
        <v>158</v>
      </c>
      <c r="Y23" s="1" t="s">
        <v>159</v>
      </c>
      <c r="Z23" s="1" t="s">
        <v>160</v>
      </c>
      <c r="AA23" s="1" t="s">
        <v>161</v>
      </c>
      <c r="AB23" s="1" t="s">
        <v>162</v>
      </c>
      <c r="AC23" s="1">
        <v>0</v>
      </c>
      <c r="AD23" s="1" t="s">
        <v>56</v>
      </c>
      <c r="AE23" s="1" t="s">
        <v>83</v>
      </c>
      <c r="AF23" s="1" t="s">
        <v>84</v>
      </c>
      <c r="AG23" s="1" t="s">
        <v>173</v>
      </c>
      <c r="AH23" s="1" t="s">
        <v>165</v>
      </c>
      <c r="AK23" s="1" t="s">
        <v>61</v>
      </c>
      <c r="AL23" s="1" t="s">
        <v>72</v>
      </c>
      <c r="AM23" s="1">
        <v>6</v>
      </c>
      <c r="AN23" s="1">
        <v>0</v>
      </c>
      <c r="AO23" s="1">
        <f t="shared" si="1"/>
        <v>6</v>
      </c>
      <c r="AQ23" s="1" t="s">
        <v>73</v>
      </c>
      <c r="AR23" s="1">
        <f>COUNTIF($V$2:$V$1431, "Flower")</f>
        <v>26</v>
      </c>
      <c r="AS23" s="1">
        <f>COUNTIF($V$2:$V$1431, "Fruit")</f>
        <v>502</v>
      </c>
      <c r="AT23" s="1">
        <f>COUNTIF($V$2:$V$1431, "Insect")</f>
        <v>115</v>
      </c>
      <c r="AU23" s="1">
        <f>COUNTIF($V$2:$V$1431, "Leaf/Stem")</f>
        <v>325</v>
      </c>
      <c r="AV23" s="1">
        <f>COUNTIF($V$2:$V$1431, "Other")</f>
        <v>0</v>
      </c>
      <c r="AW23" s="1">
        <f>COUNTIF($V$2:$V$1431, "")</f>
        <v>462</v>
      </c>
    </row>
    <row r="24" spans="1:51" x14ac:dyDescent="0.4">
      <c r="A24" s="1">
        <v>1</v>
      </c>
      <c r="B24" s="1">
        <v>1</v>
      </c>
      <c r="C24" s="1" t="s">
        <v>41</v>
      </c>
      <c r="D24" s="2">
        <v>38796</v>
      </c>
      <c r="E24" s="1">
        <v>79</v>
      </c>
      <c r="F24" s="1">
        <v>3</v>
      </c>
      <c r="G24" s="3">
        <v>0.50456018518518519</v>
      </c>
      <c r="H24" s="3">
        <v>0.51623842592592595</v>
      </c>
      <c r="I24" s="3">
        <v>1.1678240740740753E-2</v>
      </c>
      <c r="J24" s="3">
        <v>1.0370370370370252E-2</v>
      </c>
      <c r="K24" s="5">
        <f t="shared" si="0"/>
        <v>896</v>
      </c>
      <c r="L24" s="3">
        <v>8.2002314814814792E-2</v>
      </c>
      <c r="N24" s="1" t="s">
        <v>42</v>
      </c>
      <c r="O24" s="1" t="s">
        <v>43</v>
      </c>
      <c r="P24" s="1" t="s">
        <v>172</v>
      </c>
      <c r="Q24" s="1" t="s">
        <v>76</v>
      </c>
      <c r="R24" s="1" t="s">
        <v>76</v>
      </c>
      <c r="S24" s="1" t="s">
        <v>46</v>
      </c>
      <c r="T24" s="1" t="s">
        <v>47</v>
      </c>
      <c r="V24" s="1" t="s">
        <v>49</v>
      </c>
      <c r="W24" s="1" t="s">
        <v>50</v>
      </c>
      <c r="X24" s="1" t="s">
        <v>158</v>
      </c>
      <c r="Y24" s="1" t="s">
        <v>159</v>
      </c>
      <c r="Z24" s="1" t="s">
        <v>160</v>
      </c>
      <c r="AA24" s="1" t="s">
        <v>161</v>
      </c>
      <c r="AB24" s="1" t="s">
        <v>162</v>
      </c>
      <c r="AC24" s="1">
        <v>0</v>
      </c>
      <c r="AD24" s="1" t="s">
        <v>56</v>
      </c>
      <c r="AE24" s="1" t="s">
        <v>83</v>
      </c>
      <c r="AF24" s="1" t="s">
        <v>113</v>
      </c>
      <c r="AG24" s="1" t="s">
        <v>164</v>
      </c>
      <c r="AH24" s="1" t="s">
        <v>165</v>
      </c>
      <c r="AK24" s="1" t="s">
        <v>86</v>
      </c>
      <c r="AL24" s="1" t="s">
        <v>133</v>
      </c>
      <c r="AM24" s="1">
        <v>7</v>
      </c>
      <c r="AN24" s="1">
        <v>0</v>
      </c>
      <c r="AO24" s="1">
        <f t="shared" si="1"/>
        <v>7</v>
      </c>
      <c r="AQ24" s="1" t="s">
        <v>88</v>
      </c>
      <c r="AR24" s="1">
        <f>COUNTIFS($V$2:$V$1431, "Flower", $B$2:$B$1431, "1")</f>
        <v>4</v>
      </c>
      <c r="AS24" s="1">
        <f>COUNTIFS($V$2:$V$1431, "Fruit", $B$2:$B$1431, "1")</f>
        <v>91</v>
      </c>
      <c r="AT24" s="1">
        <f>COUNTIFS($V$2:$V$1431, "Insect", $B$2:$B$1431, "1")</f>
        <v>9</v>
      </c>
      <c r="AU24" s="1">
        <f>COUNTIFS($V$2:$V$1431, "Leaf/Stem", $B$2:$B$1431, "1")</f>
        <v>44</v>
      </c>
      <c r="AV24" s="1">
        <f>COUNTIFS($V$2:$V$1431, "Other", $B$2:$B$1431, "1")</f>
        <v>0</v>
      </c>
      <c r="AW24" s="1">
        <f>COUNTIFS($V$2:$V$1431, "", $B$2:$B$1431, "1")</f>
        <v>45</v>
      </c>
    </row>
    <row r="25" spans="1:51" x14ac:dyDescent="0.4">
      <c r="A25" s="1">
        <v>1</v>
      </c>
      <c r="B25" s="1">
        <v>1</v>
      </c>
      <c r="C25" s="1" t="s">
        <v>41</v>
      </c>
      <c r="D25" s="2">
        <v>38796</v>
      </c>
      <c r="E25" s="1">
        <v>79</v>
      </c>
      <c r="F25" s="1">
        <v>5</v>
      </c>
      <c r="G25" s="3">
        <v>0.59824074074074074</v>
      </c>
      <c r="H25" s="3">
        <v>0.60164351851851849</v>
      </c>
      <c r="I25" s="3">
        <v>3.4027777777777546E-3</v>
      </c>
      <c r="J25" s="3">
        <v>3.4027777777777546E-3</v>
      </c>
      <c r="K25" s="5">
        <f t="shared" si="0"/>
        <v>294</v>
      </c>
      <c r="L25" s="3">
        <v>4.0243055555555629E-2</v>
      </c>
      <c r="N25" s="1" t="s">
        <v>42</v>
      </c>
      <c r="O25" s="1" t="s">
        <v>43</v>
      </c>
      <c r="P25" s="1" t="s">
        <v>172</v>
      </c>
      <c r="Q25" s="1" t="s">
        <v>45</v>
      </c>
      <c r="R25" s="1" t="s">
        <v>45</v>
      </c>
      <c r="S25" s="1" t="s">
        <v>46</v>
      </c>
      <c r="T25" s="1" t="s">
        <v>124</v>
      </c>
      <c r="V25" s="1" t="s">
        <v>49</v>
      </c>
      <c r="W25" s="1" t="s">
        <v>50</v>
      </c>
      <c r="X25" s="1" t="s">
        <v>158</v>
      </c>
      <c r="Y25" s="1" t="s">
        <v>159</v>
      </c>
      <c r="Z25" s="1" t="s">
        <v>160</v>
      </c>
      <c r="AA25" s="1" t="s">
        <v>161</v>
      </c>
      <c r="AB25" s="1" t="s">
        <v>162</v>
      </c>
      <c r="AC25" s="1">
        <v>0</v>
      </c>
      <c r="AD25" s="1" t="s">
        <v>56</v>
      </c>
      <c r="AE25" s="1" t="s">
        <v>83</v>
      </c>
      <c r="AF25" s="1" t="s">
        <v>84</v>
      </c>
      <c r="AG25" s="1" t="s">
        <v>164</v>
      </c>
      <c r="AH25" s="1" t="s">
        <v>165</v>
      </c>
      <c r="AK25" s="1" t="s">
        <v>116</v>
      </c>
      <c r="AL25" s="1" t="s">
        <v>174</v>
      </c>
      <c r="AM25" s="1">
        <v>7</v>
      </c>
      <c r="AN25" s="1">
        <v>0</v>
      </c>
      <c r="AO25" s="1">
        <f t="shared" si="1"/>
        <v>7</v>
      </c>
      <c r="AQ25" s="1" t="s">
        <v>94</v>
      </c>
      <c r="AR25" s="1">
        <f>COUNTIFS($V$2:$V$1431, "Flower", $B$2:$B$1431, "2")</f>
        <v>5</v>
      </c>
      <c r="AS25" s="1">
        <f>COUNTIFS($V$2:$V$1431, "Fruit", $B$2:$B$1431, "2")</f>
        <v>84</v>
      </c>
      <c r="AT25" s="1">
        <f>COUNTIFS($V$2:$V$1431, "Insect", $B$2:$B$1431, "2")</f>
        <v>21</v>
      </c>
      <c r="AU25" s="1">
        <f>COUNTIFS($V$2:$V$1431, "Leaf/Stem", $B$2:$B$1431, "2")</f>
        <v>51</v>
      </c>
      <c r="AV25" s="1">
        <f>COUNTIFS($V$2:$V$1431, "Other", $B$2:$B$1431, "2")</f>
        <v>0</v>
      </c>
      <c r="AW25" s="1">
        <f>COUNTIFS($V$2:$V$1431, "", $B$2:$B$1431, "2")</f>
        <v>69</v>
      </c>
    </row>
    <row r="26" spans="1:51" x14ac:dyDescent="0.4">
      <c r="A26" s="1">
        <v>1</v>
      </c>
      <c r="B26" s="1">
        <v>1</v>
      </c>
      <c r="C26" s="1" t="s">
        <v>41</v>
      </c>
      <c r="D26" s="2">
        <v>38796</v>
      </c>
      <c r="E26" s="1">
        <v>79</v>
      </c>
      <c r="F26" s="1">
        <v>5.5</v>
      </c>
      <c r="G26" s="3">
        <v>0.64188657407407412</v>
      </c>
      <c r="H26" s="3">
        <v>0.64202546296296303</v>
      </c>
      <c r="I26" s="3">
        <v>1.388888888889106E-4</v>
      </c>
      <c r="J26" s="3">
        <v>1.388888888889106E-4</v>
      </c>
      <c r="K26" s="5">
        <f t="shared" si="0"/>
        <v>12</v>
      </c>
      <c r="L26" s="3">
        <v>3.7546296296296244E-2</v>
      </c>
      <c r="N26" s="1" t="s">
        <v>75</v>
      </c>
      <c r="O26" s="1" t="s">
        <v>43</v>
      </c>
      <c r="P26" s="1" t="s">
        <v>172</v>
      </c>
      <c r="Q26" s="1" t="s">
        <v>132</v>
      </c>
      <c r="R26" s="1" t="s">
        <v>45</v>
      </c>
      <c r="S26" s="1" t="s">
        <v>46</v>
      </c>
      <c r="T26" s="1" t="s">
        <v>45</v>
      </c>
      <c r="V26" s="1" t="s">
        <v>102</v>
      </c>
      <c r="W26" s="1" t="s">
        <v>103</v>
      </c>
      <c r="X26" s="1" t="s">
        <v>121</v>
      </c>
      <c r="AB26" s="1" t="s">
        <v>104</v>
      </c>
      <c r="AC26" s="1">
        <v>0</v>
      </c>
      <c r="AE26" s="1" t="s">
        <v>70</v>
      </c>
      <c r="AK26" s="1" t="s">
        <v>61</v>
      </c>
      <c r="AL26" s="1" t="s">
        <v>133</v>
      </c>
      <c r="AN26" s="1">
        <v>1</v>
      </c>
      <c r="AO26" s="1">
        <f t="shared" si="1"/>
        <v>1</v>
      </c>
      <c r="AQ26" s="1" t="s">
        <v>100</v>
      </c>
      <c r="AR26" s="1">
        <f>COUNTIFS($V$2:$V$1431, "Flower", $B$2:$B$1431, "3")</f>
        <v>9</v>
      </c>
      <c r="AS26" s="1">
        <f>COUNTIFS($V$2:$V$1431, "Fruit", $B$2:$B$1431, "3")</f>
        <v>147</v>
      </c>
      <c r="AT26" s="1">
        <f>COUNTIFS($V$2:$V$1431, "Insect", $B$2:$B$1431, "3")</f>
        <v>20</v>
      </c>
      <c r="AU26" s="1">
        <f>COUNTIFS($V$2:$V$1431, "Leaf/Stem", $B$2:$B$1431, "3")</f>
        <v>61</v>
      </c>
      <c r="AV26" s="1">
        <f>COUNTIFS($V$2:$V$1431, "Other", $B$2:$B$1431, "3")</f>
        <v>0</v>
      </c>
      <c r="AW26" s="1">
        <f>COUNTIFS($V$2:$V$1431, "", $B$2:$B$1431, "3")</f>
        <v>126</v>
      </c>
    </row>
    <row r="27" spans="1:51" x14ac:dyDescent="0.4">
      <c r="A27" s="1">
        <v>1</v>
      </c>
      <c r="B27" s="1">
        <v>1</v>
      </c>
      <c r="C27" s="1" t="s">
        <v>41</v>
      </c>
      <c r="D27" s="2">
        <v>38796</v>
      </c>
      <c r="E27" s="1">
        <v>79</v>
      </c>
      <c r="F27" s="1">
        <v>6</v>
      </c>
      <c r="G27" s="3">
        <v>0.67957175925925928</v>
      </c>
      <c r="H27" s="3">
        <v>0.68054398148148154</v>
      </c>
      <c r="I27" s="3">
        <v>9.7222222222226318E-4</v>
      </c>
      <c r="J27" s="3">
        <v>9.7222222222226318E-4</v>
      </c>
      <c r="K27" s="5">
        <f t="shared" si="0"/>
        <v>84</v>
      </c>
      <c r="L27" s="3" t="s">
        <v>120</v>
      </c>
      <c r="N27" s="1" t="s">
        <v>42</v>
      </c>
      <c r="O27" s="1" t="s">
        <v>43</v>
      </c>
      <c r="P27" s="1" t="s">
        <v>172</v>
      </c>
      <c r="Q27" s="1" t="s">
        <v>76</v>
      </c>
      <c r="R27" s="1" t="s">
        <v>76</v>
      </c>
      <c r="S27" s="1" t="s">
        <v>46</v>
      </c>
      <c r="T27" s="1" t="s">
        <v>45</v>
      </c>
      <c r="U27" s="1" t="s">
        <v>66</v>
      </c>
      <c r="V27" s="1" t="s">
        <v>102</v>
      </c>
      <c r="W27" s="1" t="s">
        <v>103</v>
      </c>
      <c r="X27" s="1" t="s">
        <v>96</v>
      </c>
      <c r="AB27" s="1" t="s">
        <v>104</v>
      </c>
      <c r="AC27" s="1">
        <v>0</v>
      </c>
      <c r="AD27" s="1" t="s">
        <v>56</v>
      </c>
      <c r="AE27" s="1" t="s">
        <v>70</v>
      </c>
      <c r="AG27" s="1" t="s">
        <v>175</v>
      </c>
      <c r="AH27" s="1" t="s">
        <v>157</v>
      </c>
      <c r="AI27" s="1" t="s">
        <v>71</v>
      </c>
      <c r="AK27" s="1" t="s">
        <v>86</v>
      </c>
      <c r="AL27" s="1" t="s">
        <v>87</v>
      </c>
      <c r="AM27" s="1">
        <v>1</v>
      </c>
      <c r="AN27" s="1">
        <v>0</v>
      </c>
      <c r="AO27" s="1">
        <f t="shared" si="1"/>
        <v>1</v>
      </c>
      <c r="AQ27" s="1" t="s">
        <v>107</v>
      </c>
      <c r="AR27" s="1">
        <f>COUNTIFS($V$2:$V$1431, "Flower", $B$2:$B$1431, "S")</f>
        <v>4</v>
      </c>
      <c r="AS27" s="1">
        <f>COUNTIFS($V$2:$V$1431, "Fruit", $B$2:$B$1431, "S")</f>
        <v>61</v>
      </c>
      <c r="AT27" s="1">
        <f>COUNTIFS($V$2:$V$1431, "Insect", $B$2:$B$1431, "S")</f>
        <v>20</v>
      </c>
      <c r="AU27" s="1">
        <f>COUNTIFS($V$2:$V$1431, "Leaf/Stem", $B$2:$B$1431, "S")</f>
        <v>20</v>
      </c>
      <c r="AV27" s="1">
        <f>COUNTIFS($V$2:$V$1431, "Other", $B$2:$B$1431, "S")</f>
        <v>0</v>
      </c>
      <c r="AW27" s="1">
        <f>COUNTIFS($V$2:$V$1431, "", $B$2:$B$1431, "S")</f>
        <v>31</v>
      </c>
    </row>
    <row r="28" spans="1:51" x14ac:dyDescent="0.4">
      <c r="A28" s="1">
        <v>1</v>
      </c>
      <c r="B28" s="1">
        <v>1</v>
      </c>
      <c r="C28" s="1" t="s">
        <v>41</v>
      </c>
      <c r="D28" s="2">
        <v>38797</v>
      </c>
      <c r="E28" s="1">
        <v>80</v>
      </c>
      <c r="F28" s="1">
        <v>1</v>
      </c>
      <c r="G28" s="3">
        <v>0.30796296296296294</v>
      </c>
      <c r="H28" s="3">
        <v>0.31040509259259258</v>
      </c>
      <c r="I28" s="3">
        <v>2.4421296296296413E-3</v>
      </c>
      <c r="J28" s="3">
        <v>2.4421296296296413E-3</v>
      </c>
      <c r="K28" s="5">
        <f t="shared" si="0"/>
        <v>211</v>
      </c>
      <c r="L28" s="3">
        <v>6.0763888888888951E-3</v>
      </c>
      <c r="N28" s="1" t="s">
        <v>75</v>
      </c>
      <c r="O28" s="1" t="s">
        <v>43</v>
      </c>
      <c r="P28" s="1" t="s">
        <v>172</v>
      </c>
      <c r="Q28" s="1" t="s">
        <v>76</v>
      </c>
      <c r="R28" s="1" t="s">
        <v>76</v>
      </c>
      <c r="S28" s="1" t="s">
        <v>46</v>
      </c>
      <c r="T28" s="1" t="s">
        <v>47</v>
      </c>
      <c r="U28" s="1" t="s">
        <v>66</v>
      </c>
      <c r="V28" s="1" t="s">
        <v>102</v>
      </c>
      <c r="W28" s="1" t="s">
        <v>103</v>
      </c>
      <c r="X28" s="1" t="s">
        <v>96</v>
      </c>
      <c r="AB28" s="1" t="s">
        <v>104</v>
      </c>
      <c r="AC28" s="1">
        <v>0</v>
      </c>
      <c r="AD28" s="1" t="s">
        <v>56</v>
      </c>
      <c r="AE28" s="1" t="s">
        <v>70</v>
      </c>
      <c r="AF28" s="1" t="s">
        <v>113</v>
      </c>
      <c r="AG28" s="1" t="s">
        <v>176</v>
      </c>
      <c r="AH28" s="1" t="s">
        <v>157</v>
      </c>
      <c r="AI28" s="1" t="s">
        <v>75</v>
      </c>
      <c r="AK28" s="1" t="s">
        <v>116</v>
      </c>
      <c r="AL28" s="1" t="s">
        <v>174</v>
      </c>
      <c r="AM28" s="1">
        <v>1</v>
      </c>
      <c r="AN28" s="1">
        <v>0</v>
      </c>
      <c r="AO28" s="1">
        <f t="shared" si="1"/>
        <v>1</v>
      </c>
      <c r="AQ28" s="1" t="s">
        <v>118</v>
      </c>
      <c r="AR28" s="1">
        <f>COUNTIFS($V$2:$V$1431, "Flower", $B$2:$B$1431, "W")</f>
        <v>4</v>
      </c>
      <c r="AS28" s="1">
        <f>COUNTIFS($V$2:$V$1431, "Fruit", $B$2:$B$1431, "W")</f>
        <v>119</v>
      </c>
      <c r="AT28" s="1">
        <f>COUNTIFS($V$2:$V$1431, "Insect", $B$2:$B$1431, "W")</f>
        <v>45</v>
      </c>
      <c r="AU28" s="1">
        <f>COUNTIFS($V$2:$V$1431, "Leaf/Stem", $B$2:$B$1431, "W")</f>
        <v>149</v>
      </c>
      <c r="AV28" s="1">
        <f>COUNTIFS($V$2:$V$1431, "Other", $B$2:$B$1431, "W")</f>
        <v>0</v>
      </c>
      <c r="AW28" s="1">
        <f>COUNTIFS($V$2:$V$1431, "", $B$2:$B$1431, "W")</f>
        <v>191</v>
      </c>
    </row>
    <row r="29" spans="1:51" x14ac:dyDescent="0.4">
      <c r="A29" s="1">
        <v>1</v>
      </c>
      <c r="B29" s="1">
        <v>1</v>
      </c>
      <c r="C29" s="1" t="s">
        <v>41</v>
      </c>
      <c r="D29" s="2">
        <v>38797</v>
      </c>
      <c r="E29" s="1">
        <v>80</v>
      </c>
      <c r="F29" s="1">
        <v>2</v>
      </c>
      <c r="G29" s="3">
        <v>0.31648148148148147</v>
      </c>
      <c r="H29" s="3">
        <v>0.32688657407407407</v>
      </c>
      <c r="I29" s="3">
        <v>1.0405092592592591E-2</v>
      </c>
      <c r="J29" s="3">
        <v>1.0069444444444464E-2</v>
      </c>
      <c r="K29" s="5">
        <f t="shared" si="0"/>
        <v>870</v>
      </c>
      <c r="L29" s="3">
        <v>0.14818287037037042</v>
      </c>
      <c r="N29" s="1" t="s">
        <v>75</v>
      </c>
      <c r="O29" s="1" t="s">
        <v>43</v>
      </c>
      <c r="P29" s="1" t="s">
        <v>172</v>
      </c>
      <c r="Q29" s="1" t="s">
        <v>76</v>
      </c>
      <c r="R29" s="1" t="s">
        <v>76</v>
      </c>
      <c r="S29" s="1" t="s">
        <v>46</v>
      </c>
      <c r="T29" s="1" t="s">
        <v>124</v>
      </c>
      <c r="U29" s="1" t="s">
        <v>66</v>
      </c>
      <c r="V29" s="1" t="s">
        <v>49</v>
      </c>
      <c r="W29" s="1" t="s">
        <v>140</v>
      </c>
      <c r="X29" s="1" t="s">
        <v>177</v>
      </c>
      <c r="Y29" s="1" t="s">
        <v>79</v>
      </c>
      <c r="Z29" s="1" t="s">
        <v>178</v>
      </c>
      <c r="AA29" s="1" t="s">
        <v>179</v>
      </c>
      <c r="AB29" s="1" t="s">
        <v>180</v>
      </c>
      <c r="AC29" s="1">
        <v>0</v>
      </c>
      <c r="AD29" s="1" t="s">
        <v>56</v>
      </c>
      <c r="AE29" s="1" t="s">
        <v>181</v>
      </c>
      <c r="AF29" s="1" t="s">
        <v>163</v>
      </c>
      <c r="AG29" s="1" t="s">
        <v>182</v>
      </c>
      <c r="AH29" s="1" t="s">
        <v>115</v>
      </c>
      <c r="AI29" s="1" t="s">
        <v>75</v>
      </c>
      <c r="AK29" s="1" t="s">
        <v>116</v>
      </c>
      <c r="AL29" s="1" t="s">
        <v>117</v>
      </c>
      <c r="AM29" s="1">
        <v>2</v>
      </c>
      <c r="AN29" s="1">
        <v>0</v>
      </c>
      <c r="AO29" s="1">
        <f t="shared" si="1"/>
        <v>2</v>
      </c>
      <c r="AQ29" s="1" t="s">
        <v>183</v>
      </c>
    </row>
    <row r="30" spans="1:51" x14ac:dyDescent="0.4">
      <c r="A30" s="1">
        <v>1</v>
      </c>
      <c r="B30" s="1">
        <v>1</v>
      </c>
      <c r="C30" s="1" t="s">
        <v>41</v>
      </c>
      <c r="D30" s="2">
        <v>38797</v>
      </c>
      <c r="E30" s="1">
        <v>80</v>
      </c>
      <c r="F30" s="1">
        <v>3</v>
      </c>
      <c r="G30" s="3">
        <v>0.47506944444444449</v>
      </c>
      <c r="H30" s="3">
        <v>0.49519675925925927</v>
      </c>
      <c r="I30" s="3">
        <v>2.0127314814814778E-2</v>
      </c>
      <c r="J30" s="3">
        <v>1.3912037037036917E-2</v>
      </c>
      <c r="K30" s="5">
        <f t="shared" si="0"/>
        <v>1202</v>
      </c>
      <c r="L30" s="3">
        <v>6.6921296296296229E-2</v>
      </c>
      <c r="N30" s="1" t="s">
        <v>75</v>
      </c>
      <c r="O30" s="1" t="s">
        <v>43</v>
      </c>
      <c r="P30" s="1" t="s">
        <v>172</v>
      </c>
      <c r="Q30" s="1" t="s">
        <v>45</v>
      </c>
      <c r="R30" s="1" t="s">
        <v>45</v>
      </c>
      <c r="S30" s="1" t="s">
        <v>46</v>
      </c>
      <c r="T30" s="1" t="s">
        <v>124</v>
      </c>
      <c r="V30" s="1" t="s">
        <v>49</v>
      </c>
      <c r="W30" s="1" t="s">
        <v>50</v>
      </c>
      <c r="X30" s="1" t="s">
        <v>158</v>
      </c>
      <c r="Y30" s="1" t="s">
        <v>159</v>
      </c>
      <c r="Z30" s="1" t="s">
        <v>160</v>
      </c>
      <c r="AA30" s="1" t="s">
        <v>161</v>
      </c>
      <c r="AB30" s="1" t="s">
        <v>162</v>
      </c>
      <c r="AC30" s="1">
        <v>0</v>
      </c>
      <c r="AD30" s="1" t="s">
        <v>56</v>
      </c>
      <c r="AE30" s="1" t="s">
        <v>83</v>
      </c>
      <c r="AF30" s="1" t="s">
        <v>163</v>
      </c>
      <c r="AG30" s="1" t="s">
        <v>164</v>
      </c>
      <c r="AH30" s="1" t="s">
        <v>165</v>
      </c>
      <c r="AK30" s="1" t="s">
        <v>86</v>
      </c>
      <c r="AL30" s="1" t="s">
        <v>133</v>
      </c>
      <c r="AM30" s="1">
        <v>7</v>
      </c>
      <c r="AN30" s="1">
        <v>0</v>
      </c>
      <c r="AO30" s="1">
        <f t="shared" si="1"/>
        <v>7</v>
      </c>
      <c r="AQ30" s="1" t="s">
        <v>73</v>
      </c>
      <c r="AR30" s="6">
        <f t="shared" ref="AR30:AW30" si="6">AR23/$AR$3</f>
        <v>1.8181818181818181E-2</v>
      </c>
      <c r="AS30" s="6">
        <f t="shared" si="6"/>
        <v>0.35104895104895106</v>
      </c>
      <c r="AT30" s="6">
        <f t="shared" si="6"/>
        <v>8.0419580419580416E-2</v>
      </c>
      <c r="AU30" s="6">
        <f t="shared" si="6"/>
        <v>0.22727272727272727</v>
      </c>
      <c r="AV30" s="6">
        <f t="shared" si="6"/>
        <v>0</v>
      </c>
      <c r="AW30" s="6">
        <f t="shared" si="6"/>
        <v>0.32307692307692309</v>
      </c>
    </row>
    <row r="31" spans="1:51" x14ac:dyDescent="0.4">
      <c r="A31" s="1">
        <v>1</v>
      </c>
      <c r="B31" s="1">
        <v>1</v>
      </c>
      <c r="C31" s="1" t="s">
        <v>41</v>
      </c>
      <c r="D31" s="2">
        <v>38797</v>
      </c>
      <c r="E31" s="1">
        <v>80</v>
      </c>
      <c r="F31" s="1">
        <v>5</v>
      </c>
      <c r="G31" s="3">
        <v>0.5621180555555555</v>
      </c>
      <c r="H31" s="3">
        <v>0.5683449074074074</v>
      </c>
      <c r="I31" s="3">
        <v>6.2268518518519E-3</v>
      </c>
      <c r="J31" s="3">
        <v>5.3240740740740922E-3</v>
      </c>
      <c r="K31" s="5">
        <f t="shared" si="0"/>
        <v>460</v>
      </c>
      <c r="L31" s="3">
        <v>6.3090277777777759E-2</v>
      </c>
      <c r="N31" s="1" t="s">
        <v>75</v>
      </c>
      <c r="O31" s="1" t="s">
        <v>43</v>
      </c>
      <c r="P31" s="1" t="s">
        <v>172</v>
      </c>
      <c r="Q31" s="1" t="s">
        <v>76</v>
      </c>
      <c r="R31" s="1" t="s">
        <v>76</v>
      </c>
      <c r="S31" s="1" t="s">
        <v>46</v>
      </c>
      <c r="T31" s="1" t="s">
        <v>47</v>
      </c>
      <c r="U31" s="1" t="s">
        <v>66</v>
      </c>
      <c r="V31" s="1" t="s">
        <v>49</v>
      </c>
      <c r="W31" s="1" t="s">
        <v>50</v>
      </c>
      <c r="X31" s="1" t="s">
        <v>158</v>
      </c>
      <c r="Y31" s="1" t="s">
        <v>159</v>
      </c>
      <c r="Z31" s="1" t="s">
        <v>160</v>
      </c>
      <c r="AA31" s="1" t="s">
        <v>161</v>
      </c>
      <c r="AB31" s="1" t="s">
        <v>162</v>
      </c>
      <c r="AC31" s="1">
        <v>0</v>
      </c>
      <c r="AD31" s="1" t="s">
        <v>56</v>
      </c>
      <c r="AE31" s="1" t="s">
        <v>83</v>
      </c>
      <c r="AF31" s="1" t="s">
        <v>113</v>
      </c>
      <c r="AG31" s="1" t="s">
        <v>164</v>
      </c>
      <c r="AH31" s="1" t="s">
        <v>165</v>
      </c>
      <c r="AI31" s="1" t="s">
        <v>75</v>
      </c>
      <c r="AK31" s="1" t="s">
        <v>116</v>
      </c>
      <c r="AL31" s="1" t="s">
        <v>174</v>
      </c>
      <c r="AM31" s="1">
        <v>7</v>
      </c>
      <c r="AN31" s="1">
        <v>0</v>
      </c>
      <c r="AO31" s="1">
        <f t="shared" si="1"/>
        <v>7</v>
      </c>
      <c r="AQ31" s="1" t="s">
        <v>88</v>
      </c>
      <c r="AR31" s="6">
        <f>AR24/$AR$4</f>
        <v>2.072538860103627E-2</v>
      </c>
      <c r="AS31" s="6">
        <f t="shared" ref="AS31:AW31" si="7">AS24/$AR$4</f>
        <v>0.47150259067357514</v>
      </c>
      <c r="AT31" s="6">
        <f t="shared" si="7"/>
        <v>4.6632124352331605E-2</v>
      </c>
      <c r="AU31" s="6">
        <f t="shared" si="7"/>
        <v>0.22797927461139897</v>
      </c>
      <c r="AV31" s="6">
        <f t="shared" si="7"/>
        <v>0</v>
      </c>
      <c r="AW31" s="6">
        <f t="shared" si="7"/>
        <v>0.23316062176165803</v>
      </c>
    </row>
    <row r="32" spans="1:51" x14ac:dyDescent="0.4">
      <c r="A32" s="1">
        <v>1</v>
      </c>
      <c r="B32" s="1">
        <v>1</v>
      </c>
      <c r="C32" s="1" t="s">
        <v>41</v>
      </c>
      <c r="D32" s="2">
        <v>38797</v>
      </c>
      <c r="E32" s="1">
        <v>80</v>
      </c>
      <c r="F32" s="1">
        <v>5.25</v>
      </c>
      <c r="G32" s="3">
        <v>0.63143518518518515</v>
      </c>
      <c r="H32" s="3">
        <v>0.63206018518518514</v>
      </c>
      <c r="I32" s="3">
        <v>6.2499999999998668E-4</v>
      </c>
      <c r="J32" s="3">
        <v>6.2499999999998668E-4</v>
      </c>
      <c r="K32" s="5">
        <f t="shared" si="0"/>
        <v>54</v>
      </c>
      <c r="L32" s="3">
        <v>5.8101851851851904E-2</v>
      </c>
      <c r="N32" s="1" t="s">
        <v>75</v>
      </c>
      <c r="O32" s="1" t="s">
        <v>43</v>
      </c>
      <c r="P32" s="1" t="s">
        <v>172</v>
      </c>
      <c r="Q32" s="1" t="s">
        <v>76</v>
      </c>
      <c r="R32" s="1" t="s">
        <v>76</v>
      </c>
      <c r="S32" s="1" t="s">
        <v>46</v>
      </c>
      <c r="T32" s="1" t="s">
        <v>45</v>
      </c>
      <c r="U32" s="1" t="s">
        <v>66</v>
      </c>
      <c r="V32" s="1" t="s">
        <v>102</v>
      </c>
      <c r="W32" s="1" t="s">
        <v>184</v>
      </c>
      <c r="X32" s="1" t="s">
        <v>121</v>
      </c>
      <c r="AB32" s="1" t="s">
        <v>104</v>
      </c>
      <c r="AC32" s="1">
        <v>0</v>
      </c>
      <c r="AE32" s="1" t="s">
        <v>70</v>
      </c>
      <c r="AI32" s="1" t="s">
        <v>75</v>
      </c>
      <c r="AK32" s="1" t="s">
        <v>86</v>
      </c>
      <c r="AL32" s="1" t="s">
        <v>86</v>
      </c>
      <c r="AN32" s="1">
        <v>1</v>
      </c>
      <c r="AO32" s="1">
        <f t="shared" si="1"/>
        <v>1</v>
      </c>
      <c r="AQ32" s="1" t="s">
        <v>94</v>
      </c>
      <c r="AR32" s="6">
        <f>AR25/$AR$5</f>
        <v>2.1739130434782608E-2</v>
      </c>
      <c r="AS32" s="6">
        <f t="shared" ref="AS32:AW32" si="8">AS25/$AR$5</f>
        <v>0.36521739130434783</v>
      </c>
      <c r="AT32" s="6">
        <f t="shared" si="8"/>
        <v>9.1304347826086957E-2</v>
      </c>
      <c r="AU32" s="6">
        <f t="shared" si="8"/>
        <v>0.22173913043478261</v>
      </c>
      <c r="AV32" s="6">
        <f t="shared" si="8"/>
        <v>0</v>
      </c>
      <c r="AW32" s="6">
        <f t="shared" si="8"/>
        <v>0.3</v>
      </c>
    </row>
    <row r="33" spans="1:50" x14ac:dyDescent="0.4">
      <c r="A33" s="1">
        <v>1</v>
      </c>
      <c r="B33" s="1">
        <v>1</v>
      </c>
      <c r="C33" s="1" t="s">
        <v>41</v>
      </c>
      <c r="D33" s="2">
        <v>38797</v>
      </c>
      <c r="E33" s="1">
        <v>80</v>
      </c>
      <c r="F33" s="1">
        <v>6</v>
      </c>
      <c r="G33" s="3">
        <v>0.69016203703703705</v>
      </c>
      <c r="H33" s="3">
        <v>0.69245370370370374</v>
      </c>
      <c r="I33" s="3">
        <v>2.2916666666666918E-3</v>
      </c>
      <c r="J33" s="3">
        <v>2.2916666666666918E-3</v>
      </c>
      <c r="K33" s="5">
        <f t="shared" si="0"/>
        <v>198</v>
      </c>
      <c r="L33" s="3" t="s">
        <v>120</v>
      </c>
      <c r="N33" s="1" t="s">
        <v>42</v>
      </c>
      <c r="O33" s="1" t="s">
        <v>43</v>
      </c>
      <c r="P33" s="1" t="s">
        <v>172</v>
      </c>
      <c r="Q33" s="1" t="s">
        <v>76</v>
      </c>
      <c r="R33" s="1" t="s">
        <v>76</v>
      </c>
      <c r="S33" s="1" t="s">
        <v>46</v>
      </c>
      <c r="T33" s="1" t="s">
        <v>45</v>
      </c>
      <c r="U33" s="1" t="s">
        <v>66</v>
      </c>
      <c r="V33" s="1" t="s">
        <v>102</v>
      </c>
      <c r="W33" s="1" t="s">
        <v>103</v>
      </c>
      <c r="X33" s="1" t="s">
        <v>96</v>
      </c>
      <c r="Y33" s="1">
        <v>42</v>
      </c>
      <c r="AB33" s="1" t="s">
        <v>185</v>
      </c>
      <c r="AC33" s="1">
        <v>0</v>
      </c>
      <c r="AD33" s="1" t="s">
        <v>56</v>
      </c>
      <c r="AE33" s="1" t="s">
        <v>70</v>
      </c>
      <c r="AG33" s="1" t="s">
        <v>186</v>
      </c>
      <c r="AH33" s="1" t="s">
        <v>157</v>
      </c>
      <c r="AI33" s="1" t="s">
        <v>71</v>
      </c>
      <c r="AK33" s="1" t="s">
        <v>86</v>
      </c>
      <c r="AL33" s="1" t="s">
        <v>133</v>
      </c>
      <c r="AM33" s="1">
        <v>3</v>
      </c>
      <c r="AN33" s="1">
        <v>0</v>
      </c>
      <c r="AO33" s="1">
        <f t="shared" si="1"/>
        <v>3</v>
      </c>
      <c r="AQ33" s="1" t="s">
        <v>100</v>
      </c>
      <c r="AR33" s="6">
        <f>AR26/$AR$6</f>
        <v>2.4793388429752067E-2</v>
      </c>
      <c r="AS33" s="6">
        <f>AS26/$AR$6</f>
        <v>0.4049586776859504</v>
      </c>
      <c r="AT33" s="6">
        <f t="shared" ref="AT33:AW33" si="9">AT26/$AR$6</f>
        <v>5.5096418732782371E-2</v>
      </c>
      <c r="AU33" s="6">
        <f t="shared" si="9"/>
        <v>0.16804407713498623</v>
      </c>
      <c r="AV33" s="6">
        <f t="shared" si="9"/>
        <v>0</v>
      </c>
      <c r="AW33" s="6">
        <f t="shared" si="9"/>
        <v>0.34710743801652894</v>
      </c>
    </row>
    <row r="34" spans="1:50" x14ac:dyDescent="0.4">
      <c r="A34" s="1">
        <v>1</v>
      </c>
      <c r="B34" s="1">
        <v>1</v>
      </c>
      <c r="C34" s="1" t="s">
        <v>41</v>
      </c>
      <c r="D34" s="2">
        <v>38803</v>
      </c>
      <c r="E34" s="1">
        <v>86</v>
      </c>
      <c r="F34" s="1">
        <v>1</v>
      </c>
      <c r="G34" s="3">
        <v>0.26693287037037033</v>
      </c>
      <c r="H34" s="3">
        <v>0.28649305555555554</v>
      </c>
      <c r="I34" s="3">
        <v>1.9560185185185208E-2</v>
      </c>
      <c r="J34" s="3">
        <v>1.8831018518518594E-2</v>
      </c>
      <c r="K34" s="5">
        <f t="shared" si="0"/>
        <v>1627</v>
      </c>
      <c r="L34" s="3">
        <v>0.15878472222222229</v>
      </c>
      <c r="N34" s="1" t="s">
        <v>75</v>
      </c>
      <c r="O34" s="1" t="s">
        <v>43</v>
      </c>
      <c r="P34" s="1" t="s">
        <v>172</v>
      </c>
      <c r="Q34" s="1" t="s">
        <v>76</v>
      </c>
      <c r="R34" s="1" t="s">
        <v>76</v>
      </c>
      <c r="S34" s="1" t="s">
        <v>46</v>
      </c>
      <c r="T34" s="1" t="s">
        <v>47</v>
      </c>
      <c r="U34" s="1" t="s">
        <v>66</v>
      </c>
      <c r="V34" s="1" t="s">
        <v>49</v>
      </c>
      <c r="W34" s="1" t="s">
        <v>50</v>
      </c>
      <c r="X34" s="1" t="s">
        <v>158</v>
      </c>
      <c r="Y34" s="1" t="s">
        <v>159</v>
      </c>
      <c r="Z34" s="1" t="s">
        <v>160</v>
      </c>
      <c r="AA34" s="1" t="s">
        <v>161</v>
      </c>
      <c r="AB34" s="1" t="s">
        <v>162</v>
      </c>
      <c r="AC34" s="1">
        <v>0</v>
      </c>
      <c r="AD34" s="1" t="s">
        <v>56</v>
      </c>
      <c r="AE34" s="1" t="s">
        <v>83</v>
      </c>
      <c r="AF34" s="1" t="s">
        <v>113</v>
      </c>
      <c r="AG34" s="1" t="s">
        <v>173</v>
      </c>
      <c r="AH34" s="1" t="s">
        <v>165</v>
      </c>
      <c r="AI34" s="1" t="s">
        <v>75</v>
      </c>
      <c r="AK34" s="1" t="s">
        <v>61</v>
      </c>
      <c r="AL34" s="1" t="s">
        <v>133</v>
      </c>
      <c r="AM34" s="1">
        <v>6</v>
      </c>
      <c r="AN34" s="1">
        <v>0</v>
      </c>
      <c r="AO34" s="1">
        <f t="shared" si="1"/>
        <v>6</v>
      </c>
      <c r="AQ34" s="1" t="s">
        <v>107</v>
      </c>
      <c r="AR34" s="6">
        <f>AR27/$AR$7</f>
        <v>2.9411764705882353E-2</v>
      </c>
      <c r="AS34" s="6">
        <f t="shared" ref="AS34:AW34" si="10">AS27/$AR$7</f>
        <v>0.4485294117647059</v>
      </c>
      <c r="AT34" s="6">
        <f t="shared" si="10"/>
        <v>0.14705882352941177</v>
      </c>
      <c r="AU34" s="6">
        <f t="shared" si="10"/>
        <v>0.14705882352941177</v>
      </c>
      <c r="AV34" s="6">
        <f t="shared" si="10"/>
        <v>0</v>
      </c>
      <c r="AW34" s="6">
        <f t="shared" si="10"/>
        <v>0.22794117647058823</v>
      </c>
    </row>
    <row r="35" spans="1:50" x14ac:dyDescent="0.4">
      <c r="A35" s="1">
        <v>1</v>
      </c>
      <c r="B35" s="1">
        <v>1</v>
      </c>
      <c r="C35" s="1" t="s">
        <v>41</v>
      </c>
      <c r="D35" s="2">
        <v>38803</v>
      </c>
      <c r="E35" s="1">
        <v>86</v>
      </c>
      <c r="F35" s="1">
        <v>2</v>
      </c>
      <c r="G35" s="3">
        <v>0.44527777777777783</v>
      </c>
      <c r="H35" s="3">
        <v>0.45563657407407404</v>
      </c>
      <c r="I35" s="3">
        <v>1.0358796296296213E-2</v>
      </c>
      <c r="J35" s="3">
        <v>1.0358796296296213E-2</v>
      </c>
      <c r="K35" s="5">
        <f t="shared" si="0"/>
        <v>895</v>
      </c>
      <c r="L35" s="3">
        <v>0.19019675925925933</v>
      </c>
      <c r="N35" s="1" t="s">
        <v>42</v>
      </c>
      <c r="O35" s="1" t="s">
        <v>43</v>
      </c>
      <c r="P35" s="1" t="s">
        <v>172</v>
      </c>
      <c r="Q35" s="1" t="s">
        <v>76</v>
      </c>
      <c r="R35" s="1" t="s">
        <v>76</v>
      </c>
      <c r="S35" s="1" t="s">
        <v>46</v>
      </c>
      <c r="T35" s="1" t="s">
        <v>47</v>
      </c>
      <c r="U35" s="1" t="s">
        <v>156</v>
      </c>
      <c r="V35" s="1" t="s">
        <v>102</v>
      </c>
      <c r="W35" s="1" t="s">
        <v>103</v>
      </c>
      <c r="X35" s="1" t="s">
        <v>96</v>
      </c>
      <c r="AB35" s="1" t="s">
        <v>104</v>
      </c>
      <c r="AC35" s="1">
        <v>0</v>
      </c>
      <c r="AD35" s="1" t="s">
        <v>105</v>
      </c>
      <c r="AE35" s="1" t="s">
        <v>70</v>
      </c>
      <c r="AG35" s="1" t="s">
        <v>146</v>
      </c>
      <c r="AH35" s="1" t="s">
        <v>157</v>
      </c>
      <c r="AI35" s="1" t="s">
        <v>75</v>
      </c>
      <c r="AK35" s="1" t="s">
        <v>86</v>
      </c>
      <c r="AL35" s="1" t="s">
        <v>187</v>
      </c>
      <c r="AM35" s="1">
        <v>5</v>
      </c>
      <c r="AN35" s="1">
        <v>0</v>
      </c>
      <c r="AO35" s="1">
        <f t="shared" si="1"/>
        <v>5</v>
      </c>
      <c r="AQ35" s="1" t="s">
        <v>118</v>
      </c>
      <c r="AR35" s="6">
        <f>AR28/$AR$8</f>
        <v>7.874015748031496E-3</v>
      </c>
      <c r="AS35" s="6">
        <f t="shared" ref="AS35:AW35" si="11">AS28/$AR$8</f>
        <v>0.23425196850393701</v>
      </c>
      <c r="AT35" s="6">
        <f t="shared" si="11"/>
        <v>8.8582677165354326E-2</v>
      </c>
      <c r="AU35" s="6">
        <f t="shared" si="11"/>
        <v>0.29330708661417321</v>
      </c>
      <c r="AV35" s="6">
        <f t="shared" si="11"/>
        <v>0</v>
      </c>
      <c r="AW35" s="6">
        <f t="shared" si="11"/>
        <v>0.37598425196850394</v>
      </c>
    </row>
    <row r="36" spans="1:50" x14ac:dyDescent="0.4">
      <c r="A36" s="1">
        <v>1</v>
      </c>
      <c r="B36" s="1">
        <v>1</v>
      </c>
      <c r="C36" s="1" t="s">
        <v>41</v>
      </c>
      <c r="D36" s="2">
        <v>38803</v>
      </c>
      <c r="E36" s="1">
        <v>86</v>
      </c>
      <c r="F36" s="1">
        <v>3</v>
      </c>
      <c r="G36" s="3">
        <v>0.64583333333333337</v>
      </c>
      <c r="H36" s="3">
        <v>0.66400462962962969</v>
      </c>
      <c r="I36" s="3">
        <v>1.8171296296296324E-2</v>
      </c>
      <c r="J36" s="3">
        <v>1.8171296296296324E-2</v>
      </c>
      <c r="K36" s="5">
        <f t="shared" si="0"/>
        <v>1570</v>
      </c>
      <c r="L36" s="3">
        <v>2.0023148148147207E-3</v>
      </c>
      <c r="N36" s="1" t="s">
        <v>42</v>
      </c>
      <c r="O36" s="1" t="s">
        <v>43</v>
      </c>
      <c r="P36" s="1" t="s">
        <v>172</v>
      </c>
      <c r="Q36" s="1" t="s">
        <v>76</v>
      </c>
      <c r="R36" s="1" t="s">
        <v>76</v>
      </c>
      <c r="S36" s="1" t="s">
        <v>46</v>
      </c>
      <c r="T36" s="1" t="s">
        <v>124</v>
      </c>
      <c r="U36" s="1" t="s">
        <v>66</v>
      </c>
      <c r="V36" s="1" t="s">
        <v>49</v>
      </c>
      <c r="W36" s="1" t="s">
        <v>50</v>
      </c>
      <c r="X36" s="1" t="s">
        <v>158</v>
      </c>
      <c r="Y36" s="1" t="s">
        <v>159</v>
      </c>
      <c r="Z36" s="1" t="s">
        <v>160</v>
      </c>
      <c r="AA36" s="1" t="s">
        <v>161</v>
      </c>
      <c r="AB36" s="1" t="s">
        <v>162</v>
      </c>
      <c r="AC36" s="1">
        <v>0</v>
      </c>
      <c r="AD36" s="1" t="s">
        <v>56</v>
      </c>
      <c r="AE36" s="1" t="s">
        <v>83</v>
      </c>
      <c r="AG36" s="1" t="s">
        <v>164</v>
      </c>
      <c r="AH36" s="1" t="s">
        <v>165</v>
      </c>
      <c r="AI36" s="1" t="s">
        <v>71</v>
      </c>
      <c r="AK36" s="1" t="s">
        <v>61</v>
      </c>
      <c r="AL36" s="1" t="s">
        <v>72</v>
      </c>
      <c r="AM36" s="1">
        <v>7</v>
      </c>
      <c r="AN36" s="1">
        <v>0</v>
      </c>
      <c r="AO36" s="1">
        <f t="shared" si="1"/>
        <v>7</v>
      </c>
      <c r="AQ36" s="1" t="s">
        <v>188</v>
      </c>
      <c r="AR36" s="6">
        <f>AVERAGE(AR31:AR35)</f>
        <v>2.0908737583896962E-2</v>
      </c>
      <c r="AS36" s="6">
        <f t="shared" ref="AS36:AW36" si="12">AVERAGE(AS31:AS35)</f>
        <v>0.38489200798650325</v>
      </c>
      <c r="AT36" s="6">
        <f t="shared" si="12"/>
        <v>8.5734878321193406E-2</v>
      </c>
      <c r="AU36" s="6">
        <f t="shared" si="12"/>
        <v>0.21162567846495056</v>
      </c>
      <c r="AV36" s="6">
        <f t="shared" si="12"/>
        <v>0</v>
      </c>
      <c r="AW36" s="6">
        <f t="shared" si="12"/>
        <v>0.29683869764345583</v>
      </c>
    </row>
    <row r="37" spans="1:50" x14ac:dyDescent="0.4">
      <c r="A37" s="1">
        <v>1</v>
      </c>
      <c r="B37" s="1">
        <v>1</v>
      </c>
      <c r="C37" s="1" t="s">
        <v>41</v>
      </c>
      <c r="D37" s="2">
        <v>38803</v>
      </c>
      <c r="E37" s="1">
        <v>86</v>
      </c>
      <c r="F37" s="1">
        <v>4</v>
      </c>
      <c r="G37" s="3">
        <v>0.66600694444444442</v>
      </c>
      <c r="H37" s="3">
        <v>0.67208333333333325</v>
      </c>
      <c r="I37" s="3">
        <v>6.0763888888888395E-3</v>
      </c>
      <c r="J37" s="3">
        <v>5.7870370370369795E-3</v>
      </c>
      <c r="K37" s="5">
        <f t="shared" si="0"/>
        <v>500</v>
      </c>
      <c r="L37" s="3">
        <v>2.6504629629630072E-3</v>
      </c>
      <c r="N37" s="1" t="s">
        <v>42</v>
      </c>
      <c r="O37" s="1" t="s">
        <v>43</v>
      </c>
      <c r="P37" s="1" t="s">
        <v>172</v>
      </c>
      <c r="Q37" s="1" t="s">
        <v>45</v>
      </c>
      <c r="R37" s="1" t="s">
        <v>45</v>
      </c>
      <c r="S37" s="1" t="s">
        <v>46</v>
      </c>
      <c r="T37" s="1" t="s">
        <v>47</v>
      </c>
      <c r="U37" s="1" t="s">
        <v>156</v>
      </c>
      <c r="V37" s="1" t="s">
        <v>49</v>
      </c>
      <c r="W37" s="1" t="s">
        <v>50</v>
      </c>
      <c r="X37" s="1" t="s">
        <v>158</v>
      </c>
      <c r="Y37" s="1" t="s">
        <v>159</v>
      </c>
      <c r="Z37" s="1" t="s">
        <v>160</v>
      </c>
      <c r="AA37" s="1" t="s">
        <v>161</v>
      </c>
      <c r="AB37" s="1" t="s">
        <v>162</v>
      </c>
      <c r="AC37" s="1">
        <v>0</v>
      </c>
      <c r="AD37" s="1" t="s">
        <v>56</v>
      </c>
      <c r="AE37" s="1" t="s">
        <v>83</v>
      </c>
      <c r="AF37" s="1" t="s">
        <v>113</v>
      </c>
      <c r="AG37" s="1" t="s">
        <v>173</v>
      </c>
      <c r="AH37" s="1" t="s">
        <v>165</v>
      </c>
      <c r="AI37" s="1" t="s">
        <v>75</v>
      </c>
      <c r="AK37" s="1" t="s">
        <v>61</v>
      </c>
      <c r="AL37" s="1" t="s">
        <v>72</v>
      </c>
      <c r="AM37" s="1">
        <v>6</v>
      </c>
      <c r="AN37" s="1">
        <v>0</v>
      </c>
      <c r="AO37" s="1">
        <f t="shared" si="1"/>
        <v>6</v>
      </c>
      <c r="AQ37" s="1" t="s">
        <v>189</v>
      </c>
      <c r="AR37" s="6">
        <f>STDEV(AR31:AR35)</f>
        <v>8.0314868627503755E-3</v>
      </c>
      <c r="AS37" s="6">
        <f t="shared" ref="AS37:AW37" si="13">STDEV(AS31:AS35)</f>
        <v>9.3585917026481197E-2</v>
      </c>
      <c r="AT37" s="6">
        <f t="shared" si="13"/>
        <v>3.9583758596877031E-2</v>
      </c>
      <c r="AU37" s="6">
        <f t="shared" si="13"/>
        <v>5.7249037515179971E-2</v>
      </c>
      <c r="AV37" s="6">
        <f t="shared" si="13"/>
        <v>0</v>
      </c>
      <c r="AW37" s="6">
        <f t="shared" si="13"/>
        <v>6.6337630030921746E-2</v>
      </c>
    </row>
    <row r="38" spans="1:50" x14ac:dyDescent="0.4">
      <c r="A38" s="1">
        <v>1</v>
      </c>
      <c r="B38" s="1">
        <v>1</v>
      </c>
      <c r="C38" s="1" t="s">
        <v>41</v>
      </c>
      <c r="D38" s="2">
        <v>38803</v>
      </c>
      <c r="E38" s="1">
        <v>86</v>
      </c>
      <c r="F38" s="1">
        <v>4.5</v>
      </c>
      <c r="G38" s="3">
        <v>0.67473379629629626</v>
      </c>
      <c r="H38" s="3">
        <v>0.67518518518518522</v>
      </c>
      <c r="I38" s="3">
        <v>4.5138888888895945E-4</v>
      </c>
      <c r="J38" s="3">
        <v>4.5138888888895945E-4</v>
      </c>
      <c r="K38" s="5">
        <f t="shared" si="0"/>
        <v>39</v>
      </c>
      <c r="L38" s="3" t="s">
        <v>120</v>
      </c>
      <c r="N38" s="1" t="s">
        <v>42</v>
      </c>
      <c r="O38" s="1" t="s">
        <v>43</v>
      </c>
      <c r="P38" s="1" t="s">
        <v>172</v>
      </c>
      <c r="Q38" s="1" t="s">
        <v>76</v>
      </c>
      <c r="R38" s="1" t="s">
        <v>76</v>
      </c>
      <c r="S38" s="1" t="s">
        <v>46</v>
      </c>
      <c r="T38" s="1" t="s">
        <v>45</v>
      </c>
      <c r="U38" s="1" t="s">
        <v>156</v>
      </c>
      <c r="V38" s="1" t="s">
        <v>102</v>
      </c>
      <c r="W38" s="1" t="s">
        <v>103</v>
      </c>
      <c r="X38" s="1" t="s">
        <v>121</v>
      </c>
      <c r="AB38" s="1" t="s">
        <v>104</v>
      </c>
      <c r="AC38" s="1">
        <v>0</v>
      </c>
      <c r="AE38" s="1" t="s">
        <v>70</v>
      </c>
      <c r="AI38" s="1" t="s">
        <v>75</v>
      </c>
      <c r="AK38" s="1" t="s">
        <v>61</v>
      </c>
      <c r="AL38" s="1" t="s">
        <v>72</v>
      </c>
      <c r="AN38" s="1">
        <v>1</v>
      </c>
      <c r="AO38" s="1">
        <f t="shared" si="1"/>
        <v>1</v>
      </c>
      <c r="AQ38" s="1" t="s">
        <v>190</v>
      </c>
    </row>
    <row r="39" spans="1:50" x14ac:dyDescent="0.4">
      <c r="A39" s="1">
        <v>1</v>
      </c>
      <c r="B39" s="1">
        <v>1</v>
      </c>
      <c r="C39" s="1" t="s">
        <v>41</v>
      </c>
      <c r="D39" s="2">
        <v>38806</v>
      </c>
      <c r="E39" s="1">
        <v>89</v>
      </c>
      <c r="F39" s="1">
        <v>0.5</v>
      </c>
      <c r="G39" s="3">
        <v>0.28644675925925928</v>
      </c>
      <c r="H39" s="3">
        <v>0.28663194444444445</v>
      </c>
      <c r="I39" s="3">
        <v>1.8518518518517713E-4</v>
      </c>
      <c r="J39" s="3">
        <v>1.8518518518517713E-4</v>
      </c>
      <c r="K39" s="5">
        <f t="shared" si="0"/>
        <v>16</v>
      </c>
      <c r="L39" s="3">
        <v>4.8263888888888662E-3</v>
      </c>
      <c r="N39" s="1" t="s">
        <v>42</v>
      </c>
      <c r="O39" s="1" t="s">
        <v>43</v>
      </c>
      <c r="P39" s="1" t="s">
        <v>172</v>
      </c>
      <c r="Q39" s="1" t="s">
        <v>76</v>
      </c>
      <c r="R39" s="1" t="s">
        <v>191</v>
      </c>
      <c r="S39" s="1" t="s">
        <v>46</v>
      </c>
      <c r="T39" s="1" t="s">
        <v>45</v>
      </c>
      <c r="U39" s="1" t="s">
        <v>66</v>
      </c>
      <c r="AB39" s="1" t="s">
        <v>93</v>
      </c>
      <c r="AC39" s="1">
        <v>1</v>
      </c>
      <c r="AG39" s="1" t="s">
        <v>192</v>
      </c>
      <c r="AI39" s="1" t="s">
        <v>71</v>
      </c>
      <c r="AK39" s="1" t="s">
        <v>86</v>
      </c>
      <c r="AL39" s="1" t="s">
        <v>133</v>
      </c>
      <c r="AM39" s="1">
        <v>1</v>
      </c>
      <c r="AN39" s="1">
        <v>0</v>
      </c>
      <c r="AO39" s="1">
        <f t="shared" si="1"/>
        <v>1</v>
      </c>
      <c r="AQ39" s="1" t="s">
        <v>73</v>
      </c>
      <c r="AR39" s="5">
        <f>SUMIF($V$2:$V$1431, "Flower", $K$2:$K$1431)</f>
        <v>7626</v>
      </c>
      <c r="AS39" s="5">
        <f>SUMIF($V$2:$V$1431, "Fruit", $K$2:$K$1431)</f>
        <v>281961</v>
      </c>
      <c r="AT39" s="5">
        <f>SUMIF($V$2:$V$1431, "Insect", $K$2:$K$1431)</f>
        <v>10408</v>
      </c>
      <c r="AU39" s="5">
        <f>SUMIF($V$2:$V$1431, "Leaf/Stem", $K$2:$K$1431)</f>
        <v>40816</v>
      </c>
      <c r="AV39" s="5">
        <f>SUMIF($V$2:$V$1431, "Other", $K$2:$K$1431)</f>
        <v>0</v>
      </c>
      <c r="AW39" s="5">
        <f>SUMIF($V$2:$V$1431, "", $K$2:$K$1431)</f>
        <v>9144</v>
      </c>
    </row>
    <row r="40" spans="1:50" x14ac:dyDescent="0.4">
      <c r="A40" s="1">
        <v>1</v>
      </c>
      <c r="B40" s="1">
        <v>1</v>
      </c>
      <c r="C40" s="1" t="s">
        <v>41</v>
      </c>
      <c r="D40" s="2">
        <v>38806</v>
      </c>
      <c r="E40" s="1">
        <v>89</v>
      </c>
      <c r="F40" s="1">
        <v>1</v>
      </c>
      <c r="G40" s="3">
        <v>0.29145833333333332</v>
      </c>
      <c r="H40" s="3">
        <v>0.29593750000000002</v>
      </c>
      <c r="I40" s="3">
        <v>4.4791666666667007E-3</v>
      </c>
      <c r="J40" s="3">
        <v>4.4791666666667007E-3</v>
      </c>
      <c r="K40" s="5">
        <f t="shared" si="0"/>
        <v>387</v>
      </c>
      <c r="L40" s="3" t="s">
        <v>120</v>
      </c>
      <c r="N40" s="1" t="s">
        <v>42</v>
      </c>
      <c r="O40" s="1" t="s">
        <v>43</v>
      </c>
      <c r="P40" s="1" t="s">
        <v>172</v>
      </c>
      <c r="Q40" s="1" t="s">
        <v>45</v>
      </c>
      <c r="R40" s="1" t="s">
        <v>45</v>
      </c>
      <c r="S40" s="1" t="s">
        <v>46</v>
      </c>
      <c r="T40" s="1" t="s">
        <v>124</v>
      </c>
      <c r="U40" s="1" t="s">
        <v>66</v>
      </c>
      <c r="V40" s="1" t="s">
        <v>49</v>
      </c>
      <c r="W40" s="1" t="s">
        <v>140</v>
      </c>
      <c r="X40" s="1" t="s">
        <v>177</v>
      </c>
      <c r="Y40" s="1" t="s">
        <v>79</v>
      </c>
      <c r="Z40" s="1" t="s">
        <v>178</v>
      </c>
      <c r="AA40" s="1" t="s">
        <v>179</v>
      </c>
      <c r="AB40" s="1" t="s">
        <v>180</v>
      </c>
      <c r="AC40" s="1">
        <v>0</v>
      </c>
      <c r="AD40" s="1" t="s">
        <v>56</v>
      </c>
      <c r="AE40" s="1" t="s">
        <v>181</v>
      </c>
      <c r="AF40" s="1" t="s">
        <v>113</v>
      </c>
      <c r="AG40" s="1" t="s">
        <v>182</v>
      </c>
      <c r="AH40" s="1" t="s">
        <v>115</v>
      </c>
      <c r="AI40" s="1" t="s">
        <v>71</v>
      </c>
      <c r="AK40" s="1" t="s">
        <v>86</v>
      </c>
      <c r="AL40" s="1" t="s">
        <v>133</v>
      </c>
      <c r="AM40" s="1">
        <v>2</v>
      </c>
      <c r="AN40" s="1">
        <v>0</v>
      </c>
      <c r="AO40" s="1">
        <f t="shared" si="1"/>
        <v>2</v>
      </c>
      <c r="AQ40" s="1" t="s">
        <v>88</v>
      </c>
      <c r="AR40" s="1">
        <f>SUMIFS($K$2:$K$1431, $V$2:$V$1431, "Flower", $B$2:$B$1431, "1")</f>
        <v>1461</v>
      </c>
      <c r="AS40" s="1">
        <f>SUMIFS($K$2:$K$1431, $V$2:$V$1431, "Fruit", $B$2:$B$1431, "1")</f>
        <v>59595</v>
      </c>
      <c r="AT40" s="1">
        <f>SUMIFS($K$2:$K$1431, $V$2:$V$1431, "Insect", $B$2:$B$1431, "1")</f>
        <v>760</v>
      </c>
      <c r="AU40" s="1">
        <f>SUMIFS($K$2:$K$1431, $V$2:$V$1431, "Leaf/Stem", $B$2:$B$1431, "1")</f>
        <v>9809</v>
      </c>
      <c r="AV40" s="1">
        <f>SUMIFS($K$2:$K$1431, $V$2:$V$1431, "Other", $B$2:$B$1431, "1")</f>
        <v>0</v>
      </c>
      <c r="AW40" s="1">
        <f>SUMIFS($K$2:$K$1431, $V$2:$V$1431, "", $B$2:$B$1431, "1")</f>
        <v>1198</v>
      </c>
    </row>
    <row r="41" spans="1:50" x14ac:dyDescent="0.4">
      <c r="A41" s="1">
        <v>1</v>
      </c>
      <c r="B41" s="1">
        <v>1</v>
      </c>
      <c r="C41" s="1" t="s">
        <v>41</v>
      </c>
      <c r="D41" s="2">
        <v>38811</v>
      </c>
      <c r="E41" s="1">
        <v>94</v>
      </c>
      <c r="F41" s="1">
        <v>0.5</v>
      </c>
      <c r="G41" s="3">
        <v>0.32775462962962965</v>
      </c>
      <c r="H41" s="3">
        <v>0.32781250000000001</v>
      </c>
      <c r="I41" s="3">
        <v>5.7870370370360913E-5</v>
      </c>
      <c r="J41" s="3">
        <v>5.7870370370360913E-5</v>
      </c>
      <c r="K41" s="5">
        <f t="shared" si="0"/>
        <v>5</v>
      </c>
      <c r="L41" s="3">
        <v>8.8078703703703409E-3</v>
      </c>
      <c r="N41" s="1" t="s">
        <v>75</v>
      </c>
      <c r="O41" s="1" t="s">
        <v>43</v>
      </c>
      <c r="P41" s="1" t="s">
        <v>172</v>
      </c>
      <c r="Q41" s="1" t="s">
        <v>76</v>
      </c>
      <c r="R41" s="1" t="s">
        <v>76</v>
      </c>
      <c r="S41" s="1" t="s">
        <v>46</v>
      </c>
      <c r="T41" s="1" t="s">
        <v>47</v>
      </c>
      <c r="U41" s="1" t="s">
        <v>66</v>
      </c>
      <c r="AB41" s="1" t="s">
        <v>93</v>
      </c>
      <c r="AC41" s="1">
        <v>1</v>
      </c>
      <c r="AG41" s="1" t="s">
        <v>193</v>
      </c>
      <c r="AI41" s="1" t="s">
        <v>75</v>
      </c>
      <c r="AK41" s="1" t="s">
        <v>86</v>
      </c>
      <c r="AL41" s="1" t="s">
        <v>133</v>
      </c>
      <c r="AM41" s="1">
        <v>1</v>
      </c>
      <c r="AN41" s="1">
        <v>0</v>
      </c>
      <c r="AO41" s="1">
        <f t="shared" si="1"/>
        <v>1</v>
      </c>
      <c r="AQ41" s="1" t="s">
        <v>94</v>
      </c>
      <c r="AR41" s="1">
        <f>SUMIFS($K$2:$K$1431, $V$2:$V$1431, "Flower", $B$2:$B$1431, "2")</f>
        <v>2406</v>
      </c>
      <c r="AS41" s="1">
        <f>SUMIFS($K$2:$K$1431, $V$2:$V$1431, "Fruit", $B$2:$B$1431, "2")</f>
        <v>67505</v>
      </c>
      <c r="AT41" s="1">
        <f>SUMIFS($K$2:$K$1431, $V$2:$V$1431, "Insect", $B$2:$B$1431, "2")</f>
        <v>3258</v>
      </c>
      <c r="AU41" s="1">
        <f>SUMIFS($K$2:$K$1431, $V$2:$V$1431, "Leaf/Stem", $B$2:$B$1431, "2")</f>
        <v>5845</v>
      </c>
      <c r="AV41" s="1">
        <f>SUMIFS($K$2:$K$1431, $V$2:$V$1431, "Other", $B$2:$B$1431, "2")</f>
        <v>0</v>
      </c>
      <c r="AW41" s="1">
        <f>SUMIFS($K$2:$K$1431, $V$2:$V$1431, "", $B$2:$B$1431, "2")</f>
        <v>1966</v>
      </c>
    </row>
    <row r="42" spans="1:50" x14ac:dyDescent="0.4">
      <c r="A42" s="1">
        <v>1</v>
      </c>
      <c r="B42" s="1">
        <v>1</v>
      </c>
      <c r="C42" s="1" t="s">
        <v>41</v>
      </c>
      <c r="D42" s="2">
        <v>38811</v>
      </c>
      <c r="E42" s="1">
        <v>94</v>
      </c>
      <c r="F42" s="1">
        <v>0.75</v>
      </c>
      <c r="G42" s="3">
        <v>0.33662037037037035</v>
      </c>
      <c r="H42" s="3">
        <v>0.33665509259259258</v>
      </c>
      <c r="I42" s="3">
        <v>3.472222222222765E-5</v>
      </c>
      <c r="J42" s="3">
        <v>3.472222222222765E-5</v>
      </c>
      <c r="K42" s="5">
        <f t="shared" si="0"/>
        <v>3</v>
      </c>
      <c r="L42" s="3">
        <v>8.5995370370370861E-3</v>
      </c>
      <c r="N42" s="1" t="s">
        <v>42</v>
      </c>
      <c r="O42" s="1" t="s">
        <v>43</v>
      </c>
      <c r="P42" s="1" t="s">
        <v>172</v>
      </c>
      <c r="Q42" s="1" t="s">
        <v>45</v>
      </c>
      <c r="R42" s="1" t="s">
        <v>45</v>
      </c>
      <c r="S42" s="1" t="s">
        <v>46</v>
      </c>
      <c r="T42" s="1" t="s">
        <v>47</v>
      </c>
      <c r="U42" s="1" t="s">
        <v>156</v>
      </c>
      <c r="AB42" s="1" t="s">
        <v>93</v>
      </c>
      <c r="AC42" s="1">
        <v>1</v>
      </c>
      <c r="AI42" s="1" t="s">
        <v>75</v>
      </c>
      <c r="AK42" s="1" t="s">
        <v>86</v>
      </c>
      <c r="AL42" s="1" t="s">
        <v>87</v>
      </c>
      <c r="AN42" s="1">
        <v>1</v>
      </c>
      <c r="AO42" s="1">
        <f t="shared" si="1"/>
        <v>1</v>
      </c>
      <c r="AQ42" s="1" t="s">
        <v>100</v>
      </c>
      <c r="AR42" s="1">
        <f>SUMIFS($K$2:$K$1431, $V$2:$V$1431, "Flower", $B$2:$B$1431, "3")</f>
        <v>1911</v>
      </c>
      <c r="AS42" s="1">
        <f>SUMIFS($K$2:$K$1431, $V$2:$V$1431, "Fruit", $B$2:$B$1431, "3")</f>
        <v>68123</v>
      </c>
      <c r="AT42" s="1">
        <f>SUMIFS($K$2:$K$1431, $V$2:$V$1431, "Insect", $B$2:$B$1431, "3")</f>
        <v>3412</v>
      </c>
      <c r="AU42" s="1">
        <f>SUMIFS($K$2:$K$1431, $V$2:$V$1431, "Leaf/Stem", $B$2:$B$1431, "3")</f>
        <v>7400</v>
      </c>
      <c r="AV42" s="1">
        <f>SUMIFS($K$2:$K$1431, $V$2:$V$1431, "Other", $B$2:$B$1431, "3")</f>
        <v>0</v>
      </c>
      <c r="AW42" s="1">
        <f>SUMIFS($K$2:$K$1431, $V$2:$V$1431, "", $B$2:$B$1431, "3")</f>
        <v>3375</v>
      </c>
    </row>
    <row r="43" spans="1:50" x14ac:dyDescent="0.4">
      <c r="A43" s="1">
        <v>1</v>
      </c>
      <c r="B43" s="1">
        <v>1</v>
      </c>
      <c r="C43" s="1" t="s">
        <v>41</v>
      </c>
      <c r="D43" s="2">
        <v>38811</v>
      </c>
      <c r="E43" s="1">
        <v>94</v>
      </c>
      <c r="F43" s="1">
        <v>1</v>
      </c>
      <c r="G43" s="3">
        <v>0.34525462962962966</v>
      </c>
      <c r="H43" s="3">
        <v>0.3923726851851852</v>
      </c>
      <c r="I43" s="3">
        <v>4.7118055555555538E-2</v>
      </c>
      <c r="J43" s="3">
        <v>2.6585648148148233E-2</v>
      </c>
      <c r="K43" s="5">
        <f t="shared" si="0"/>
        <v>2297</v>
      </c>
      <c r="L43" s="3">
        <v>5.9143518518518512E-3</v>
      </c>
      <c r="N43" s="1" t="s">
        <v>42</v>
      </c>
      <c r="O43" s="1" t="s">
        <v>43</v>
      </c>
      <c r="P43" s="1" t="s">
        <v>172</v>
      </c>
      <c r="Q43" s="1" t="s">
        <v>76</v>
      </c>
      <c r="R43" s="1" t="s">
        <v>76</v>
      </c>
      <c r="S43" s="1" t="s">
        <v>46</v>
      </c>
      <c r="T43" s="1" t="s">
        <v>47</v>
      </c>
      <c r="U43" s="1" t="s">
        <v>66</v>
      </c>
      <c r="V43" s="1" t="s">
        <v>49</v>
      </c>
      <c r="W43" s="1" t="s">
        <v>50</v>
      </c>
      <c r="X43" s="1" t="s">
        <v>158</v>
      </c>
      <c r="Y43" s="1" t="s">
        <v>159</v>
      </c>
      <c r="Z43" s="1" t="s">
        <v>160</v>
      </c>
      <c r="AA43" s="1" t="s">
        <v>161</v>
      </c>
      <c r="AB43" s="1" t="s">
        <v>162</v>
      </c>
      <c r="AC43" s="1">
        <v>0</v>
      </c>
      <c r="AD43" s="1" t="s">
        <v>56</v>
      </c>
      <c r="AE43" s="1" t="s">
        <v>83</v>
      </c>
      <c r="AF43" s="1" t="s">
        <v>153</v>
      </c>
      <c r="AG43" s="1" t="s">
        <v>173</v>
      </c>
      <c r="AH43" s="1" t="s">
        <v>165</v>
      </c>
      <c r="AI43" s="1" t="s">
        <v>71</v>
      </c>
      <c r="AK43" s="1" t="s">
        <v>61</v>
      </c>
      <c r="AL43" s="1" t="s">
        <v>72</v>
      </c>
      <c r="AM43" s="1">
        <v>6</v>
      </c>
      <c r="AN43" s="1">
        <v>0</v>
      </c>
      <c r="AO43" s="1">
        <f t="shared" si="1"/>
        <v>6</v>
      </c>
      <c r="AQ43" s="1" t="s">
        <v>107</v>
      </c>
      <c r="AR43" s="1">
        <f>SUMIFS($K$2:$K$1431, $V$2:$V$1431, "Flower", $B$2:$B$1431, "S")</f>
        <v>896</v>
      </c>
      <c r="AS43" s="1">
        <f>SUMIFS($K$2:$K$1431, $V$2:$V$1431, "Fruit", $B$2:$B$1431, "S")</f>
        <v>31744</v>
      </c>
      <c r="AT43" s="1">
        <f>SUMIFS($K$2:$K$1431, $V$2:$V$1431, "Insect", $B$2:$B$1431, "S")</f>
        <v>967</v>
      </c>
      <c r="AU43" s="1">
        <f>SUMIFS($K$2:$K$1431, $V$2:$V$1431, "Leaf/Stem", $B$2:$B$1431, "S")</f>
        <v>2405</v>
      </c>
      <c r="AV43" s="1">
        <f>SUMIFS($K$2:$K$1431, $V$2:$V$1431, "Other", $B$2:$B$1431, "S")</f>
        <v>0</v>
      </c>
      <c r="AW43" s="1">
        <f>SUMIFS($K$2:$K$1431, $V$2:$V$1431, "", $B$2:$B$1431, "S")</f>
        <v>587</v>
      </c>
    </row>
    <row r="44" spans="1:50" x14ac:dyDescent="0.4">
      <c r="A44" s="1">
        <v>1</v>
      </c>
      <c r="B44" s="1">
        <v>1</v>
      </c>
      <c r="C44" s="1" t="s">
        <v>41</v>
      </c>
      <c r="D44" s="2">
        <v>38811</v>
      </c>
      <c r="E44" s="1">
        <v>94</v>
      </c>
      <c r="F44" s="1">
        <v>2</v>
      </c>
      <c r="G44" s="3">
        <v>0.39828703703703705</v>
      </c>
      <c r="H44" s="3">
        <v>0.40585648148148151</v>
      </c>
      <c r="I44" s="3">
        <v>7.569444444444462E-3</v>
      </c>
      <c r="J44" s="3">
        <v>7.569444444444462E-3</v>
      </c>
      <c r="K44" s="5">
        <f t="shared" si="0"/>
        <v>654</v>
      </c>
      <c r="L44" s="3">
        <v>0.16370370370370363</v>
      </c>
      <c r="N44" s="1" t="s">
        <v>42</v>
      </c>
      <c r="O44" s="1" t="s">
        <v>43</v>
      </c>
      <c r="P44" s="1" t="s">
        <v>172</v>
      </c>
      <c r="Q44" s="1" t="s">
        <v>76</v>
      </c>
      <c r="R44" s="1" t="s">
        <v>76</v>
      </c>
      <c r="S44" s="1" t="s">
        <v>46</v>
      </c>
      <c r="T44" s="1" t="s">
        <v>45</v>
      </c>
      <c r="U44" s="1" t="s">
        <v>156</v>
      </c>
      <c r="V44" s="1" t="s">
        <v>49</v>
      </c>
      <c r="W44" s="1" t="s">
        <v>77</v>
      </c>
      <c r="X44" s="1" t="s">
        <v>194</v>
      </c>
      <c r="Y44" s="1" t="s">
        <v>79</v>
      </c>
      <c r="Z44" s="1" t="s">
        <v>195</v>
      </c>
      <c r="AA44" s="1" t="s">
        <v>196</v>
      </c>
      <c r="AB44" s="1" t="s">
        <v>197</v>
      </c>
      <c r="AC44" s="1">
        <v>0</v>
      </c>
      <c r="AD44" s="1" t="s">
        <v>56</v>
      </c>
      <c r="AE44" s="1" t="s">
        <v>83</v>
      </c>
      <c r="AF44" s="1" t="s">
        <v>198</v>
      </c>
      <c r="AG44" s="1" t="s">
        <v>199</v>
      </c>
      <c r="AH44" s="1" t="s">
        <v>115</v>
      </c>
      <c r="AI44" s="1" t="s">
        <v>75</v>
      </c>
      <c r="AK44" s="1" t="s">
        <v>86</v>
      </c>
      <c r="AL44" s="1" t="s">
        <v>86</v>
      </c>
      <c r="AM44" s="1">
        <v>2</v>
      </c>
      <c r="AN44" s="1">
        <v>0</v>
      </c>
      <c r="AO44" s="1">
        <f t="shared" si="1"/>
        <v>2</v>
      </c>
      <c r="AQ44" s="1" t="s">
        <v>118</v>
      </c>
      <c r="AR44" s="1">
        <f>SUMIFS($K$2:$K$1431, $V$2:$V$1431, "Flower", $B$2:$B$1431, "W")</f>
        <v>952</v>
      </c>
      <c r="AS44" s="1">
        <f>SUMIFS($K$2:$K$1431, $V$2:$V$1431, "Fruit", $B$2:$B$1431, "W")</f>
        <v>54994</v>
      </c>
      <c r="AT44" s="1">
        <f>SUMIFS($K$2:$K$1431, $V$2:$V$1431, "Insect", $B$2:$B$1431, "W")</f>
        <v>2011</v>
      </c>
      <c r="AU44" s="1">
        <f>SUMIFS($K$2:$K$1431, $V$2:$V$1431, "Leaf/Stem", $B$2:$B$1431, "W")</f>
        <v>15357</v>
      </c>
      <c r="AV44" s="1">
        <f>SUMIFS($K$2:$K$1431, $V$2:$V$1431, "Other", $B$2:$B$1431, "W")</f>
        <v>0</v>
      </c>
      <c r="AW44" s="1">
        <f>SUMIFS($K$2:$K$1431, $V$2:$V$1431, "", $B$2:$B$1431, "W")</f>
        <v>2018</v>
      </c>
    </row>
    <row r="45" spans="1:50" x14ac:dyDescent="0.4">
      <c r="A45" s="1">
        <v>1</v>
      </c>
      <c r="B45" s="1">
        <v>1</v>
      </c>
      <c r="C45" s="1" t="s">
        <v>41</v>
      </c>
      <c r="D45" s="2">
        <v>38811</v>
      </c>
      <c r="E45" s="1">
        <v>94</v>
      </c>
      <c r="F45" s="1">
        <v>3</v>
      </c>
      <c r="G45" s="3">
        <v>0.56956018518518514</v>
      </c>
      <c r="H45" s="3">
        <v>0.57230324074074079</v>
      </c>
      <c r="I45" s="3">
        <v>2.7430555555556513E-3</v>
      </c>
      <c r="J45" s="3">
        <v>2.7430555555556513E-3</v>
      </c>
      <c r="K45" s="5">
        <f t="shared" si="0"/>
        <v>237</v>
      </c>
      <c r="L45" s="3">
        <v>8.3935185185185168E-2</v>
      </c>
      <c r="N45" s="1" t="s">
        <v>42</v>
      </c>
      <c r="O45" s="1" t="s">
        <v>43</v>
      </c>
      <c r="P45" s="1" t="s">
        <v>172</v>
      </c>
      <c r="Q45" s="1" t="s">
        <v>76</v>
      </c>
      <c r="R45" s="1" t="s">
        <v>76</v>
      </c>
      <c r="S45" s="1" t="s">
        <v>46</v>
      </c>
      <c r="T45" s="1" t="s">
        <v>47</v>
      </c>
      <c r="U45" s="1" t="s">
        <v>66</v>
      </c>
      <c r="V45" s="1" t="s">
        <v>49</v>
      </c>
      <c r="W45" s="1" t="s">
        <v>200</v>
      </c>
      <c r="X45" s="1" t="s">
        <v>201</v>
      </c>
      <c r="Y45" s="1" t="s">
        <v>126</v>
      </c>
      <c r="Z45" s="1" t="s">
        <v>202</v>
      </c>
      <c r="AA45" s="1" t="s">
        <v>203</v>
      </c>
      <c r="AB45" s="1" t="s">
        <v>204</v>
      </c>
      <c r="AC45" s="1">
        <v>0</v>
      </c>
      <c r="AD45" s="1" t="s">
        <v>56</v>
      </c>
      <c r="AE45" s="1" t="s">
        <v>83</v>
      </c>
      <c r="AG45" s="1" t="s">
        <v>205</v>
      </c>
      <c r="AH45" s="1" t="s">
        <v>206</v>
      </c>
      <c r="AI45" s="1" t="s">
        <v>71</v>
      </c>
      <c r="AK45" s="1" t="s">
        <v>61</v>
      </c>
      <c r="AL45" s="1" t="s">
        <v>61</v>
      </c>
      <c r="AM45" s="1">
        <v>1</v>
      </c>
      <c r="AN45" s="1">
        <v>0</v>
      </c>
      <c r="AO45" s="1">
        <f t="shared" si="1"/>
        <v>1</v>
      </c>
      <c r="AQ45" s="1" t="s">
        <v>207</v>
      </c>
      <c r="AR45" s="4"/>
      <c r="AS45" s="4"/>
      <c r="AT45" s="4"/>
      <c r="AU45" s="4"/>
      <c r="AV45" s="4"/>
      <c r="AW45" s="4"/>
    </row>
    <row r="46" spans="1:50" x14ac:dyDescent="0.4">
      <c r="A46" s="1">
        <v>1</v>
      </c>
      <c r="B46" s="1">
        <v>1</v>
      </c>
      <c r="C46" s="1" t="s">
        <v>41</v>
      </c>
      <c r="D46" s="2">
        <v>38811</v>
      </c>
      <c r="E46" s="1">
        <v>94</v>
      </c>
      <c r="F46" s="1">
        <v>4</v>
      </c>
      <c r="G46" s="3">
        <v>0.65623842592592596</v>
      </c>
      <c r="H46" s="3">
        <v>0.65688657407407403</v>
      </c>
      <c r="I46" s="3">
        <v>6.4814814814806443E-4</v>
      </c>
      <c r="J46" s="3">
        <v>6.4814814814806443E-4</v>
      </c>
      <c r="K46" s="5">
        <f t="shared" si="0"/>
        <v>56</v>
      </c>
      <c r="L46" s="3" t="s">
        <v>120</v>
      </c>
      <c r="N46" s="1" t="s">
        <v>42</v>
      </c>
      <c r="O46" s="1" t="s">
        <v>43</v>
      </c>
      <c r="P46" s="1" t="s">
        <v>172</v>
      </c>
      <c r="Q46" s="1" t="s">
        <v>76</v>
      </c>
      <c r="R46" s="1" t="s">
        <v>76</v>
      </c>
      <c r="S46" s="1" t="s">
        <v>46</v>
      </c>
      <c r="T46" s="1" t="s">
        <v>47</v>
      </c>
      <c r="U46" s="1" t="s">
        <v>92</v>
      </c>
      <c r="X46" s="1" t="s">
        <v>208</v>
      </c>
      <c r="AB46" s="1" t="s">
        <v>93</v>
      </c>
      <c r="AC46" s="1">
        <v>1</v>
      </c>
      <c r="AE46" s="1" t="s">
        <v>181</v>
      </c>
      <c r="AG46" s="1" t="s">
        <v>209</v>
      </c>
      <c r="AI46" s="1" t="s">
        <v>75</v>
      </c>
      <c r="AK46" s="1" t="s">
        <v>61</v>
      </c>
      <c r="AL46" s="1" t="s">
        <v>61</v>
      </c>
      <c r="AM46" s="1">
        <v>1</v>
      </c>
      <c r="AN46" s="1">
        <v>0</v>
      </c>
      <c r="AO46" s="1">
        <f t="shared" si="1"/>
        <v>1</v>
      </c>
      <c r="AQ46" s="1" t="s">
        <v>73</v>
      </c>
      <c r="AR46" s="6">
        <f t="shared" ref="AR46:AW46" si="14">AR39/$AR$13</f>
        <v>2.1791373176551269E-2</v>
      </c>
      <c r="AS46" s="6">
        <f t="shared" si="14"/>
        <v>0.80570644797188207</v>
      </c>
      <c r="AT46" s="6">
        <f t="shared" si="14"/>
        <v>2.9740966695718022E-2</v>
      </c>
      <c r="AU46" s="6">
        <f t="shared" si="14"/>
        <v>0.11663213841779657</v>
      </c>
      <c r="AV46" s="6">
        <f t="shared" si="14"/>
        <v>0</v>
      </c>
      <c r="AW46" s="6">
        <f t="shared" si="14"/>
        <v>2.6129073738052035E-2</v>
      </c>
      <c r="AX46" s="6"/>
    </row>
    <row r="47" spans="1:50" x14ac:dyDescent="0.4">
      <c r="A47" s="1">
        <v>1</v>
      </c>
      <c r="B47" s="1">
        <v>1</v>
      </c>
      <c r="C47" s="1" t="s">
        <v>41</v>
      </c>
      <c r="D47" s="2">
        <v>38814</v>
      </c>
      <c r="E47" s="1">
        <v>97</v>
      </c>
      <c r="F47" s="1">
        <v>0.5</v>
      </c>
      <c r="G47" s="3">
        <v>0.27839120370370368</v>
      </c>
      <c r="H47" s="3">
        <v>0.2785069444444444</v>
      </c>
      <c r="I47" s="3">
        <v>1.1574074074072183E-4</v>
      </c>
      <c r="J47" s="3">
        <v>1.1574074074072183E-4</v>
      </c>
      <c r="K47" s="5">
        <f t="shared" si="0"/>
        <v>10</v>
      </c>
      <c r="L47" s="3">
        <v>0.25390046296296304</v>
      </c>
      <c r="N47" s="1" t="s">
        <v>75</v>
      </c>
      <c r="O47" s="1" t="s">
        <v>43</v>
      </c>
      <c r="P47" s="1" t="s">
        <v>210</v>
      </c>
      <c r="Q47" s="1" t="s">
        <v>76</v>
      </c>
      <c r="R47" s="1" t="s">
        <v>76</v>
      </c>
      <c r="S47" s="1" t="s">
        <v>46</v>
      </c>
      <c r="T47" s="1" t="s">
        <v>47</v>
      </c>
      <c r="U47" s="1" t="s">
        <v>66</v>
      </c>
      <c r="AB47" s="1" t="s">
        <v>93</v>
      </c>
      <c r="AC47" s="1">
        <v>1</v>
      </c>
      <c r="AG47" s="1" t="s">
        <v>211</v>
      </c>
      <c r="AI47" s="1" t="s">
        <v>75</v>
      </c>
      <c r="AK47" s="1" t="s">
        <v>86</v>
      </c>
      <c r="AL47" s="1" t="s">
        <v>87</v>
      </c>
      <c r="AM47" s="1">
        <v>1</v>
      </c>
      <c r="AN47" s="1">
        <v>0</v>
      </c>
      <c r="AO47" s="1">
        <f t="shared" si="1"/>
        <v>1</v>
      </c>
      <c r="AQ47" s="1" t="s">
        <v>88</v>
      </c>
      <c r="AR47" s="6">
        <f>AR40/$AR$14</f>
        <v>2.0062342941103772E-2</v>
      </c>
      <c r="AS47" s="6">
        <f t="shared" ref="AS47:AW47" si="15">AS40/$AR$14</f>
        <v>0.81835409142715898</v>
      </c>
      <c r="AT47" s="6">
        <f>AT40/$AR$14</f>
        <v>1.0436263268472872E-2</v>
      </c>
      <c r="AU47" s="6">
        <f t="shared" si="15"/>
        <v>0.13469645579006634</v>
      </c>
      <c r="AV47" s="6">
        <f t="shared" si="15"/>
        <v>0</v>
      </c>
      <c r="AW47" s="6">
        <f t="shared" si="15"/>
        <v>1.6450846573198029E-2</v>
      </c>
      <c r="AX47" s="6"/>
    </row>
    <row r="48" spans="1:50" x14ac:dyDescent="0.4">
      <c r="A48" s="1">
        <v>1</v>
      </c>
      <c r="B48" s="1">
        <v>1</v>
      </c>
      <c r="C48" s="1" t="s">
        <v>41</v>
      </c>
      <c r="D48" s="2">
        <v>38814</v>
      </c>
      <c r="E48" s="1">
        <v>97</v>
      </c>
      <c r="F48" s="1">
        <v>1</v>
      </c>
      <c r="G48" s="3">
        <v>0.53240740740740744</v>
      </c>
      <c r="H48" s="3">
        <v>0.53744212962962956</v>
      </c>
      <c r="I48" s="3">
        <v>5.0347222222221211E-3</v>
      </c>
      <c r="J48" s="3">
        <v>5.0347222222221211E-3</v>
      </c>
      <c r="K48" s="5">
        <f t="shared" si="0"/>
        <v>435</v>
      </c>
      <c r="L48" s="3">
        <v>7.8009259259259611E-3</v>
      </c>
      <c r="N48" s="1" t="s">
        <v>90</v>
      </c>
      <c r="O48" s="1" t="s">
        <v>43</v>
      </c>
      <c r="P48" s="1" t="s">
        <v>210</v>
      </c>
      <c r="Q48" s="1" t="s">
        <v>45</v>
      </c>
      <c r="R48" s="1" t="s">
        <v>45</v>
      </c>
      <c r="S48" s="1" t="s">
        <v>46</v>
      </c>
      <c r="T48" s="1" t="s">
        <v>47</v>
      </c>
      <c r="U48" s="1" t="s">
        <v>48</v>
      </c>
      <c r="V48" s="1" t="s">
        <v>49</v>
      </c>
      <c r="W48" s="1" t="s">
        <v>50</v>
      </c>
      <c r="X48" s="1" t="s">
        <v>158</v>
      </c>
      <c r="Y48" s="1" t="s">
        <v>159</v>
      </c>
      <c r="Z48" s="1" t="s">
        <v>160</v>
      </c>
      <c r="AA48" s="1" t="s">
        <v>161</v>
      </c>
      <c r="AB48" s="1" t="s">
        <v>162</v>
      </c>
      <c r="AC48" s="1">
        <v>0</v>
      </c>
      <c r="AD48" s="1" t="s">
        <v>56</v>
      </c>
      <c r="AE48" s="1" t="s">
        <v>83</v>
      </c>
      <c r="AF48" s="1" t="s">
        <v>113</v>
      </c>
      <c r="AG48" s="1" t="s">
        <v>212</v>
      </c>
      <c r="AH48" s="1" t="s">
        <v>165</v>
      </c>
      <c r="AI48" s="1" t="s">
        <v>75</v>
      </c>
      <c r="AJ48" s="1" t="s">
        <v>147</v>
      </c>
      <c r="AK48" s="1" t="s">
        <v>86</v>
      </c>
      <c r="AL48" s="1" t="s">
        <v>86</v>
      </c>
      <c r="AM48" s="1">
        <v>1</v>
      </c>
      <c r="AN48" s="1">
        <v>0</v>
      </c>
      <c r="AO48" s="1">
        <f t="shared" si="1"/>
        <v>1</v>
      </c>
      <c r="AQ48" s="1" t="s">
        <v>94</v>
      </c>
      <c r="AR48" s="6">
        <f>AR41/$AR$15</f>
        <v>2.9711039762904422E-2</v>
      </c>
      <c r="AS48" s="6">
        <f t="shared" ref="AS48:AW48" si="16">AS41/$AR$15</f>
        <v>0.83360088910842178</v>
      </c>
      <c r="AT48" s="6">
        <f t="shared" si="16"/>
        <v>4.0232156087922945E-2</v>
      </c>
      <c r="AU48" s="6">
        <f>AU41/$AR$15</f>
        <v>7.2178315633489754E-2</v>
      </c>
      <c r="AV48" s="6">
        <f t="shared" si="16"/>
        <v>0</v>
      </c>
      <c r="AW48" s="6">
        <f t="shared" si="16"/>
        <v>2.4277599407261052E-2</v>
      </c>
      <c r="AX48" s="6"/>
    </row>
    <row r="49" spans="1:50" x14ac:dyDescent="0.4">
      <c r="A49" s="1">
        <v>1</v>
      </c>
      <c r="B49" s="1">
        <v>1</v>
      </c>
      <c r="C49" s="1" t="s">
        <v>41</v>
      </c>
      <c r="D49" s="2">
        <v>38814</v>
      </c>
      <c r="E49" s="1">
        <v>97</v>
      </c>
      <c r="F49" s="1">
        <v>2</v>
      </c>
      <c r="G49" s="3">
        <v>0.54524305555555552</v>
      </c>
      <c r="H49" s="3">
        <v>0.55883101851851846</v>
      </c>
      <c r="I49" s="3">
        <v>1.3587962962962941E-2</v>
      </c>
      <c r="J49" s="3">
        <v>1.342592592592573E-2</v>
      </c>
      <c r="K49" s="5">
        <f t="shared" si="0"/>
        <v>1160</v>
      </c>
      <c r="L49" s="3">
        <v>8.2291666666667318E-3</v>
      </c>
      <c r="N49" s="1" t="s">
        <v>90</v>
      </c>
      <c r="O49" s="1" t="s">
        <v>43</v>
      </c>
      <c r="P49" s="1" t="s">
        <v>210</v>
      </c>
      <c r="Q49" s="1" t="s">
        <v>45</v>
      </c>
      <c r="R49" s="1" t="s">
        <v>45</v>
      </c>
      <c r="S49" s="1" t="s">
        <v>46</v>
      </c>
      <c r="T49" s="1" t="s">
        <v>76</v>
      </c>
      <c r="U49" s="1" t="s">
        <v>92</v>
      </c>
      <c r="V49" s="1" t="s">
        <v>49</v>
      </c>
      <c r="W49" s="1" t="s">
        <v>77</v>
      </c>
      <c r="X49" s="1" t="s">
        <v>194</v>
      </c>
      <c r="Y49" s="1" t="s">
        <v>79</v>
      </c>
      <c r="Z49" s="1" t="s">
        <v>195</v>
      </c>
      <c r="AA49" s="1" t="s">
        <v>196</v>
      </c>
      <c r="AB49" s="1" t="s">
        <v>197</v>
      </c>
      <c r="AC49" s="1">
        <v>0</v>
      </c>
      <c r="AD49" s="1" t="s">
        <v>56</v>
      </c>
      <c r="AE49" s="1" t="s">
        <v>83</v>
      </c>
      <c r="AG49" s="1" t="s">
        <v>199</v>
      </c>
      <c r="AH49" s="1" t="s">
        <v>115</v>
      </c>
      <c r="AI49" s="1" t="s">
        <v>75</v>
      </c>
      <c r="AK49" s="1" t="s">
        <v>86</v>
      </c>
      <c r="AL49" s="1" t="s">
        <v>87</v>
      </c>
      <c r="AM49" s="1">
        <v>2</v>
      </c>
      <c r="AN49" s="1">
        <v>0</v>
      </c>
      <c r="AO49" s="1">
        <f t="shared" si="1"/>
        <v>2</v>
      </c>
      <c r="AQ49" s="1" t="s">
        <v>100</v>
      </c>
      <c r="AR49" s="6">
        <f>AR42/$AR$16</f>
        <v>2.269030289357761E-2</v>
      </c>
      <c r="AS49" s="6">
        <f t="shared" ref="AS49:AW49" si="17">AS42/$AR$16</f>
        <v>0.80886002303463511</v>
      </c>
      <c r="AT49" s="6">
        <f t="shared" si="17"/>
        <v>4.0512461262630459E-2</v>
      </c>
      <c r="AU49" s="6">
        <f t="shared" si="17"/>
        <v>8.786407190605669E-2</v>
      </c>
      <c r="AV49" s="6">
        <f t="shared" si="17"/>
        <v>0</v>
      </c>
      <c r="AW49" s="6">
        <f t="shared" si="17"/>
        <v>4.0073140903100178E-2</v>
      </c>
      <c r="AX49" s="6"/>
    </row>
    <row r="50" spans="1:50" x14ac:dyDescent="0.4">
      <c r="A50" s="1">
        <v>1</v>
      </c>
      <c r="B50" s="1">
        <v>1</v>
      </c>
      <c r="C50" s="1" t="s">
        <v>41</v>
      </c>
      <c r="D50" s="2">
        <v>38814</v>
      </c>
      <c r="E50" s="1">
        <v>97</v>
      </c>
      <c r="F50" s="1">
        <v>3</v>
      </c>
      <c r="G50" s="3">
        <v>0.56706018518518519</v>
      </c>
      <c r="H50" s="3">
        <v>0.56767361111111114</v>
      </c>
      <c r="I50" s="3">
        <v>6.134259259259478E-4</v>
      </c>
      <c r="J50" s="3">
        <v>6.134259259259478E-4</v>
      </c>
      <c r="K50" s="5">
        <f t="shared" si="0"/>
        <v>53</v>
      </c>
      <c r="L50" s="3">
        <v>1.2604166666666639E-2</v>
      </c>
      <c r="N50" s="1" t="s">
        <v>90</v>
      </c>
      <c r="O50" s="1" t="s">
        <v>43</v>
      </c>
      <c r="P50" s="1" t="s">
        <v>210</v>
      </c>
      <c r="Q50" s="1" t="s">
        <v>45</v>
      </c>
      <c r="R50" s="1" t="s">
        <v>45</v>
      </c>
      <c r="S50" s="1" t="s">
        <v>46</v>
      </c>
      <c r="T50" s="1" t="s">
        <v>45</v>
      </c>
      <c r="U50" s="1" t="s">
        <v>66</v>
      </c>
      <c r="V50" s="1" t="s">
        <v>49</v>
      </c>
      <c r="W50" s="1" t="s">
        <v>50</v>
      </c>
      <c r="X50" s="1" t="s">
        <v>158</v>
      </c>
      <c r="Y50" s="1" t="s">
        <v>159</v>
      </c>
      <c r="Z50" s="1" t="s">
        <v>160</v>
      </c>
      <c r="AA50" s="1" t="s">
        <v>161</v>
      </c>
      <c r="AB50" s="1" t="s">
        <v>162</v>
      </c>
      <c r="AC50" s="1">
        <v>0</v>
      </c>
      <c r="AD50" s="1" t="s">
        <v>56</v>
      </c>
      <c r="AE50" s="1" t="s">
        <v>83</v>
      </c>
      <c r="AG50" s="1" t="s">
        <v>164</v>
      </c>
      <c r="AH50" s="1" t="s">
        <v>165</v>
      </c>
      <c r="AI50" s="1" t="s">
        <v>75</v>
      </c>
      <c r="AK50" s="1" t="s">
        <v>116</v>
      </c>
      <c r="AL50" s="1" t="s">
        <v>116</v>
      </c>
      <c r="AM50" s="1">
        <v>7</v>
      </c>
      <c r="AN50" s="1">
        <v>0</v>
      </c>
      <c r="AO50" s="1">
        <f t="shared" si="1"/>
        <v>7</v>
      </c>
      <c r="AQ50" s="1" t="s">
        <v>107</v>
      </c>
      <c r="AR50" s="6">
        <f>AR43/$AR$17</f>
        <v>2.4481543211563157E-2</v>
      </c>
      <c r="AS50" s="6">
        <f t="shared" ref="AS50:AV50" si="18">AS43/$AR$17</f>
        <v>0.8673461023525233</v>
      </c>
      <c r="AT50" s="6">
        <f t="shared" si="18"/>
        <v>2.6421486925872293E-2</v>
      </c>
      <c r="AU50" s="6">
        <f t="shared" si="18"/>
        <v>6.5712177928358692E-2</v>
      </c>
      <c r="AV50" s="6">
        <f t="shared" si="18"/>
        <v>0</v>
      </c>
      <c r="AW50" s="6">
        <f>AW43/$AR$17</f>
        <v>1.6038689581682558E-2</v>
      </c>
      <c r="AX50" s="6"/>
    </row>
    <row r="51" spans="1:50" x14ac:dyDescent="0.4">
      <c r="A51" s="1">
        <v>1</v>
      </c>
      <c r="B51" s="1">
        <v>1</v>
      </c>
      <c r="C51" s="1" t="s">
        <v>41</v>
      </c>
      <c r="D51" s="2">
        <v>38814</v>
      </c>
      <c r="E51" s="1">
        <v>97</v>
      </c>
      <c r="F51" s="1">
        <v>4</v>
      </c>
      <c r="G51" s="3">
        <v>0.58027777777777778</v>
      </c>
      <c r="H51" s="3">
        <v>0.59731481481481474</v>
      </c>
      <c r="I51" s="3">
        <v>1.7037037037036962E-2</v>
      </c>
      <c r="J51" s="3">
        <v>1.7037037037036962E-2</v>
      </c>
      <c r="K51" s="5">
        <f t="shared" si="0"/>
        <v>1472</v>
      </c>
      <c r="L51" s="3">
        <v>1.3819444444444495E-2</v>
      </c>
      <c r="N51" s="1" t="s">
        <v>75</v>
      </c>
      <c r="O51" s="1" t="s">
        <v>43</v>
      </c>
      <c r="P51" s="1" t="s">
        <v>210</v>
      </c>
      <c r="Q51" s="1" t="s">
        <v>76</v>
      </c>
      <c r="R51" s="1" t="s">
        <v>76</v>
      </c>
      <c r="S51" s="1" t="s">
        <v>46</v>
      </c>
      <c r="T51" s="1" t="s">
        <v>47</v>
      </c>
      <c r="U51" s="1" t="s">
        <v>66</v>
      </c>
      <c r="V51" s="1" t="s">
        <v>49</v>
      </c>
      <c r="W51" s="1" t="s">
        <v>50</v>
      </c>
      <c r="X51" s="1" t="s">
        <v>158</v>
      </c>
      <c r="Y51" s="1" t="s">
        <v>159</v>
      </c>
      <c r="Z51" s="1" t="s">
        <v>160</v>
      </c>
      <c r="AA51" s="1" t="s">
        <v>161</v>
      </c>
      <c r="AB51" s="1" t="s">
        <v>162</v>
      </c>
      <c r="AC51" s="1">
        <v>0</v>
      </c>
      <c r="AD51" s="1" t="s">
        <v>56</v>
      </c>
      <c r="AE51" s="1" t="s">
        <v>83</v>
      </c>
      <c r="AF51" s="1" t="s">
        <v>213</v>
      </c>
      <c r="AG51" s="1" t="s">
        <v>173</v>
      </c>
      <c r="AH51" s="1" t="s">
        <v>165</v>
      </c>
      <c r="AI51" s="1" t="s">
        <v>75</v>
      </c>
      <c r="AK51" s="1" t="s">
        <v>116</v>
      </c>
      <c r="AL51" s="1" t="s">
        <v>174</v>
      </c>
      <c r="AM51" s="1">
        <v>6</v>
      </c>
      <c r="AN51" s="1">
        <v>0</v>
      </c>
      <c r="AO51" s="1">
        <f t="shared" si="1"/>
        <v>6</v>
      </c>
      <c r="AQ51" s="1" t="s">
        <v>118</v>
      </c>
      <c r="AR51" s="6">
        <f>AR44/$AR$18</f>
        <v>1.2637391812244464E-2</v>
      </c>
      <c r="AS51" s="6">
        <f t="shared" ref="AS51:AW51" si="19">AS44/$AR$18</f>
        <v>0.73002177029681936</v>
      </c>
      <c r="AT51" s="6">
        <f t="shared" si="19"/>
        <v>2.6695162746243298E-2</v>
      </c>
      <c r="AU51" s="6">
        <f t="shared" si="19"/>
        <v>0.20385759039983009</v>
      </c>
      <c r="AV51" s="6">
        <f t="shared" si="19"/>
        <v>0</v>
      </c>
      <c r="AW51" s="6">
        <f t="shared" si="19"/>
        <v>2.6788084744862741E-2</v>
      </c>
      <c r="AX51" s="6"/>
    </row>
    <row r="52" spans="1:50" x14ac:dyDescent="0.4">
      <c r="A52" s="1">
        <v>1</v>
      </c>
      <c r="B52" s="1">
        <v>1</v>
      </c>
      <c r="C52" s="1" t="s">
        <v>41</v>
      </c>
      <c r="D52" s="2">
        <v>38814</v>
      </c>
      <c r="E52" s="1">
        <v>97</v>
      </c>
      <c r="F52" s="1">
        <v>5</v>
      </c>
      <c r="G52" s="3">
        <v>0.61113425925925924</v>
      </c>
      <c r="H52" s="3">
        <v>0.61401620370370369</v>
      </c>
      <c r="I52" s="3">
        <v>2.8819444444444509E-3</v>
      </c>
      <c r="J52" s="3">
        <v>1.979166666666643E-3</v>
      </c>
      <c r="K52" s="5">
        <f t="shared" si="0"/>
        <v>171</v>
      </c>
      <c r="L52" s="3">
        <v>1.7824074074074048E-2</v>
      </c>
      <c r="N52" s="1" t="s">
        <v>75</v>
      </c>
      <c r="O52" s="1" t="s">
        <v>43</v>
      </c>
      <c r="P52" s="1" t="s">
        <v>210</v>
      </c>
      <c r="Q52" s="1" t="s">
        <v>76</v>
      </c>
      <c r="R52" s="1" t="s">
        <v>76</v>
      </c>
      <c r="S52" s="1" t="s">
        <v>46</v>
      </c>
      <c r="T52" s="1" t="s">
        <v>47</v>
      </c>
      <c r="U52" s="1" t="s">
        <v>66</v>
      </c>
      <c r="V52" s="1" t="s">
        <v>102</v>
      </c>
      <c r="W52" s="1" t="s">
        <v>103</v>
      </c>
      <c r="X52" s="1" t="s">
        <v>96</v>
      </c>
      <c r="Y52" s="1" t="s">
        <v>52</v>
      </c>
      <c r="Z52" s="1" t="s">
        <v>53</v>
      </c>
      <c r="AA52" s="1" t="s">
        <v>214</v>
      </c>
      <c r="AB52" s="1" t="s">
        <v>215</v>
      </c>
      <c r="AC52" s="1">
        <v>0</v>
      </c>
      <c r="AD52" s="1" t="s">
        <v>56</v>
      </c>
      <c r="AE52" s="1" t="s">
        <v>70</v>
      </c>
      <c r="AG52" s="1" t="s">
        <v>216</v>
      </c>
      <c r="AH52" s="1" t="s">
        <v>157</v>
      </c>
      <c r="AI52" s="1" t="s">
        <v>75</v>
      </c>
      <c r="AK52" s="1" t="s">
        <v>86</v>
      </c>
      <c r="AL52" s="1" t="s">
        <v>87</v>
      </c>
      <c r="AM52" s="1">
        <v>2</v>
      </c>
      <c r="AN52" s="1">
        <v>0</v>
      </c>
      <c r="AO52" s="1">
        <f t="shared" si="1"/>
        <v>2</v>
      </c>
      <c r="AQ52" s="1" t="s">
        <v>188</v>
      </c>
      <c r="AR52" s="6">
        <f>AVERAGE(AR47:AR51)</f>
        <v>2.1916524124278684E-2</v>
      </c>
      <c r="AS52" s="6">
        <f t="shared" ref="AS52:AW52" si="20">AVERAGE(AS47:AS51)</f>
        <v>0.81163657524391175</v>
      </c>
      <c r="AT52" s="6">
        <f t="shared" si="20"/>
        <v>2.8859506058228367E-2</v>
      </c>
      <c r="AU52" s="6">
        <f t="shared" si="20"/>
        <v>0.1128617223315603</v>
      </c>
      <c r="AV52" s="6">
        <f t="shared" si="20"/>
        <v>0</v>
      </c>
      <c r="AW52" s="6">
        <f t="shared" si="20"/>
        <v>2.4725672242020914E-2</v>
      </c>
    </row>
    <row r="53" spans="1:50" x14ac:dyDescent="0.4">
      <c r="A53" s="1">
        <v>1</v>
      </c>
      <c r="B53" s="1">
        <v>1</v>
      </c>
      <c r="C53" s="1" t="s">
        <v>41</v>
      </c>
      <c r="D53" s="2">
        <v>38814</v>
      </c>
      <c r="E53" s="1">
        <v>97</v>
      </c>
      <c r="F53" s="1">
        <v>6</v>
      </c>
      <c r="G53" s="3">
        <v>0.63184027777777774</v>
      </c>
      <c r="H53" s="3">
        <v>0.63358796296296294</v>
      </c>
      <c r="I53" s="3">
        <v>1.7476851851851993E-3</v>
      </c>
      <c r="J53" s="3">
        <v>1.7476851851851993E-3</v>
      </c>
      <c r="K53" s="5">
        <f t="shared" si="0"/>
        <v>151</v>
      </c>
      <c r="L53" s="3">
        <v>2.8958333333333419E-2</v>
      </c>
      <c r="N53" s="1" t="s">
        <v>75</v>
      </c>
      <c r="O53" s="1" t="s">
        <v>43</v>
      </c>
      <c r="P53" s="1" t="s">
        <v>210</v>
      </c>
      <c r="Q53" s="1" t="s">
        <v>45</v>
      </c>
      <c r="R53" s="1" t="s">
        <v>45</v>
      </c>
      <c r="S53" s="1" t="s">
        <v>46</v>
      </c>
      <c r="T53" s="1" t="s">
        <v>47</v>
      </c>
      <c r="U53" s="1" t="s">
        <v>66</v>
      </c>
      <c r="V53" s="1" t="s">
        <v>102</v>
      </c>
      <c r="W53" s="1" t="s">
        <v>103</v>
      </c>
      <c r="X53" s="1" t="s">
        <v>96</v>
      </c>
      <c r="AB53" s="1" t="s">
        <v>104</v>
      </c>
      <c r="AC53" s="1">
        <v>0</v>
      </c>
      <c r="AD53" s="1" t="s">
        <v>105</v>
      </c>
      <c r="AE53" s="1" t="s">
        <v>70</v>
      </c>
      <c r="AG53" s="1" t="s">
        <v>217</v>
      </c>
      <c r="AH53" s="1" t="s">
        <v>157</v>
      </c>
      <c r="AI53" s="1" t="s">
        <v>75</v>
      </c>
      <c r="AK53" s="1" t="s">
        <v>86</v>
      </c>
      <c r="AL53" s="1" t="s">
        <v>87</v>
      </c>
      <c r="AM53" s="1">
        <v>1</v>
      </c>
      <c r="AN53" s="1">
        <v>0</v>
      </c>
      <c r="AO53" s="1">
        <f t="shared" si="1"/>
        <v>1</v>
      </c>
      <c r="AQ53" s="1" t="s">
        <v>189</v>
      </c>
      <c r="AR53" s="6">
        <f>STDEV(AR47:AR51)</f>
        <v>6.2744086348238892E-3</v>
      </c>
      <c r="AS53" s="6">
        <f t="shared" ref="AS53:AW53" si="21">STDEV(AS47:AS51)</f>
        <v>5.0743948276121546E-2</v>
      </c>
      <c r="AT53" s="6">
        <f t="shared" si="21"/>
        <v>1.2401337910139599E-2</v>
      </c>
      <c r="AU53" s="6">
        <f t="shared" si="21"/>
        <v>5.7576265152160869E-2</v>
      </c>
      <c r="AV53" s="6">
        <f t="shared" si="21"/>
        <v>0</v>
      </c>
      <c r="AW53" s="6">
        <f t="shared" si="21"/>
        <v>9.7971362715128033E-3</v>
      </c>
    </row>
    <row r="54" spans="1:50" x14ac:dyDescent="0.4">
      <c r="A54" s="1">
        <v>1</v>
      </c>
      <c r="B54" s="1">
        <v>1</v>
      </c>
      <c r="C54" s="1" t="s">
        <v>41</v>
      </c>
      <c r="D54" s="2">
        <v>38814</v>
      </c>
      <c r="E54" s="1">
        <v>97</v>
      </c>
      <c r="F54" s="1">
        <v>8</v>
      </c>
      <c r="G54" s="3">
        <v>0.66254629629629636</v>
      </c>
      <c r="H54" s="3">
        <v>0.6633796296296296</v>
      </c>
      <c r="I54" s="3">
        <v>8.3333333333324155E-4</v>
      </c>
      <c r="J54" s="3">
        <v>8.3333333333324155E-4</v>
      </c>
      <c r="K54" s="5">
        <f t="shared" si="0"/>
        <v>72</v>
      </c>
      <c r="L54" s="3">
        <v>2.7418981481481475E-2</v>
      </c>
      <c r="N54" s="1" t="s">
        <v>75</v>
      </c>
      <c r="O54" s="1" t="s">
        <v>43</v>
      </c>
      <c r="P54" s="1" t="s">
        <v>210</v>
      </c>
      <c r="Q54" s="1" t="s">
        <v>45</v>
      </c>
      <c r="R54" s="1" t="s">
        <v>45</v>
      </c>
      <c r="S54" s="1" t="s">
        <v>46</v>
      </c>
      <c r="T54" s="1" t="s">
        <v>47</v>
      </c>
      <c r="U54" s="1" t="s">
        <v>92</v>
      </c>
      <c r="V54" s="1" t="s">
        <v>49</v>
      </c>
      <c r="W54" s="1" t="s">
        <v>50</v>
      </c>
      <c r="X54" s="1" t="s">
        <v>218</v>
      </c>
      <c r="Y54" s="1" t="s">
        <v>219</v>
      </c>
      <c r="Z54" s="1" t="s">
        <v>220</v>
      </c>
      <c r="AA54" s="1" t="s">
        <v>221</v>
      </c>
      <c r="AB54" s="1" t="s">
        <v>222</v>
      </c>
      <c r="AC54" s="1">
        <v>0</v>
      </c>
      <c r="AD54" s="1" t="s">
        <v>56</v>
      </c>
      <c r="AE54" s="1" t="s">
        <v>83</v>
      </c>
      <c r="AG54" s="1" t="s">
        <v>223</v>
      </c>
      <c r="AH54" s="1" t="s">
        <v>115</v>
      </c>
      <c r="AI54" s="1" t="s">
        <v>75</v>
      </c>
      <c r="AK54" s="1" t="s">
        <v>86</v>
      </c>
      <c r="AL54" s="1" t="s">
        <v>133</v>
      </c>
      <c r="AM54" s="1">
        <v>1</v>
      </c>
      <c r="AN54" s="1">
        <v>0</v>
      </c>
      <c r="AO54" s="1">
        <f t="shared" si="1"/>
        <v>1</v>
      </c>
    </row>
    <row r="55" spans="1:50" x14ac:dyDescent="0.4">
      <c r="A55" s="1">
        <v>1</v>
      </c>
      <c r="B55" s="1">
        <v>1</v>
      </c>
      <c r="C55" s="1" t="s">
        <v>41</v>
      </c>
      <c r="D55" s="2">
        <v>38814</v>
      </c>
      <c r="E55" s="1">
        <v>97</v>
      </c>
      <c r="F55" s="1">
        <v>9</v>
      </c>
      <c r="G55" s="3">
        <v>0.69079861111111107</v>
      </c>
      <c r="H55" s="3">
        <v>0.69526620370370373</v>
      </c>
      <c r="I55" s="3">
        <v>4.4675925925926618E-3</v>
      </c>
      <c r="J55" s="3">
        <v>4.4675925925926618E-3</v>
      </c>
      <c r="K55" s="5">
        <f t="shared" si="0"/>
        <v>386</v>
      </c>
      <c r="L55" s="3" t="s">
        <v>120</v>
      </c>
      <c r="N55" s="1" t="s">
        <v>75</v>
      </c>
      <c r="O55" s="1" t="s">
        <v>43</v>
      </c>
      <c r="P55" s="1" t="s">
        <v>210</v>
      </c>
      <c r="Q55" s="1" t="s">
        <v>76</v>
      </c>
      <c r="R55" s="1" t="s">
        <v>76</v>
      </c>
      <c r="S55" s="1" t="s">
        <v>46</v>
      </c>
      <c r="T55" s="1" t="s">
        <v>47</v>
      </c>
      <c r="U55" s="1" t="s">
        <v>66</v>
      </c>
      <c r="V55" s="1" t="s">
        <v>102</v>
      </c>
      <c r="W55" s="1" t="s">
        <v>224</v>
      </c>
      <c r="X55" s="1" t="s">
        <v>96</v>
      </c>
      <c r="Y55" s="1" t="s">
        <v>52</v>
      </c>
      <c r="AB55" s="1" t="s">
        <v>225</v>
      </c>
      <c r="AC55" s="1">
        <v>0</v>
      </c>
      <c r="AD55" s="1" t="s">
        <v>105</v>
      </c>
      <c r="AE55" s="1" t="s">
        <v>70</v>
      </c>
      <c r="AG55" s="1" t="s">
        <v>226</v>
      </c>
      <c r="AH55" s="1" t="s">
        <v>157</v>
      </c>
      <c r="AI55" s="1" t="s">
        <v>75</v>
      </c>
      <c r="AK55" s="1" t="s">
        <v>86</v>
      </c>
      <c r="AL55" s="1" t="s">
        <v>87</v>
      </c>
      <c r="AM55" s="1">
        <v>1</v>
      </c>
      <c r="AN55" s="1">
        <v>0</v>
      </c>
      <c r="AO55" s="1">
        <f t="shared" si="1"/>
        <v>1</v>
      </c>
    </row>
    <row r="56" spans="1:50" x14ac:dyDescent="0.4">
      <c r="A56" s="1">
        <v>1</v>
      </c>
      <c r="B56" s="1">
        <v>1</v>
      </c>
      <c r="C56" s="1" t="s">
        <v>41</v>
      </c>
      <c r="D56" s="2">
        <v>38825</v>
      </c>
      <c r="E56" s="1">
        <v>108</v>
      </c>
      <c r="F56" s="1">
        <v>1</v>
      </c>
      <c r="G56" s="3">
        <v>0.33562500000000001</v>
      </c>
      <c r="H56" s="3">
        <v>0.34791666666666665</v>
      </c>
      <c r="I56" s="3">
        <v>1.2291666666666645E-2</v>
      </c>
      <c r="J56" s="3">
        <v>1.2291666666666645E-2</v>
      </c>
      <c r="K56" s="5">
        <f t="shared" si="0"/>
        <v>1062</v>
      </c>
      <c r="L56" s="3">
        <v>0.10085648148148146</v>
      </c>
      <c r="N56" s="1" t="s">
        <v>42</v>
      </c>
      <c r="O56" s="1" t="s">
        <v>43</v>
      </c>
      <c r="P56" s="1" t="s">
        <v>227</v>
      </c>
      <c r="Q56" s="1" t="s">
        <v>76</v>
      </c>
      <c r="R56" s="1" t="s">
        <v>76</v>
      </c>
      <c r="S56" s="1" t="s">
        <v>46</v>
      </c>
      <c r="T56" s="1" t="s">
        <v>45</v>
      </c>
      <c r="V56" s="1" t="s">
        <v>49</v>
      </c>
      <c r="W56" s="1" t="s">
        <v>77</v>
      </c>
      <c r="X56" s="1" t="s">
        <v>194</v>
      </c>
      <c r="Y56" s="1" t="s">
        <v>79</v>
      </c>
      <c r="Z56" s="1" t="s">
        <v>195</v>
      </c>
      <c r="AA56" s="1" t="s">
        <v>196</v>
      </c>
      <c r="AB56" s="1" t="s">
        <v>197</v>
      </c>
      <c r="AC56" s="1">
        <v>0</v>
      </c>
      <c r="AD56" s="1" t="s">
        <v>56</v>
      </c>
      <c r="AE56" s="1" t="s">
        <v>83</v>
      </c>
      <c r="AF56" s="1" t="s">
        <v>113</v>
      </c>
      <c r="AG56" s="1" t="s">
        <v>228</v>
      </c>
      <c r="AH56" s="1" t="s">
        <v>115</v>
      </c>
      <c r="AK56" s="1" t="s">
        <v>116</v>
      </c>
      <c r="AL56" s="1" t="s">
        <v>117</v>
      </c>
      <c r="AM56" s="1">
        <v>1</v>
      </c>
      <c r="AN56" s="1">
        <v>0</v>
      </c>
      <c r="AO56" s="1">
        <f t="shared" si="1"/>
        <v>1</v>
      </c>
    </row>
    <row r="57" spans="1:50" x14ac:dyDescent="0.4">
      <c r="A57" s="1">
        <v>1</v>
      </c>
      <c r="B57" s="1">
        <v>1</v>
      </c>
      <c r="C57" s="1" t="s">
        <v>41</v>
      </c>
      <c r="D57" s="2">
        <v>38825</v>
      </c>
      <c r="E57" s="1">
        <v>108</v>
      </c>
      <c r="F57" s="1">
        <v>3.25</v>
      </c>
      <c r="G57" s="3">
        <v>0.44877314814814812</v>
      </c>
      <c r="H57" s="3">
        <v>0.4496296296296296</v>
      </c>
      <c r="I57" s="3">
        <v>8.5648148148148584E-4</v>
      </c>
      <c r="J57" s="3">
        <v>8.5648148148148584E-4</v>
      </c>
      <c r="K57" s="5">
        <f t="shared" si="0"/>
        <v>74</v>
      </c>
      <c r="L57" s="3">
        <v>1.6712962962962985E-2</v>
      </c>
      <c r="N57" s="1" t="s">
        <v>75</v>
      </c>
      <c r="O57" s="1" t="s">
        <v>43</v>
      </c>
      <c r="P57" s="1" t="s">
        <v>227</v>
      </c>
      <c r="Q57" s="1" t="s">
        <v>76</v>
      </c>
      <c r="R57" s="1" t="s">
        <v>76</v>
      </c>
      <c r="S57" s="1" t="s">
        <v>46</v>
      </c>
      <c r="T57" s="1" t="s">
        <v>45</v>
      </c>
      <c r="U57" s="1" t="s">
        <v>66</v>
      </c>
      <c r="V57" s="1" t="s">
        <v>102</v>
      </c>
      <c r="W57" s="1" t="s">
        <v>103</v>
      </c>
      <c r="X57" s="1" t="s">
        <v>121</v>
      </c>
      <c r="AB57" s="1" t="s">
        <v>104</v>
      </c>
      <c r="AC57" s="1">
        <v>0</v>
      </c>
      <c r="AE57" s="1" t="s">
        <v>70</v>
      </c>
      <c r="AI57" s="1" t="s">
        <v>75</v>
      </c>
      <c r="AK57" s="1" t="s">
        <v>86</v>
      </c>
      <c r="AL57" s="1" t="s">
        <v>133</v>
      </c>
      <c r="AN57" s="1">
        <v>1</v>
      </c>
      <c r="AO57" s="1">
        <f t="shared" si="1"/>
        <v>1</v>
      </c>
      <c r="AQ57" s="1" t="s">
        <v>166</v>
      </c>
      <c r="AR57" s="1" t="s">
        <v>181</v>
      </c>
      <c r="AS57" s="1" t="s">
        <v>83</v>
      </c>
      <c r="AT57" s="1" t="s">
        <v>229</v>
      </c>
      <c r="AU57" s="1" t="s">
        <v>230</v>
      </c>
    </row>
    <row r="58" spans="1:50" x14ac:dyDescent="0.4">
      <c r="A58" s="1">
        <v>1</v>
      </c>
      <c r="B58" s="1">
        <v>1</v>
      </c>
      <c r="C58" s="1" t="s">
        <v>41</v>
      </c>
      <c r="D58" s="2">
        <v>38825</v>
      </c>
      <c r="E58" s="1">
        <v>108</v>
      </c>
      <c r="F58" s="1">
        <v>3.3</v>
      </c>
      <c r="G58" s="3">
        <v>0.46634259259259259</v>
      </c>
      <c r="H58" s="3">
        <v>0.48396990740740736</v>
      </c>
      <c r="I58" s="3">
        <v>1.7627314814814776E-2</v>
      </c>
      <c r="J58" s="3">
        <v>1.4768518518518514E-2</v>
      </c>
      <c r="K58" s="5">
        <f t="shared" si="0"/>
        <v>1276</v>
      </c>
      <c r="L58" s="3">
        <v>9.6493055555555596E-2</v>
      </c>
      <c r="N58" s="1" t="s">
        <v>75</v>
      </c>
      <c r="O58" s="1" t="s">
        <v>43</v>
      </c>
      <c r="P58" s="1" t="s">
        <v>227</v>
      </c>
      <c r="Q58" s="1" t="s">
        <v>76</v>
      </c>
      <c r="R58" s="1" t="s">
        <v>76</v>
      </c>
      <c r="S58" s="1" t="s">
        <v>46</v>
      </c>
      <c r="T58" s="1" t="s">
        <v>45</v>
      </c>
      <c r="U58" s="1" t="s">
        <v>156</v>
      </c>
      <c r="V58" s="1" t="s">
        <v>102</v>
      </c>
      <c r="W58" s="1" t="s">
        <v>231</v>
      </c>
      <c r="X58" s="1" t="s">
        <v>121</v>
      </c>
      <c r="AB58" s="1" t="s">
        <v>104</v>
      </c>
      <c r="AC58" s="1">
        <v>0</v>
      </c>
      <c r="AE58" s="1" t="s">
        <v>70</v>
      </c>
      <c r="AG58" s="1" t="s">
        <v>232</v>
      </c>
      <c r="AI58" s="1" t="s">
        <v>75</v>
      </c>
      <c r="AK58" s="1" t="s">
        <v>86</v>
      </c>
      <c r="AL58" s="1" t="s">
        <v>133</v>
      </c>
      <c r="AM58" s="1">
        <v>1</v>
      </c>
      <c r="AN58" s="1">
        <v>0</v>
      </c>
      <c r="AO58" s="1">
        <f t="shared" si="1"/>
        <v>1</v>
      </c>
      <c r="AQ58" s="1" t="s">
        <v>73</v>
      </c>
      <c r="AR58" s="1">
        <f>COUNTIF($AE$2:$AE$1431, "YOR")</f>
        <v>155</v>
      </c>
      <c r="AS58" s="1">
        <f>COUNTIF($AE$2:$AE$1431, "YOR_Lumin")</f>
        <v>266</v>
      </c>
      <c r="AT58" s="1">
        <f t="shared" ref="AT58:AT63" si="22">AR3-SUM(AR58:AS58)</f>
        <v>1009</v>
      </c>
      <c r="AU58" s="1">
        <f>SUM(AR58:AS58)</f>
        <v>421</v>
      </c>
    </row>
    <row r="59" spans="1:50" x14ac:dyDescent="0.4">
      <c r="A59" s="1">
        <v>1</v>
      </c>
      <c r="B59" s="1">
        <v>1</v>
      </c>
      <c r="C59" s="1" t="s">
        <v>41</v>
      </c>
      <c r="D59" s="2">
        <v>38825</v>
      </c>
      <c r="E59" s="1">
        <v>108</v>
      </c>
      <c r="F59" s="1">
        <v>4</v>
      </c>
      <c r="G59" s="3">
        <v>0.58046296296296296</v>
      </c>
      <c r="H59" s="3">
        <v>0.58224537037037039</v>
      </c>
      <c r="I59" s="3">
        <v>1.782407407407427E-3</v>
      </c>
      <c r="J59" s="3">
        <v>1.782407407407427E-3</v>
      </c>
      <c r="K59" s="5">
        <f t="shared" si="0"/>
        <v>154</v>
      </c>
      <c r="L59" s="3">
        <v>6.8981481481481532E-3</v>
      </c>
      <c r="N59" s="1" t="s">
        <v>42</v>
      </c>
      <c r="O59" s="1" t="s">
        <v>43</v>
      </c>
      <c r="P59" s="1" t="s">
        <v>227</v>
      </c>
      <c r="Q59" s="1" t="s">
        <v>76</v>
      </c>
      <c r="R59" s="1" t="s">
        <v>76</v>
      </c>
      <c r="S59" s="1" t="s">
        <v>46</v>
      </c>
      <c r="T59" s="1" t="s">
        <v>45</v>
      </c>
      <c r="U59" s="1" t="s">
        <v>156</v>
      </c>
      <c r="V59" s="1" t="s">
        <v>49</v>
      </c>
      <c r="W59" s="1" t="s">
        <v>233</v>
      </c>
      <c r="X59" s="1" t="s">
        <v>234</v>
      </c>
      <c r="Y59" s="1" t="s">
        <v>235</v>
      </c>
      <c r="Z59" s="1" t="s">
        <v>236</v>
      </c>
      <c r="AA59" s="1" t="s">
        <v>221</v>
      </c>
      <c r="AB59" s="1" t="s">
        <v>237</v>
      </c>
      <c r="AC59" s="1">
        <v>0</v>
      </c>
      <c r="AD59" s="1" t="s">
        <v>56</v>
      </c>
      <c r="AE59" s="1" t="s">
        <v>83</v>
      </c>
      <c r="AG59" s="1" t="s">
        <v>238</v>
      </c>
      <c r="AH59" s="1" t="s">
        <v>206</v>
      </c>
      <c r="AI59" s="1" t="s">
        <v>75</v>
      </c>
      <c r="AK59" s="1" t="s">
        <v>86</v>
      </c>
      <c r="AL59" s="1" t="s">
        <v>87</v>
      </c>
      <c r="AM59" s="1">
        <v>1</v>
      </c>
      <c r="AN59" s="1">
        <v>0</v>
      </c>
      <c r="AO59" s="1">
        <f t="shared" si="1"/>
        <v>1</v>
      </c>
      <c r="AQ59" s="1" t="s">
        <v>88</v>
      </c>
      <c r="AR59" s="1">
        <f>COUNTIFS($AE$2:$AE$1431, "YOR", $B$2:$B$1431, "1")</f>
        <v>15</v>
      </c>
      <c r="AS59" s="1">
        <f>COUNTIFS($AE$2:$AE$1431, "YOR_Lumin", $B$2:$B$1431, "1")</f>
        <v>54</v>
      </c>
      <c r="AT59" s="1">
        <f t="shared" si="22"/>
        <v>124</v>
      </c>
      <c r="AU59" s="1">
        <f t="shared" ref="AU59:AU63" si="23">SUM(AR59:AS59)</f>
        <v>69</v>
      </c>
    </row>
    <row r="60" spans="1:50" x14ac:dyDescent="0.4">
      <c r="A60" s="1">
        <v>1</v>
      </c>
      <c r="B60" s="1">
        <v>1</v>
      </c>
      <c r="C60" s="1" t="s">
        <v>41</v>
      </c>
      <c r="D60" s="2">
        <v>38825</v>
      </c>
      <c r="E60" s="1">
        <v>108</v>
      </c>
      <c r="F60" s="1">
        <v>5</v>
      </c>
      <c r="G60" s="3">
        <v>0.58914351851851854</v>
      </c>
      <c r="H60" s="3">
        <v>0.5930671296296296</v>
      </c>
      <c r="I60" s="3">
        <v>3.9236111111110583E-3</v>
      </c>
      <c r="J60" s="3">
        <v>3.9236111111110583E-3</v>
      </c>
      <c r="K60" s="5">
        <f t="shared" si="0"/>
        <v>339</v>
      </c>
      <c r="L60" s="3">
        <v>1.7615740740740793E-2</v>
      </c>
      <c r="N60" s="1" t="s">
        <v>42</v>
      </c>
      <c r="O60" s="1" t="s">
        <v>43</v>
      </c>
      <c r="P60" s="1" t="s">
        <v>227</v>
      </c>
      <c r="Q60" s="1" t="s">
        <v>191</v>
      </c>
      <c r="R60" s="1" t="s">
        <v>191</v>
      </c>
      <c r="S60" s="1" t="s">
        <v>46</v>
      </c>
      <c r="T60" s="1" t="s">
        <v>47</v>
      </c>
      <c r="V60" s="1" t="s">
        <v>49</v>
      </c>
      <c r="W60" s="1" t="s">
        <v>140</v>
      </c>
      <c r="X60" s="1" t="s">
        <v>177</v>
      </c>
      <c r="Y60" s="1" t="s">
        <v>239</v>
      </c>
      <c r="Z60" s="1" t="s">
        <v>240</v>
      </c>
      <c r="AA60" s="1" t="s">
        <v>241</v>
      </c>
      <c r="AB60" s="1" t="s">
        <v>242</v>
      </c>
      <c r="AC60" s="1">
        <v>0</v>
      </c>
      <c r="AD60" s="1" t="s">
        <v>105</v>
      </c>
      <c r="AE60" s="1" t="s">
        <v>181</v>
      </c>
      <c r="AF60" s="1" t="s">
        <v>113</v>
      </c>
      <c r="AG60" s="1" t="s">
        <v>243</v>
      </c>
      <c r="AH60" s="1" t="s">
        <v>115</v>
      </c>
      <c r="AK60" s="1" t="s">
        <v>86</v>
      </c>
      <c r="AL60" s="1" t="s">
        <v>87</v>
      </c>
      <c r="AM60" s="1">
        <v>1</v>
      </c>
      <c r="AN60" s="1">
        <v>0</v>
      </c>
      <c r="AO60" s="1">
        <f t="shared" si="1"/>
        <v>1</v>
      </c>
      <c r="AQ60" s="1" t="s">
        <v>94</v>
      </c>
      <c r="AR60" s="1">
        <f>COUNTIFS($AE$2:$AE$1431, "YOR", $B$2:$B$1431, "2")</f>
        <v>22</v>
      </c>
      <c r="AS60" s="1">
        <f>COUNTIFS($AE$2:$AE$1431, "YOR_Lumin", $B$2:$B$1431, "2")</f>
        <v>57</v>
      </c>
      <c r="AT60" s="1">
        <f t="shared" si="22"/>
        <v>151</v>
      </c>
      <c r="AU60" s="1">
        <f t="shared" si="23"/>
        <v>79</v>
      </c>
    </row>
    <row r="61" spans="1:50" x14ac:dyDescent="0.4">
      <c r="A61" s="1">
        <v>1</v>
      </c>
      <c r="B61" s="1">
        <v>1</v>
      </c>
      <c r="C61" s="1" t="s">
        <v>41</v>
      </c>
      <c r="D61" s="2">
        <v>38825</v>
      </c>
      <c r="E61" s="1">
        <v>108</v>
      </c>
      <c r="F61" s="1">
        <v>6</v>
      </c>
      <c r="G61" s="3">
        <v>0.61068287037037039</v>
      </c>
      <c r="H61" s="3">
        <v>0.64740740740740743</v>
      </c>
      <c r="I61" s="3">
        <v>3.6724537037037042E-2</v>
      </c>
      <c r="J61" s="3">
        <v>2.7673611111111107E-2</v>
      </c>
      <c r="K61" s="5">
        <f t="shared" si="0"/>
        <v>2391</v>
      </c>
      <c r="L61" s="3">
        <v>1.1967592592592613E-2</v>
      </c>
      <c r="N61" s="1" t="s">
        <v>75</v>
      </c>
      <c r="O61" s="1" t="s">
        <v>43</v>
      </c>
      <c r="P61" s="1" t="s">
        <v>227</v>
      </c>
      <c r="Q61" s="1" t="s">
        <v>76</v>
      </c>
      <c r="R61" s="1" t="s">
        <v>76</v>
      </c>
      <c r="S61" s="1" t="s">
        <v>46</v>
      </c>
      <c r="T61" s="1" t="s">
        <v>45</v>
      </c>
      <c r="U61" s="1" t="s">
        <v>66</v>
      </c>
      <c r="V61" s="1" t="s">
        <v>49</v>
      </c>
      <c r="W61" s="1" t="s">
        <v>50</v>
      </c>
      <c r="X61" s="1" t="s">
        <v>158</v>
      </c>
      <c r="Y61" s="1" t="s">
        <v>159</v>
      </c>
      <c r="Z61" s="1" t="s">
        <v>160</v>
      </c>
      <c r="AA61" s="1" t="s">
        <v>161</v>
      </c>
      <c r="AB61" s="1" t="s">
        <v>162</v>
      </c>
      <c r="AC61" s="1">
        <v>0</v>
      </c>
      <c r="AD61" s="1" t="s">
        <v>56</v>
      </c>
      <c r="AE61" s="1" t="s">
        <v>83</v>
      </c>
      <c r="AF61" s="1" t="s">
        <v>113</v>
      </c>
      <c r="AG61" s="1" t="s">
        <v>173</v>
      </c>
      <c r="AH61" s="1" t="s">
        <v>165</v>
      </c>
      <c r="AI61" s="1" t="s">
        <v>75</v>
      </c>
      <c r="AK61" s="1" t="s">
        <v>86</v>
      </c>
      <c r="AL61" s="1" t="s">
        <v>87</v>
      </c>
      <c r="AM61" s="1">
        <v>6</v>
      </c>
      <c r="AN61" s="1">
        <v>0</v>
      </c>
      <c r="AO61" s="1">
        <f t="shared" si="1"/>
        <v>6</v>
      </c>
      <c r="AQ61" s="1" t="s">
        <v>100</v>
      </c>
      <c r="AR61" s="1">
        <f>COUNTIFS($AE$2:$AE$1431, "YOR", $B$2:$B$1431, "3")</f>
        <v>63</v>
      </c>
      <c r="AS61" s="1">
        <f>COUNTIFS($AE$2:$AE$1431, "YOR_Lumin", $B$2:$B$1431, "3")</f>
        <v>58</v>
      </c>
      <c r="AT61" s="1">
        <f t="shared" si="22"/>
        <v>242</v>
      </c>
      <c r="AU61" s="1">
        <f t="shared" si="23"/>
        <v>121</v>
      </c>
    </row>
    <row r="62" spans="1:50" x14ac:dyDescent="0.4">
      <c r="A62" s="1">
        <v>1</v>
      </c>
      <c r="B62" s="1">
        <v>1</v>
      </c>
      <c r="C62" s="1" t="s">
        <v>41</v>
      </c>
      <c r="D62" s="2">
        <v>38825</v>
      </c>
      <c r="E62" s="1">
        <v>108</v>
      </c>
      <c r="F62" s="1">
        <v>6.5</v>
      </c>
      <c r="G62" s="3">
        <v>0.65937500000000004</v>
      </c>
      <c r="H62" s="3">
        <v>0.65938657407407408</v>
      </c>
      <c r="I62" s="3">
        <v>1.1574074074038876E-5</v>
      </c>
      <c r="J62" s="3">
        <v>1.1574074074038876E-5</v>
      </c>
      <c r="K62" s="5">
        <f t="shared" si="0"/>
        <v>1</v>
      </c>
      <c r="L62" s="3">
        <v>1.388888888888884E-3</v>
      </c>
      <c r="N62" s="1" t="s">
        <v>42</v>
      </c>
      <c r="O62" s="1" t="s">
        <v>43</v>
      </c>
      <c r="P62" s="1" t="s">
        <v>227</v>
      </c>
      <c r="Q62" s="1" t="s">
        <v>76</v>
      </c>
      <c r="R62" s="1" t="s">
        <v>76</v>
      </c>
      <c r="S62" s="1" t="s">
        <v>46</v>
      </c>
      <c r="T62" s="1" t="s">
        <v>76</v>
      </c>
      <c r="U62" s="1" t="s">
        <v>156</v>
      </c>
      <c r="AB62" s="1" t="s">
        <v>93</v>
      </c>
      <c r="AC62" s="1">
        <v>1</v>
      </c>
      <c r="AG62" s="1" t="s">
        <v>244</v>
      </c>
      <c r="AI62" s="1" t="s">
        <v>75</v>
      </c>
      <c r="AK62" s="1" t="s">
        <v>86</v>
      </c>
      <c r="AL62" s="1" t="s">
        <v>133</v>
      </c>
      <c r="AM62" s="1">
        <v>2</v>
      </c>
      <c r="AN62" s="1">
        <v>0</v>
      </c>
      <c r="AO62" s="1">
        <f t="shared" si="1"/>
        <v>2</v>
      </c>
      <c r="AQ62" s="1" t="s">
        <v>107</v>
      </c>
      <c r="AR62" s="1">
        <f>COUNTIFS($AE$2:$AE$1431, "YOR", $B$2:$B$1431, "S")</f>
        <v>31</v>
      </c>
      <c r="AS62" s="1">
        <f>COUNTIFS($AE$2:$AE$1431, "YOR_Lumin", $B$2:$B$1431, "S")</f>
        <v>27</v>
      </c>
      <c r="AT62" s="1">
        <f t="shared" si="22"/>
        <v>78</v>
      </c>
      <c r="AU62" s="1">
        <f t="shared" si="23"/>
        <v>58</v>
      </c>
    </row>
    <row r="63" spans="1:50" x14ac:dyDescent="0.4">
      <c r="A63" s="1">
        <v>1</v>
      </c>
      <c r="B63" s="1">
        <v>1</v>
      </c>
      <c r="C63" s="1" t="s">
        <v>41</v>
      </c>
      <c r="D63" s="2">
        <v>38825</v>
      </c>
      <c r="E63" s="1">
        <v>108</v>
      </c>
      <c r="F63" s="1">
        <v>7</v>
      </c>
      <c r="G63" s="3">
        <v>0.66077546296296297</v>
      </c>
      <c r="H63" s="3">
        <v>0.66131944444444446</v>
      </c>
      <c r="I63" s="3">
        <v>5.439814814814925E-4</v>
      </c>
      <c r="J63" s="3">
        <v>5.439814814814925E-4</v>
      </c>
      <c r="K63" s="5">
        <f t="shared" si="0"/>
        <v>47</v>
      </c>
      <c r="L63" s="3" t="s">
        <v>120</v>
      </c>
      <c r="N63" s="1" t="s">
        <v>42</v>
      </c>
      <c r="O63" s="1" t="s">
        <v>43</v>
      </c>
      <c r="P63" s="1" t="s">
        <v>227</v>
      </c>
      <c r="Q63" s="1" t="s">
        <v>76</v>
      </c>
      <c r="R63" s="1" t="s">
        <v>76</v>
      </c>
      <c r="S63" s="1" t="s">
        <v>46</v>
      </c>
      <c r="T63" s="1" t="s">
        <v>76</v>
      </c>
      <c r="U63" s="1" t="s">
        <v>156</v>
      </c>
      <c r="AB63" s="1" t="s">
        <v>93</v>
      </c>
      <c r="AC63" s="1">
        <v>1</v>
      </c>
      <c r="AG63" s="1" t="s">
        <v>244</v>
      </c>
      <c r="AI63" s="1" t="s">
        <v>75</v>
      </c>
      <c r="AK63" s="1" t="s">
        <v>86</v>
      </c>
      <c r="AL63" s="1" t="s">
        <v>133</v>
      </c>
      <c r="AM63" s="1">
        <v>2</v>
      </c>
      <c r="AN63" s="1">
        <v>0</v>
      </c>
      <c r="AO63" s="1">
        <f t="shared" si="1"/>
        <v>2</v>
      </c>
      <c r="AQ63" s="1" t="s">
        <v>118</v>
      </c>
      <c r="AR63" s="1">
        <f>COUNTIFS($AE$2:$AE$1431, "YOR", $B$2:$B$1431, "W")</f>
        <v>24</v>
      </c>
      <c r="AS63" s="1">
        <f>COUNTIFS($AE$2:$AE$1431, "YOR_Lumin", $B$2:$B$1431, "W")</f>
        <v>70</v>
      </c>
      <c r="AT63" s="1">
        <f t="shared" si="22"/>
        <v>414</v>
      </c>
      <c r="AU63" s="1">
        <f t="shared" si="23"/>
        <v>94</v>
      </c>
    </row>
    <row r="64" spans="1:50" x14ac:dyDescent="0.4">
      <c r="A64" s="1">
        <v>1</v>
      </c>
      <c r="B64" s="1">
        <v>1</v>
      </c>
      <c r="C64" s="1" t="s">
        <v>41</v>
      </c>
      <c r="D64" s="2">
        <v>38834</v>
      </c>
      <c r="E64" s="1">
        <v>117</v>
      </c>
      <c r="F64" s="1">
        <v>0.5</v>
      </c>
      <c r="G64" s="3">
        <v>0.35243055555555558</v>
      </c>
      <c r="H64" s="3">
        <v>0.35249999999999998</v>
      </c>
      <c r="I64" s="3">
        <v>6.9444444444399789E-5</v>
      </c>
      <c r="J64" s="3">
        <v>6.9444444444399789E-5</v>
      </c>
      <c r="K64" s="5">
        <f t="shared" si="0"/>
        <v>6</v>
      </c>
      <c r="L64" s="3">
        <v>5.1041666666666874E-3</v>
      </c>
      <c r="N64" s="1" t="s">
        <v>42</v>
      </c>
      <c r="O64" s="1" t="s">
        <v>43</v>
      </c>
      <c r="P64" s="1" t="s">
        <v>227</v>
      </c>
      <c r="Q64" s="1" t="s">
        <v>76</v>
      </c>
      <c r="R64" s="1" t="s">
        <v>76</v>
      </c>
      <c r="S64" s="1" t="s">
        <v>46</v>
      </c>
      <c r="T64" s="1" t="s">
        <v>47</v>
      </c>
      <c r="U64" s="1" t="s">
        <v>66</v>
      </c>
      <c r="AB64" s="1" t="s">
        <v>93</v>
      </c>
      <c r="AC64" s="1">
        <v>1</v>
      </c>
      <c r="AG64" s="1" t="s">
        <v>245</v>
      </c>
      <c r="AI64" s="1" t="s">
        <v>71</v>
      </c>
      <c r="AK64" s="1" t="s">
        <v>61</v>
      </c>
      <c r="AL64" s="1" t="s">
        <v>61</v>
      </c>
      <c r="AM64" s="1">
        <v>1</v>
      </c>
      <c r="AN64" s="1">
        <v>0</v>
      </c>
      <c r="AO64" s="1">
        <f t="shared" si="1"/>
        <v>1</v>
      </c>
      <c r="AQ64" s="1" t="s">
        <v>183</v>
      </c>
    </row>
    <row r="65" spans="1:47" x14ac:dyDescent="0.4">
      <c r="A65" s="1">
        <v>1</v>
      </c>
      <c r="B65" s="1">
        <v>1</v>
      </c>
      <c r="C65" s="1" t="s">
        <v>41</v>
      </c>
      <c r="D65" s="2">
        <v>38834</v>
      </c>
      <c r="E65" s="1">
        <v>117</v>
      </c>
      <c r="F65" s="1">
        <v>1</v>
      </c>
      <c r="G65" s="3">
        <v>0.35760416666666667</v>
      </c>
      <c r="H65" s="3">
        <v>0.36641203703703701</v>
      </c>
      <c r="I65" s="3">
        <v>8.8078703703703409E-3</v>
      </c>
      <c r="J65" s="3">
        <v>8.8078703703703409E-3</v>
      </c>
      <c r="K65" s="5">
        <f t="shared" si="0"/>
        <v>761</v>
      </c>
      <c r="L65" s="3">
        <v>6.2395833333333373E-2</v>
      </c>
      <c r="N65" s="1" t="s">
        <v>42</v>
      </c>
      <c r="O65" s="1" t="s">
        <v>43</v>
      </c>
      <c r="P65" s="1" t="s">
        <v>227</v>
      </c>
      <c r="Q65" s="1" t="s">
        <v>76</v>
      </c>
      <c r="R65" s="1" t="s">
        <v>76</v>
      </c>
      <c r="S65" s="1" t="s">
        <v>46</v>
      </c>
      <c r="T65" s="1" t="s">
        <v>47</v>
      </c>
      <c r="U65" s="1" t="s">
        <v>48</v>
      </c>
      <c r="V65" s="1" t="s">
        <v>49</v>
      </c>
      <c r="W65" s="1" t="s">
        <v>140</v>
      </c>
      <c r="X65" s="1" t="s">
        <v>246</v>
      </c>
      <c r="Y65" s="1" t="s">
        <v>247</v>
      </c>
      <c r="Z65" s="1" t="s">
        <v>248</v>
      </c>
      <c r="AA65" s="1">
        <v>28</v>
      </c>
      <c r="AB65" s="1" t="s">
        <v>249</v>
      </c>
      <c r="AC65" s="1">
        <v>0</v>
      </c>
      <c r="AD65" s="1" t="s">
        <v>56</v>
      </c>
      <c r="AE65" s="1" t="s">
        <v>83</v>
      </c>
      <c r="AF65" s="1" t="s">
        <v>153</v>
      </c>
      <c r="AG65" s="1" t="s">
        <v>250</v>
      </c>
      <c r="AH65" s="1" t="s">
        <v>59</v>
      </c>
      <c r="AI65" s="1" t="s">
        <v>60</v>
      </c>
      <c r="AK65" s="1" t="s">
        <v>116</v>
      </c>
      <c r="AL65" s="1" t="s">
        <v>117</v>
      </c>
      <c r="AM65" s="1">
        <v>2</v>
      </c>
      <c r="AN65" s="1">
        <v>0</v>
      </c>
      <c r="AO65" s="1">
        <f t="shared" si="1"/>
        <v>2</v>
      </c>
      <c r="AQ65" s="1" t="s">
        <v>73</v>
      </c>
      <c r="AR65" s="4">
        <f>AR58/$AR$3</f>
        <v>0.10839160839160839</v>
      </c>
      <c r="AS65" s="4">
        <f>AS58/$AR$3</f>
        <v>0.18601398601398603</v>
      </c>
      <c r="AT65" s="4">
        <f>AT58/$AR$3</f>
        <v>0.70559440559440556</v>
      </c>
      <c r="AU65" s="4">
        <f>AU58/$AR$3</f>
        <v>0.29440559440559438</v>
      </c>
    </row>
    <row r="66" spans="1:47" x14ac:dyDescent="0.4">
      <c r="A66" s="1">
        <v>1</v>
      </c>
      <c r="B66" s="1">
        <v>1</v>
      </c>
      <c r="C66" s="1" t="s">
        <v>41</v>
      </c>
      <c r="D66" s="2">
        <v>38834</v>
      </c>
      <c r="E66" s="1">
        <v>117</v>
      </c>
      <c r="F66" s="1">
        <v>2</v>
      </c>
      <c r="G66" s="3">
        <v>0.42880787037037038</v>
      </c>
      <c r="H66" s="3">
        <v>0.43281249999999999</v>
      </c>
      <c r="I66" s="3">
        <v>4.004629629629608E-3</v>
      </c>
      <c r="J66" s="3">
        <v>3.9467592592592471E-3</v>
      </c>
      <c r="K66" s="5">
        <f t="shared" ref="K66:K129" si="24">HOUR(J66)*60*60+MINUTE(J66)*60+SECOND(J66)</f>
        <v>341</v>
      </c>
      <c r="L66" s="3">
        <v>8.9120370370371349E-4</v>
      </c>
      <c r="N66" s="1" t="s">
        <v>251</v>
      </c>
      <c r="O66" s="1" t="s">
        <v>43</v>
      </c>
      <c r="P66" s="1" t="s">
        <v>227</v>
      </c>
      <c r="Q66" s="1" t="s">
        <v>76</v>
      </c>
      <c r="R66" s="1" t="s">
        <v>76</v>
      </c>
      <c r="S66" s="1" t="s">
        <v>46</v>
      </c>
      <c r="T66" s="1" t="s">
        <v>45</v>
      </c>
      <c r="U66" s="1" t="s">
        <v>92</v>
      </c>
      <c r="V66" s="1" t="s">
        <v>49</v>
      </c>
      <c r="W66" s="1" t="s">
        <v>233</v>
      </c>
      <c r="X66" s="1" t="s">
        <v>234</v>
      </c>
      <c r="Y66" s="1" t="s">
        <v>235</v>
      </c>
      <c r="Z66" s="1" t="s">
        <v>236</v>
      </c>
      <c r="AA66" s="1" t="s">
        <v>221</v>
      </c>
      <c r="AB66" s="1" t="s">
        <v>237</v>
      </c>
      <c r="AC66" s="1">
        <v>0</v>
      </c>
      <c r="AD66" s="1" t="s">
        <v>56</v>
      </c>
      <c r="AE66" s="1" t="s">
        <v>83</v>
      </c>
      <c r="AF66" s="1" t="s">
        <v>163</v>
      </c>
      <c r="AG66" s="1" t="s">
        <v>252</v>
      </c>
      <c r="AH66" s="1" t="s">
        <v>206</v>
      </c>
      <c r="AI66" s="1" t="s">
        <v>253</v>
      </c>
      <c r="AK66" s="1" t="s">
        <v>61</v>
      </c>
      <c r="AL66" s="1" t="s">
        <v>61</v>
      </c>
      <c r="AM66" s="1">
        <v>2</v>
      </c>
      <c r="AN66" s="1">
        <v>0</v>
      </c>
      <c r="AO66" s="1">
        <f t="shared" si="1"/>
        <v>2</v>
      </c>
      <c r="AQ66" s="1" t="s">
        <v>88</v>
      </c>
      <c r="AR66" s="4">
        <f>AR59/$AR$4</f>
        <v>7.7720207253886009E-2</v>
      </c>
      <c r="AS66" s="4">
        <f t="shared" ref="AS66:AU66" si="25">AS59/$AR$4</f>
        <v>0.27979274611398963</v>
      </c>
      <c r="AT66" s="4">
        <f t="shared" si="25"/>
        <v>0.6424870466321243</v>
      </c>
      <c r="AU66" s="4">
        <f t="shared" si="25"/>
        <v>0.35751295336787564</v>
      </c>
    </row>
    <row r="67" spans="1:47" x14ac:dyDescent="0.4">
      <c r="A67" s="1">
        <v>1</v>
      </c>
      <c r="B67" s="1">
        <v>1</v>
      </c>
      <c r="C67" s="1" t="s">
        <v>41</v>
      </c>
      <c r="D67" s="2">
        <v>38834</v>
      </c>
      <c r="E67" s="1">
        <v>117</v>
      </c>
      <c r="F67" s="1">
        <v>2.5</v>
      </c>
      <c r="G67" s="3">
        <v>0.4337037037037037</v>
      </c>
      <c r="H67" s="3">
        <v>0.43460648148148145</v>
      </c>
      <c r="I67" s="3">
        <v>9.0277777777775237E-4</v>
      </c>
      <c r="J67" s="3">
        <v>7.1759259259251973E-4</v>
      </c>
      <c r="K67" s="5">
        <f t="shared" si="24"/>
        <v>62</v>
      </c>
      <c r="L67" s="3">
        <v>5.3009259259259589E-3</v>
      </c>
      <c r="N67" s="1" t="s">
        <v>251</v>
      </c>
      <c r="O67" s="1" t="s">
        <v>43</v>
      </c>
      <c r="P67" s="1" t="s">
        <v>227</v>
      </c>
      <c r="R67" s="1" t="s">
        <v>76</v>
      </c>
      <c r="S67" s="1" t="s">
        <v>46</v>
      </c>
      <c r="T67" s="1" t="s">
        <v>45</v>
      </c>
      <c r="U67" s="1" t="s">
        <v>92</v>
      </c>
      <c r="V67" s="1" t="s">
        <v>49</v>
      </c>
      <c r="W67" s="1" t="s">
        <v>233</v>
      </c>
      <c r="X67" s="1" t="s">
        <v>234</v>
      </c>
      <c r="Y67" s="1" t="s">
        <v>235</v>
      </c>
      <c r="Z67" s="1" t="s">
        <v>236</v>
      </c>
      <c r="AA67" s="1" t="s">
        <v>221</v>
      </c>
      <c r="AB67" s="1" t="s">
        <v>237</v>
      </c>
      <c r="AC67" s="1">
        <v>0</v>
      </c>
      <c r="AD67" s="1" t="s">
        <v>56</v>
      </c>
      <c r="AE67" s="1" t="s">
        <v>83</v>
      </c>
      <c r="AH67" s="1" t="s">
        <v>206</v>
      </c>
      <c r="AI67" s="1" t="s">
        <v>253</v>
      </c>
      <c r="AK67" s="1" t="s">
        <v>61</v>
      </c>
      <c r="AL67" s="1" t="s">
        <v>133</v>
      </c>
      <c r="AN67" s="1">
        <v>1</v>
      </c>
      <c r="AO67" s="1">
        <f t="shared" ref="AO67:AO130" si="26">SUM(AM67:AN67)</f>
        <v>1</v>
      </c>
      <c r="AQ67" s="1" t="s">
        <v>94</v>
      </c>
      <c r="AR67" s="4">
        <f>AR60/$AR$5</f>
        <v>9.5652173913043481E-2</v>
      </c>
      <c r="AS67" s="4">
        <f t="shared" ref="AS67:AU67" si="27">AS60/$AR$5</f>
        <v>0.24782608695652175</v>
      </c>
      <c r="AT67" s="4">
        <f t="shared" si="27"/>
        <v>0.65652173913043477</v>
      </c>
      <c r="AU67" s="4">
        <f t="shared" si="27"/>
        <v>0.34347826086956523</v>
      </c>
    </row>
    <row r="68" spans="1:47" x14ac:dyDescent="0.4">
      <c r="A68" s="1">
        <v>1</v>
      </c>
      <c r="B68" s="1">
        <v>1</v>
      </c>
      <c r="C68" s="1" t="s">
        <v>41</v>
      </c>
      <c r="D68" s="2">
        <v>38834</v>
      </c>
      <c r="E68" s="1">
        <v>117</v>
      </c>
      <c r="F68" s="1">
        <v>3</v>
      </c>
      <c r="G68" s="3">
        <v>0.43990740740740741</v>
      </c>
      <c r="H68" s="3">
        <v>0.44663194444444443</v>
      </c>
      <c r="I68" s="3">
        <v>6.724537037037015E-3</v>
      </c>
      <c r="J68" s="3">
        <v>6.4699074074074381E-3</v>
      </c>
      <c r="K68" s="5">
        <f t="shared" si="24"/>
        <v>559</v>
      </c>
      <c r="L68" s="3">
        <v>2.1875000000000089E-3</v>
      </c>
      <c r="N68" s="1" t="s">
        <v>251</v>
      </c>
      <c r="O68" s="1" t="s">
        <v>43</v>
      </c>
      <c r="P68" s="1" t="s">
        <v>227</v>
      </c>
      <c r="Q68" s="1" t="s">
        <v>45</v>
      </c>
      <c r="R68" s="1" t="s">
        <v>45</v>
      </c>
      <c r="S68" s="1" t="s">
        <v>46</v>
      </c>
      <c r="T68" s="1" t="s">
        <v>45</v>
      </c>
      <c r="U68" s="1" t="s">
        <v>156</v>
      </c>
      <c r="V68" s="1" t="s">
        <v>49</v>
      </c>
      <c r="W68" s="1" t="s">
        <v>233</v>
      </c>
      <c r="X68" s="1" t="s">
        <v>234</v>
      </c>
      <c r="Y68" s="1" t="s">
        <v>235</v>
      </c>
      <c r="Z68" s="1" t="s">
        <v>236</v>
      </c>
      <c r="AA68" s="1" t="s">
        <v>221</v>
      </c>
      <c r="AB68" s="1" t="s">
        <v>237</v>
      </c>
      <c r="AC68" s="1">
        <v>0</v>
      </c>
      <c r="AD68" s="1" t="s">
        <v>56</v>
      </c>
      <c r="AE68" s="1" t="s">
        <v>83</v>
      </c>
      <c r="AG68" s="1" t="s">
        <v>254</v>
      </c>
      <c r="AH68" s="1" t="s">
        <v>206</v>
      </c>
      <c r="AI68" s="1" t="s">
        <v>255</v>
      </c>
      <c r="AK68" s="1" t="s">
        <v>61</v>
      </c>
      <c r="AL68" s="1" t="s">
        <v>133</v>
      </c>
      <c r="AM68" s="1">
        <v>1</v>
      </c>
      <c r="AN68" s="1">
        <v>0</v>
      </c>
      <c r="AO68" s="1">
        <f t="shared" si="26"/>
        <v>1</v>
      </c>
      <c r="AQ68" s="1" t="s">
        <v>100</v>
      </c>
      <c r="AR68" s="4">
        <f>AR61/$AR$6</f>
        <v>0.17355371900826447</v>
      </c>
      <c r="AS68" s="4">
        <f t="shared" ref="AS68" si="28">AS61/$AR$6</f>
        <v>0.15977961432506887</v>
      </c>
      <c r="AT68" s="4">
        <f>AT61/$AR$6</f>
        <v>0.66666666666666663</v>
      </c>
      <c r="AU68" s="4">
        <f>AU61/$AR$6</f>
        <v>0.33333333333333331</v>
      </c>
    </row>
    <row r="69" spans="1:47" x14ac:dyDescent="0.4">
      <c r="A69" s="1">
        <v>1</v>
      </c>
      <c r="B69" s="1">
        <v>1</v>
      </c>
      <c r="C69" s="1" t="s">
        <v>41</v>
      </c>
      <c r="D69" s="2">
        <v>38834</v>
      </c>
      <c r="E69" s="1">
        <v>117</v>
      </c>
      <c r="F69" s="1">
        <v>3.25</v>
      </c>
      <c r="G69" s="3">
        <v>0.44881944444444444</v>
      </c>
      <c r="H69" s="3">
        <v>0.44974537037037038</v>
      </c>
      <c r="I69" s="3">
        <v>9.2592592592594114E-4</v>
      </c>
      <c r="J69" s="3">
        <v>9.2592592592594114E-4</v>
      </c>
      <c r="K69" s="5">
        <f t="shared" si="24"/>
        <v>80</v>
      </c>
      <c r="L69" s="3">
        <v>4.3726851851851878E-2</v>
      </c>
      <c r="N69" s="1" t="s">
        <v>251</v>
      </c>
      <c r="O69" s="1" t="s">
        <v>43</v>
      </c>
      <c r="P69" s="1" t="s">
        <v>227</v>
      </c>
      <c r="S69" s="1" t="s">
        <v>46</v>
      </c>
      <c r="T69" s="1" t="s">
        <v>45</v>
      </c>
      <c r="U69" s="1" t="s">
        <v>66</v>
      </c>
      <c r="V69" s="1" t="s">
        <v>102</v>
      </c>
      <c r="W69" s="1" t="s">
        <v>231</v>
      </c>
      <c r="X69" s="1" t="s">
        <v>121</v>
      </c>
      <c r="AB69" s="1" t="s">
        <v>104</v>
      </c>
      <c r="AC69" s="1">
        <v>0</v>
      </c>
      <c r="AE69" s="1" t="s">
        <v>70</v>
      </c>
      <c r="AG69" s="1" t="s">
        <v>256</v>
      </c>
      <c r="AI69" s="1" t="s">
        <v>257</v>
      </c>
      <c r="AK69" s="1" t="s">
        <v>86</v>
      </c>
      <c r="AL69" s="1" t="s">
        <v>133</v>
      </c>
      <c r="AM69" s="1">
        <v>1</v>
      </c>
      <c r="AN69" s="1">
        <v>0</v>
      </c>
      <c r="AO69" s="1">
        <f t="shared" si="26"/>
        <v>1</v>
      </c>
      <c r="AQ69" s="1" t="s">
        <v>107</v>
      </c>
      <c r="AR69" s="4">
        <f>AR62/$AR$7</f>
        <v>0.22794117647058823</v>
      </c>
      <c r="AS69" s="4">
        <f t="shared" ref="AS69:AU69" si="29">AS62/$AR$7</f>
        <v>0.19852941176470587</v>
      </c>
      <c r="AT69" s="4">
        <f t="shared" si="29"/>
        <v>0.57352941176470584</v>
      </c>
      <c r="AU69" s="4">
        <f t="shared" si="29"/>
        <v>0.4264705882352941</v>
      </c>
    </row>
    <row r="70" spans="1:47" x14ac:dyDescent="0.4">
      <c r="A70" s="1">
        <v>1</v>
      </c>
      <c r="B70" s="1">
        <v>1</v>
      </c>
      <c r="C70" s="1" t="s">
        <v>41</v>
      </c>
      <c r="D70" s="2">
        <v>38834</v>
      </c>
      <c r="E70" s="1">
        <v>117</v>
      </c>
      <c r="F70" s="1">
        <v>3.5</v>
      </c>
      <c r="G70" s="3">
        <v>0.49347222222222226</v>
      </c>
      <c r="H70" s="3">
        <v>0.49381944444444442</v>
      </c>
      <c r="I70" s="3">
        <v>3.4722222222216548E-4</v>
      </c>
      <c r="J70" s="3">
        <v>3.4722222222216548E-4</v>
      </c>
      <c r="K70" s="5">
        <f t="shared" si="24"/>
        <v>30</v>
      </c>
      <c r="L70" s="3">
        <v>1.468750000000002E-2</v>
      </c>
      <c r="N70" s="1" t="s">
        <v>42</v>
      </c>
      <c r="O70" s="1" t="s">
        <v>43</v>
      </c>
      <c r="P70" s="1" t="s">
        <v>227</v>
      </c>
      <c r="Q70" s="1" t="s">
        <v>76</v>
      </c>
      <c r="R70" s="1" t="s">
        <v>76</v>
      </c>
      <c r="S70" s="1" t="s">
        <v>46</v>
      </c>
      <c r="T70" s="1" t="s">
        <v>45</v>
      </c>
      <c r="U70" s="1" t="s">
        <v>156</v>
      </c>
      <c r="V70" s="1" t="s">
        <v>49</v>
      </c>
      <c r="W70" s="1" t="s">
        <v>168</v>
      </c>
      <c r="X70" s="1" t="s">
        <v>96</v>
      </c>
      <c r="AB70" s="1" t="s">
        <v>258</v>
      </c>
      <c r="AC70" s="1">
        <v>0</v>
      </c>
      <c r="AE70" s="1" t="s">
        <v>70</v>
      </c>
      <c r="AF70" s="1" t="s">
        <v>153</v>
      </c>
      <c r="AG70" s="1" t="s">
        <v>186</v>
      </c>
      <c r="AH70" s="1" t="s">
        <v>157</v>
      </c>
      <c r="AI70" s="1" t="s">
        <v>75</v>
      </c>
      <c r="AK70" s="1" t="s">
        <v>116</v>
      </c>
      <c r="AL70" s="1" t="s">
        <v>117</v>
      </c>
      <c r="AM70" s="1">
        <v>3</v>
      </c>
      <c r="AN70" s="1">
        <v>0</v>
      </c>
      <c r="AO70" s="1">
        <f t="shared" si="26"/>
        <v>3</v>
      </c>
      <c r="AQ70" s="1" t="s">
        <v>118</v>
      </c>
      <c r="AR70" s="4">
        <f>AR63/$AR$8</f>
        <v>4.7244094488188976E-2</v>
      </c>
      <c r="AS70" s="4">
        <f t="shared" ref="AS70:AU70" si="30">AS63/$AR$8</f>
        <v>0.13779527559055119</v>
      </c>
      <c r="AT70" s="4">
        <f t="shared" si="30"/>
        <v>0.81496062992125984</v>
      </c>
      <c r="AU70" s="4">
        <f t="shared" si="30"/>
        <v>0.18503937007874016</v>
      </c>
    </row>
    <row r="71" spans="1:47" x14ac:dyDescent="0.4">
      <c r="A71" s="1">
        <v>1</v>
      </c>
      <c r="B71" s="1">
        <v>1</v>
      </c>
      <c r="C71" s="1" t="s">
        <v>41</v>
      </c>
      <c r="D71" s="2">
        <v>38834</v>
      </c>
      <c r="E71" s="1">
        <v>117</v>
      </c>
      <c r="F71" s="1">
        <v>4</v>
      </c>
      <c r="G71" s="3">
        <v>0.50850694444444444</v>
      </c>
      <c r="H71" s="3">
        <v>0.51284722222222223</v>
      </c>
      <c r="I71" s="3">
        <v>4.3402777777777901E-3</v>
      </c>
      <c r="J71" s="3">
        <v>4.3402777777777901E-3</v>
      </c>
      <c r="K71" s="5">
        <f t="shared" si="24"/>
        <v>375</v>
      </c>
      <c r="L71" s="3">
        <v>2.9328703703703662E-2</v>
      </c>
      <c r="N71" s="1" t="s">
        <v>42</v>
      </c>
      <c r="O71" s="1" t="s">
        <v>43</v>
      </c>
      <c r="P71" s="1" t="s">
        <v>227</v>
      </c>
      <c r="Q71" s="1" t="s">
        <v>76</v>
      </c>
      <c r="R71" s="1" t="s">
        <v>76</v>
      </c>
      <c r="S71" s="1" t="s">
        <v>46</v>
      </c>
      <c r="T71" s="1" t="s">
        <v>45</v>
      </c>
      <c r="U71" s="1" t="s">
        <v>156</v>
      </c>
      <c r="V71" s="1" t="s">
        <v>102</v>
      </c>
      <c r="W71" s="1" t="s">
        <v>103</v>
      </c>
      <c r="X71" s="1" t="s">
        <v>96</v>
      </c>
      <c r="Y71" s="1">
        <v>42</v>
      </c>
      <c r="AB71" s="1" t="s">
        <v>185</v>
      </c>
      <c r="AC71" s="1">
        <v>0</v>
      </c>
      <c r="AE71" s="1" t="s">
        <v>70</v>
      </c>
      <c r="AF71" s="1" t="s">
        <v>113</v>
      </c>
      <c r="AG71" s="1" t="s">
        <v>186</v>
      </c>
      <c r="AH71" s="1" t="s">
        <v>157</v>
      </c>
      <c r="AI71" s="1" t="s">
        <v>75</v>
      </c>
      <c r="AK71" s="1" t="s">
        <v>86</v>
      </c>
      <c r="AL71" s="1" t="s">
        <v>133</v>
      </c>
      <c r="AM71" s="1">
        <v>3</v>
      </c>
      <c r="AN71" s="1">
        <v>0</v>
      </c>
      <c r="AO71" s="1">
        <f t="shared" si="26"/>
        <v>3</v>
      </c>
      <c r="AQ71" s="1" t="s">
        <v>188</v>
      </c>
      <c r="AR71" s="4">
        <f>AVERAGE(AR66:AR70)</f>
        <v>0.12442227422679424</v>
      </c>
      <c r="AS71" s="4">
        <f t="shared" ref="AS71:AT71" si="31">AVERAGE(AS66:AS70)</f>
        <v>0.20474462695016746</v>
      </c>
      <c r="AT71" s="4">
        <f t="shared" si="31"/>
        <v>0.67083309882303821</v>
      </c>
      <c r="AU71" s="4">
        <f>AVERAGE(AU66:AU70)</f>
        <v>0.32916690117696168</v>
      </c>
    </row>
    <row r="72" spans="1:47" x14ac:dyDescent="0.4">
      <c r="A72" s="1">
        <v>1</v>
      </c>
      <c r="B72" s="1">
        <v>1</v>
      </c>
      <c r="C72" s="1" t="s">
        <v>41</v>
      </c>
      <c r="D72" s="2">
        <v>38834</v>
      </c>
      <c r="E72" s="1">
        <v>117</v>
      </c>
      <c r="F72" s="1">
        <v>5</v>
      </c>
      <c r="G72" s="3">
        <v>0.54217592592592589</v>
      </c>
      <c r="H72" s="3">
        <v>0.54415509259259254</v>
      </c>
      <c r="I72" s="3">
        <v>1.979166666666643E-3</v>
      </c>
      <c r="J72" s="3">
        <v>1.8171296296295436E-3</v>
      </c>
      <c r="K72" s="5">
        <f t="shared" si="24"/>
        <v>157</v>
      </c>
      <c r="L72" s="3">
        <v>2.2569444444444642E-3</v>
      </c>
      <c r="N72" s="1" t="s">
        <v>42</v>
      </c>
      <c r="O72" s="1" t="s">
        <v>43</v>
      </c>
      <c r="P72" s="1" t="s">
        <v>227</v>
      </c>
      <c r="Q72" s="1" t="s">
        <v>45</v>
      </c>
      <c r="R72" s="1" t="s">
        <v>45</v>
      </c>
      <c r="S72" s="1" t="s">
        <v>46</v>
      </c>
      <c r="T72" s="1" t="s">
        <v>45</v>
      </c>
      <c r="U72" s="1" t="s">
        <v>156</v>
      </c>
      <c r="V72" s="1" t="s">
        <v>49</v>
      </c>
      <c r="W72" s="1" t="s">
        <v>140</v>
      </c>
      <c r="X72" s="1" t="s">
        <v>259</v>
      </c>
      <c r="Y72" s="1" t="s">
        <v>260</v>
      </c>
      <c r="Z72" s="1" t="s">
        <v>261</v>
      </c>
      <c r="AA72" s="1" t="s">
        <v>262</v>
      </c>
      <c r="AB72" s="1" t="s">
        <v>263</v>
      </c>
      <c r="AC72" s="1">
        <v>0</v>
      </c>
      <c r="AD72" s="1" t="s">
        <v>56</v>
      </c>
      <c r="AE72" s="1" t="s">
        <v>181</v>
      </c>
      <c r="AG72" s="1" t="s">
        <v>264</v>
      </c>
      <c r="AH72" s="1" t="s">
        <v>115</v>
      </c>
      <c r="AI72" s="1" t="s">
        <v>75</v>
      </c>
      <c r="AK72" s="1" t="s">
        <v>86</v>
      </c>
      <c r="AL72" s="1" t="s">
        <v>133</v>
      </c>
      <c r="AM72" s="1">
        <v>1</v>
      </c>
      <c r="AN72" s="1">
        <v>0</v>
      </c>
      <c r="AO72" s="1">
        <f t="shared" si="26"/>
        <v>1</v>
      </c>
      <c r="AQ72" s="1" t="s">
        <v>189</v>
      </c>
      <c r="AR72" s="6">
        <f>STDEV(AR66:AR70)</f>
        <v>7.432249852407509E-2</v>
      </c>
      <c r="AS72" s="6">
        <f t="shared" ref="AS72:AT72" si="32">STDEV(AS66:AS70)</f>
        <v>5.9226111838353461E-2</v>
      </c>
      <c r="AT72" s="6">
        <f t="shared" si="32"/>
        <v>8.8411573879767238E-2</v>
      </c>
      <c r="AU72" s="6">
        <f>STDEV(AU66:AU70)</f>
        <v>8.8411573879766295E-2</v>
      </c>
    </row>
    <row r="73" spans="1:47" x14ac:dyDescent="0.4">
      <c r="A73" s="1">
        <v>1</v>
      </c>
      <c r="B73" s="1">
        <v>1</v>
      </c>
      <c r="C73" s="1" t="s">
        <v>41</v>
      </c>
      <c r="D73" s="2">
        <v>38834</v>
      </c>
      <c r="E73" s="1">
        <v>117</v>
      </c>
      <c r="F73" s="1">
        <v>6</v>
      </c>
      <c r="G73" s="3">
        <v>0.546412037037037</v>
      </c>
      <c r="H73" s="3">
        <v>0.54729166666666662</v>
      </c>
      <c r="I73" s="3">
        <v>8.796296296296191E-4</v>
      </c>
      <c r="J73" s="3">
        <v>8.796296296296191E-4</v>
      </c>
      <c r="K73" s="5">
        <f t="shared" si="24"/>
        <v>76</v>
      </c>
      <c r="L73" s="3">
        <v>3.0474537037037064E-2</v>
      </c>
      <c r="N73" s="1" t="s">
        <v>42</v>
      </c>
      <c r="O73" s="1" t="s">
        <v>43</v>
      </c>
      <c r="P73" s="1" t="s">
        <v>227</v>
      </c>
      <c r="Q73" s="1" t="s">
        <v>76</v>
      </c>
      <c r="R73" s="1" t="s">
        <v>76</v>
      </c>
      <c r="S73" s="1" t="s">
        <v>46</v>
      </c>
      <c r="T73" s="1" t="s">
        <v>45</v>
      </c>
      <c r="U73" s="1" t="s">
        <v>156</v>
      </c>
      <c r="V73" s="1" t="s">
        <v>49</v>
      </c>
      <c r="W73" s="1" t="s">
        <v>233</v>
      </c>
      <c r="X73" s="1" t="s">
        <v>234</v>
      </c>
      <c r="Y73" s="1" t="s">
        <v>235</v>
      </c>
      <c r="Z73" s="1" t="s">
        <v>236</v>
      </c>
      <c r="AA73" s="1" t="s">
        <v>221</v>
      </c>
      <c r="AB73" s="1" t="s">
        <v>237</v>
      </c>
      <c r="AC73" s="1">
        <v>0</v>
      </c>
      <c r="AD73" s="1" t="s">
        <v>56</v>
      </c>
      <c r="AE73" s="1" t="s">
        <v>83</v>
      </c>
      <c r="AF73" s="1" t="s">
        <v>113</v>
      </c>
      <c r="AG73" s="1" t="s">
        <v>252</v>
      </c>
      <c r="AH73" s="1" t="s">
        <v>206</v>
      </c>
      <c r="AI73" s="1" t="s">
        <v>75</v>
      </c>
      <c r="AK73" s="1" t="s">
        <v>61</v>
      </c>
      <c r="AL73" s="1" t="s">
        <v>133</v>
      </c>
      <c r="AM73" s="1">
        <v>2</v>
      </c>
      <c r="AN73" s="1">
        <v>0</v>
      </c>
      <c r="AO73" s="1">
        <f t="shared" si="26"/>
        <v>2</v>
      </c>
      <c r="AQ73" s="1" t="s">
        <v>190</v>
      </c>
    </row>
    <row r="74" spans="1:47" x14ac:dyDescent="0.4">
      <c r="A74" s="1">
        <v>1</v>
      </c>
      <c r="B74" s="1">
        <v>1</v>
      </c>
      <c r="C74" s="1" t="s">
        <v>41</v>
      </c>
      <c r="D74" s="2">
        <v>38834</v>
      </c>
      <c r="E74" s="1">
        <v>117</v>
      </c>
      <c r="F74" s="1">
        <v>7</v>
      </c>
      <c r="G74" s="3">
        <v>0.57776620370370368</v>
      </c>
      <c r="H74" s="3">
        <v>0.57920138888888884</v>
      </c>
      <c r="I74" s="3">
        <v>1.4351851851851505E-3</v>
      </c>
      <c r="J74" s="3">
        <v>1.4351851851851505E-3</v>
      </c>
      <c r="K74" s="5">
        <f t="shared" si="24"/>
        <v>124</v>
      </c>
      <c r="L74" s="3">
        <v>2.9317129629629735E-2</v>
      </c>
      <c r="N74" s="1" t="s">
        <v>42</v>
      </c>
      <c r="O74" s="1" t="s">
        <v>43</v>
      </c>
      <c r="P74" s="1" t="s">
        <v>227</v>
      </c>
      <c r="Q74" s="1" t="s">
        <v>76</v>
      </c>
      <c r="R74" s="1" t="s">
        <v>76</v>
      </c>
      <c r="S74" s="1" t="s">
        <v>46</v>
      </c>
      <c r="T74" s="1" t="s">
        <v>47</v>
      </c>
      <c r="U74" s="1" t="s">
        <v>156</v>
      </c>
      <c r="V74" s="1" t="s">
        <v>49</v>
      </c>
      <c r="W74" s="1" t="s">
        <v>50</v>
      </c>
      <c r="X74" s="1" t="s">
        <v>218</v>
      </c>
      <c r="Y74" s="1" t="s">
        <v>219</v>
      </c>
      <c r="Z74" s="1" t="s">
        <v>220</v>
      </c>
      <c r="AA74" s="1" t="s">
        <v>221</v>
      </c>
      <c r="AB74" s="1" t="s">
        <v>222</v>
      </c>
      <c r="AC74" s="1">
        <v>0</v>
      </c>
      <c r="AD74" s="1" t="s">
        <v>56</v>
      </c>
      <c r="AE74" s="1" t="s">
        <v>83</v>
      </c>
      <c r="AF74" s="1" t="s">
        <v>113</v>
      </c>
      <c r="AG74" s="1" t="s">
        <v>265</v>
      </c>
      <c r="AH74" s="1" t="s">
        <v>115</v>
      </c>
      <c r="AI74" s="1" t="s">
        <v>75</v>
      </c>
      <c r="AK74" s="1" t="s">
        <v>116</v>
      </c>
      <c r="AL74" s="1" t="s">
        <v>174</v>
      </c>
      <c r="AM74" s="1">
        <v>2</v>
      </c>
      <c r="AN74" s="1">
        <v>0</v>
      </c>
      <c r="AO74" s="1">
        <f t="shared" si="26"/>
        <v>2</v>
      </c>
      <c r="AQ74" s="1" t="s">
        <v>73</v>
      </c>
      <c r="AR74" s="5">
        <f>SUMIF($AE$2:$AE$1431, "YOR", $K$2:$K$1431)</f>
        <v>55036</v>
      </c>
      <c r="AS74" s="5">
        <f>SUMIF($AE$2:$AE$1431, "YOR_Lumin", $K$2:$K$1431)</f>
        <v>180650</v>
      </c>
      <c r="AT74" s="5">
        <f t="shared" ref="AT74:AT79" si="33">AR13-SUM(AR74:AS74)</f>
        <v>114269</v>
      </c>
      <c r="AU74" s="5">
        <f>SUM(AR74:AS74)</f>
        <v>235686</v>
      </c>
    </row>
    <row r="75" spans="1:47" x14ac:dyDescent="0.4">
      <c r="A75" s="1">
        <v>1</v>
      </c>
      <c r="B75" s="1">
        <v>1</v>
      </c>
      <c r="C75" s="1" t="s">
        <v>41</v>
      </c>
      <c r="D75" s="2">
        <v>38834</v>
      </c>
      <c r="E75" s="1">
        <v>117</v>
      </c>
      <c r="F75" s="1">
        <v>7.5</v>
      </c>
      <c r="G75" s="3">
        <v>0.60851851851851857</v>
      </c>
      <c r="H75" s="3">
        <v>0.60854166666666665</v>
      </c>
      <c r="I75" s="3">
        <v>2.3148148148077752E-5</v>
      </c>
      <c r="J75" s="3">
        <v>2.3148148148077752E-5</v>
      </c>
      <c r="K75" s="5">
        <f t="shared" si="24"/>
        <v>2</v>
      </c>
      <c r="L75" s="3">
        <v>3.3564814814814881E-3</v>
      </c>
      <c r="N75" s="1" t="s">
        <v>251</v>
      </c>
      <c r="O75" s="1" t="s">
        <v>43</v>
      </c>
      <c r="P75" s="1" t="s">
        <v>227</v>
      </c>
      <c r="Q75" s="1" t="s">
        <v>76</v>
      </c>
      <c r="R75" s="1" t="s">
        <v>76</v>
      </c>
      <c r="S75" s="1" t="s">
        <v>46</v>
      </c>
      <c r="AB75" s="1" t="s">
        <v>93</v>
      </c>
      <c r="AC75" s="1">
        <v>1</v>
      </c>
      <c r="AK75" s="1" t="s">
        <v>61</v>
      </c>
      <c r="AL75" s="1" t="s">
        <v>72</v>
      </c>
      <c r="AN75" s="1">
        <v>1</v>
      </c>
      <c r="AO75" s="1">
        <f t="shared" si="26"/>
        <v>1</v>
      </c>
      <c r="AQ75" s="1" t="s">
        <v>88</v>
      </c>
      <c r="AR75" s="1">
        <f>SUMIFS($K$2:$K$1431, $AE$2:$AE$1431, "YOR", $B$2:$B$1431, "1")</f>
        <v>4555</v>
      </c>
      <c r="AS75" s="1">
        <f>SUMIFS($K$2:$K$1431, $AE$2:$AE$1431, "YOR_Lumin", $B$2:$B$1431, "1")</f>
        <v>42435</v>
      </c>
      <c r="AT75" s="5">
        <f t="shared" si="33"/>
        <v>25833</v>
      </c>
      <c r="AU75" s="1">
        <f t="shared" ref="AU75:AU79" si="34">SUM(AR75:AS75)</f>
        <v>46990</v>
      </c>
    </row>
    <row r="76" spans="1:47" x14ac:dyDescent="0.4">
      <c r="A76" s="1">
        <v>1</v>
      </c>
      <c r="B76" s="1">
        <v>1</v>
      </c>
      <c r="C76" s="1" t="s">
        <v>41</v>
      </c>
      <c r="D76" s="2">
        <v>38834</v>
      </c>
      <c r="E76" s="1">
        <v>117</v>
      </c>
      <c r="F76" s="1">
        <v>8</v>
      </c>
      <c r="G76" s="3">
        <v>0.61189814814814814</v>
      </c>
      <c r="H76" s="3">
        <v>0.61417824074074068</v>
      </c>
      <c r="I76" s="3">
        <v>2.2800925925925419E-3</v>
      </c>
      <c r="J76" s="3">
        <v>2.2800925925925419E-3</v>
      </c>
      <c r="K76" s="5">
        <f t="shared" si="24"/>
        <v>197</v>
      </c>
      <c r="L76" s="3">
        <v>1.2025462962963029E-2</v>
      </c>
      <c r="N76" s="1" t="s">
        <v>251</v>
      </c>
      <c r="O76" s="1" t="s">
        <v>43</v>
      </c>
      <c r="P76" s="1" t="s">
        <v>227</v>
      </c>
      <c r="Q76" s="1" t="s">
        <v>45</v>
      </c>
      <c r="R76" s="1" t="s">
        <v>191</v>
      </c>
      <c r="S76" s="1" t="s">
        <v>46</v>
      </c>
      <c r="T76" s="1" t="s">
        <v>47</v>
      </c>
      <c r="U76" s="1" t="s">
        <v>66</v>
      </c>
      <c r="V76" s="1" t="s">
        <v>102</v>
      </c>
      <c r="W76" s="1" t="s">
        <v>103</v>
      </c>
      <c r="X76" s="1" t="s">
        <v>96</v>
      </c>
      <c r="Y76" s="1" t="s">
        <v>52</v>
      </c>
      <c r="Z76" s="1" t="s">
        <v>53</v>
      </c>
      <c r="AA76" s="1" t="s">
        <v>214</v>
      </c>
      <c r="AB76" s="1" t="s">
        <v>215</v>
      </c>
      <c r="AC76" s="1">
        <v>0</v>
      </c>
      <c r="AD76" s="1" t="s">
        <v>56</v>
      </c>
      <c r="AE76" s="1" t="s">
        <v>70</v>
      </c>
      <c r="AG76" s="1" t="s">
        <v>216</v>
      </c>
      <c r="AH76" s="1" t="s">
        <v>157</v>
      </c>
      <c r="AI76" s="1" t="s">
        <v>257</v>
      </c>
      <c r="AK76" s="1" t="s">
        <v>86</v>
      </c>
      <c r="AL76" s="1" t="s">
        <v>133</v>
      </c>
      <c r="AM76" s="1">
        <v>2</v>
      </c>
      <c r="AN76" s="1">
        <v>0</v>
      </c>
      <c r="AO76" s="1">
        <f t="shared" si="26"/>
        <v>2</v>
      </c>
      <c r="AQ76" s="1" t="s">
        <v>94</v>
      </c>
      <c r="AR76" s="1">
        <f>SUMIFS($K$2:$K$1431, $AE$2:$AE$1431, "YOR", $B$2:$B$1431, "2")</f>
        <v>7616</v>
      </c>
      <c r="AS76" s="1">
        <f>SUMIFS($K$2:$K$1431, $AE$2:$AE$1431, "YOR_Lumin", $B$2:$B$1431, "2")</f>
        <v>56075</v>
      </c>
      <c r="AT76" s="5">
        <f t="shared" si="33"/>
        <v>17289</v>
      </c>
      <c r="AU76" s="1">
        <f t="shared" si="34"/>
        <v>63691</v>
      </c>
    </row>
    <row r="77" spans="1:47" x14ac:dyDescent="0.4">
      <c r="A77" s="1">
        <v>1</v>
      </c>
      <c r="B77" s="1">
        <v>1</v>
      </c>
      <c r="C77" s="1" t="s">
        <v>41</v>
      </c>
      <c r="D77" s="2">
        <v>38834</v>
      </c>
      <c r="E77" s="1">
        <v>117</v>
      </c>
      <c r="F77" s="1">
        <v>8.5</v>
      </c>
      <c r="G77" s="3">
        <v>0.62620370370370371</v>
      </c>
      <c r="H77" s="3">
        <v>0.63112268518518522</v>
      </c>
      <c r="I77" s="3">
        <v>4.9189814814815103E-3</v>
      </c>
      <c r="J77" s="3">
        <v>1.6435185185184054E-3</v>
      </c>
      <c r="K77" s="5">
        <f t="shared" si="24"/>
        <v>142</v>
      </c>
      <c r="L77" s="3">
        <v>5.6712962962962576E-3</v>
      </c>
      <c r="N77" s="1" t="s">
        <v>251</v>
      </c>
      <c r="O77" s="1" t="s">
        <v>43</v>
      </c>
      <c r="P77" s="1" t="s">
        <v>227</v>
      </c>
      <c r="Q77" s="1" t="s">
        <v>132</v>
      </c>
      <c r="R77" s="1" t="s">
        <v>191</v>
      </c>
      <c r="S77" s="1" t="s">
        <v>46</v>
      </c>
      <c r="T77" s="1" t="s">
        <v>45</v>
      </c>
      <c r="U77" s="1" t="s">
        <v>156</v>
      </c>
      <c r="V77" s="1" t="s">
        <v>102</v>
      </c>
      <c r="W77" s="1" t="s">
        <v>231</v>
      </c>
      <c r="X77" s="1" t="s">
        <v>96</v>
      </c>
      <c r="AB77" s="1" t="s">
        <v>104</v>
      </c>
      <c r="AC77" s="1">
        <v>0</v>
      </c>
      <c r="AE77" s="1" t="s">
        <v>70</v>
      </c>
      <c r="AF77" s="1" t="s">
        <v>113</v>
      </c>
      <c r="AG77" s="1" t="s">
        <v>266</v>
      </c>
      <c r="AH77" s="1" t="s">
        <v>157</v>
      </c>
      <c r="AI77" s="1" t="s">
        <v>255</v>
      </c>
      <c r="AK77" s="1" t="s">
        <v>116</v>
      </c>
      <c r="AL77" s="1" t="s">
        <v>117</v>
      </c>
      <c r="AM77" s="1">
        <v>2</v>
      </c>
      <c r="AN77" s="1">
        <v>0</v>
      </c>
      <c r="AO77" s="1">
        <f t="shared" si="26"/>
        <v>2</v>
      </c>
      <c r="AQ77" s="1" t="s">
        <v>100</v>
      </c>
      <c r="AR77" s="1">
        <f>SUMIFS($K$2:$K$1431, $AE$2:$AE$1431, "YOR", $B$2:$B$1431, "3")</f>
        <v>16478</v>
      </c>
      <c r="AS77" s="1">
        <f>SUMIFS($K$2:$K$1431, $AE$2:$AE$1431, "YOR_Lumin", $B$2:$B$1431, "3")</f>
        <v>35723</v>
      </c>
      <c r="AT77" s="5">
        <f t="shared" si="33"/>
        <v>32020</v>
      </c>
      <c r="AU77" s="1">
        <f t="shared" si="34"/>
        <v>52201</v>
      </c>
    </row>
    <row r="78" spans="1:47" x14ac:dyDescent="0.4">
      <c r="A78" s="1">
        <v>1</v>
      </c>
      <c r="B78" s="1">
        <v>1</v>
      </c>
      <c r="C78" s="1" t="s">
        <v>41</v>
      </c>
      <c r="D78" s="2">
        <v>38834</v>
      </c>
      <c r="E78" s="1">
        <v>117</v>
      </c>
      <c r="F78" s="1">
        <v>9</v>
      </c>
      <c r="G78" s="3">
        <v>0.63679398148148147</v>
      </c>
      <c r="H78" s="3">
        <v>0.67339120370370376</v>
      </c>
      <c r="I78" s="3">
        <v>3.6597222222222281E-2</v>
      </c>
      <c r="J78" s="3">
        <v>3.0150462962962976E-2</v>
      </c>
      <c r="K78" s="5">
        <f t="shared" si="24"/>
        <v>2605</v>
      </c>
      <c r="L78" s="3" t="s">
        <v>120</v>
      </c>
      <c r="N78" s="1" t="s">
        <v>251</v>
      </c>
      <c r="O78" s="1" t="s">
        <v>43</v>
      </c>
      <c r="P78" s="1" t="s">
        <v>227</v>
      </c>
      <c r="Q78" s="1" t="s">
        <v>45</v>
      </c>
      <c r="R78" s="1" t="s">
        <v>45</v>
      </c>
      <c r="S78" s="1" t="s">
        <v>46</v>
      </c>
      <c r="T78" s="1" t="s">
        <v>47</v>
      </c>
      <c r="U78" s="1" t="s">
        <v>156</v>
      </c>
      <c r="V78" s="1" t="s">
        <v>49</v>
      </c>
      <c r="W78" s="1" t="s">
        <v>50</v>
      </c>
      <c r="X78" s="1" t="s">
        <v>158</v>
      </c>
      <c r="Y78" s="1" t="s">
        <v>159</v>
      </c>
      <c r="Z78" s="1" t="s">
        <v>160</v>
      </c>
      <c r="AA78" s="1" t="s">
        <v>161</v>
      </c>
      <c r="AB78" s="1" t="s">
        <v>162</v>
      </c>
      <c r="AC78" s="1">
        <v>0</v>
      </c>
      <c r="AD78" s="1" t="s">
        <v>56</v>
      </c>
      <c r="AE78" s="1" t="s">
        <v>83</v>
      </c>
      <c r="AF78" s="1" t="s">
        <v>113</v>
      </c>
      <c r="AG78" s="1" t="s">
        <v>267</v>
      </c>
      <c r="AH78" s="1" t="s">
        <v>165</v>
      </c>
      <c r="AI78" s="1" t="s">
        <v>255</v>
      </c>
      <c r="AK78" s="1" t="s">
        <v>116</v>
      </c>
      <c r="AL78" s="1" t="s">
        <v>117</v>
      </c>
      <c r="AM78" s="1">
        <v>1</v>
      </c>
      <c r="AN78" s="1">
        <v>0</v>
      </c>
      <c r="AO78" s="1">
        <f t="shared" si="26"/>
        <v>1</v>
      </c>
      <c r="AQ78" s="1" t="s">
        <v>107</v>
      </c>
      <c r="AR78" s="1">
        <f>SUMIFS($K$2:$K$1431, $AE$2:$AE$1431, "YOR", $B$2:$B$1431, "S")</f>
        <v>19683</v>
      </c>
      <c r="AS78" s="1">
        <f>SUMIFS($K$2:$K$1431, $AE$2:$AE$1431, "YOR_Lumin", $B$2:$B$1431, "S")</f>
        <v>12175</v>
      </c>
      <c r="AT78" s="5">
        <f t="shared" si="33"/>
        <v>4741</v>
      </c>
      <c r="AU78" s="1">
        <f t="shared" si="34"/>
        <v>31858</v>
      </c>
    </row>
    <row r="79" spans="1:47" x14ac:dyDescent="0.4">
      <c r="A79" s="1">
        <v>1</v>
      </c>
      <c r="B79" s="1">
        <v>1</v>
      </c>
      <c r="C79" s="1" t="s">
        <v>41</v>
      </c>
      <c r="D79" s="2">
        <v>38835</v>
      </c>
      <c r="E79" s="1">
        <v>118</v>
      </c>
      <c r="F79" s="1">
        <v>0.5</v>
      </c>
      <c r="G79" s="3">
        <v>0.31614583333333335</v>
      </c>
      <c r="H79" s="3">
        <v>0.31621527777777775</v>
      </c>
      <c r="I79" s="3">
        <v>6.9444444444399789E-5</v>
      </c>
      <c r="J79" s="3">
        <v>6.9444444444399789E-5</v>
      </c>
      <c r="K79" s="5">
        <f t="shared" si="24"/>
        <v>6</v>
      </c>
      <c r="L79" s="3">
        <v>2.3263888888889195E-3</v>
      </c>
      <c r="N79" s="1" t="s">
        <v>75</v>
      </c>
      <c r="O79" s="1" t="s">
        <v>43</v>
      </c>
      <c r="P79" s="1" t="s">
        <v>227</v>
      </c>
      <c r="Q79" s="1" t="s">
        <v>132</v>
      </c>
      <c r="R79" s="1" t="s">
        <v>132</v>
      </c>
      <c r="S79" s="1" t="s">
        <v>46</v>
      </c>
      <c r="AB79" s="1" t="s">
        <v>93</v>
      </c>
      <c r="AC79" s="1">
        <v>1</v>
      </c>
      <c r="AK79" s="1" t="s">
        <v>86</v>
      </c>
      <c r="AL79" s="1" t="s">
        <v>133</v>
      </c>
      <c r="AN79" s="1">
        <v>1</v>
      </c>
      <c r="AO79" s="1">
        <f t="shared" si="26"/>
        <v>1</v>
      </c>
      <c r="AQ79" s="1" t="s">
        <v>118</v>
      </c>
      <c r="AR79" s="1">
        <f>SUMIFS($K$2:$K$1431, $AE$2:$AE$1431, "YOR", $B$2:$B$1431, "W")</f>
        <v>6704</v>
      </c>
      <c r="AS79" s="1">
        <f>SUMIFS($K$2:$K$1431, $AE$2:$AE$1431, "YOR_Lumin", $B$2:$B$1431, "W")</f>
        <v>34242</v>
      </c>
      <c r="AT79" s="5">
        <f t="shared" si="33"/>
        <v>34386</v>
      </c>
      <c r="AU79" s="1">
        <f t="shared" si="34"/>
        <v>40946</v>
      </c>
    </row>
    <row r="80" spans="1:47" x14ac:dyDescent="0.4">
      <c r="A80" s="1">
        <v>1</v>
      </c>
      <c r="B80" s="1">
        <v>1</v>
      </c>
      <c r="C80" s="1" t="s">
        <v>41</v>
      </c>
      <c r="D80" s="2">
        <v>38835</v>
      </c>
      <c r="E80" s="1">
        <v>118</v>
      </c>
      <c r="F80" s="1">
        <v>1</v>
      </c>
      <c r="G80" s="3">
        <v>0.31854166666666667</v>
      </c>
      <c r="H80" s="3">
        <v>0.32626157407407408</v>
      </c>
      <c r="I80" s="3">
        <v>7.7199074074074114E-3</v>
      </c>
      <c r="J80" s="3">
        <v>6.9675925925926085E-3</v>
      </c>
      <c r="K80" s="5">
        <f t="shared" si="24"/>
        <v>602</v>
      </c>
      <c r="L80" s="3">
        <v>6.2337962962962956E-2</v>
      </c>
      <c r="N80" s="1" t="s">
        <v>75</v>
      </c>
      <c r="O80" s="1" t="s">
        <v>43</v>
      </c>
      <c r="P80" s="1" t="s">
        <v>227</v>
      </c>
      <c r="Q80" s="1" t="s">
        <v>76</v>
      </c>
      <c r="R80" s="1" t="s">
        <v>76</v>
      </c>
      <c r="S80" s="1" t="s">
        <v>46</v>
      </c>
      <c r="T80" s="1" t="s">
        <v>47</v>
      </c>
      <c r="U80" s="1" t="s">
        <v>48</v>
      </c>
      <c r="V80" s="1" t="s">
        <v>49</v>
      </c>
      <c r="W80" s="1" t="s">
        <v>140</v>
      </c>
      <c r="X80" s="1" t="s">
        <v>246</v>
      </c>
      <c r="Y80" s="1" t="s">
        <v>247</v>
      </c>
      <c r="Z80" s="1" t="s">
        <v>248</v>
      </c>
      <c r="AA80" s="1">
        <v>28</v>
      </c>
      <c r="AB80" s="1" t="s">
        <v>249</v>
      </c>
      <c r="AC80" s="1">
        <v>0</v>
      </c>
      <c r="AD80" s="1" t="s">
        <v>56</v>
      </c>
      <c r="AE80" s="1" t="s">
        <v>83</v>
      </c>
      <c r="AF80" s="1" t="s">
        <v>213</v>
      </c>
      <c r="AG80" s="1" t="s">
        <v>250</v>
      </c>
      <c r="AH80" s="1" t="s">
        <v>59</v>
      </c>
      <c r="AI80" s="1" t="s">
        <v>75</v>
      </c>
      <c r="AK80" s="1" t="s">
        <v>116</v>
      </c>
      <c r="AL80" s="1" t="s">
        <v>117</v>
      </c>
      <c r="AM80" s="1">
        <v>2</v>
      </c>
      <c r="AN80" s="1">
        <v>0</v>
      </c>
      <c r="AO80" s="1">
        <f t="shared" si="26"/>
        <v>2</v>
      </c>
      <c r="AQ80" s="1" t="s">
        <v>207</v>
      </c>
      <c r="AR80" s="5"/>
      <c r="AS80" s="5"/>
      <c r="AT80" s="5"/>
    </row>
    <row r="81" spans="1:49" x14ac:dyDescent="0.4">
      <c r="A81" s="1">
        <v>1</v>
      </c>
      <c r="B81" s="1">
        <v>1</v>
      </c>
      <c r="C81" s="1" t="s">
        <v>41</v>
      </c>
      <c r="D81" s="2">
        <v>38835</v>
      </c>
      <c r="E81" s="1">
        <v>118</v>
      </c>
      <c r="F81" s="1">
        <v>2.5</v>
      </c>
      <c r="G81" s="3">
        <v>0.38859953703703703</v>
      </c>
      <c r="H81" s="3">
        <v>0.38939814814814816</v>
      </c>
      <c r="I81" s="3">
        <v>7.9861111111112493E-4</v>
      </c>
      <c r="J81" s="3">
        <v>7.9861111111112493E-4</v>
      </c>
      <c r="K81" s="5">
        <f t="shared" si="24"/>
        <v>69</v>
      </c>
      <c r="L81" s="3">
        <v>2.2361111111111054E-2</v>
      </c>
      <c r="N81" s="1" t="s">
        <v>42</v>
      </c>
      <c r="O81" s="1" t="s">
        <v>43</v>
      </c>
      <c r="P81" s="1" t="s">
        <v>227</v>
      </c>
      <c r="Q81" s="1" t="s">
        <v>45</v>
      </c>
      <c r="R81" s="1" t="s">
        <v>45</v>
      </c>
      <c r="S81" s="1" t="s">
        <v>46</v>
      </c>
      <c r="T81" s="1" t="s">
        <v>45</v>
      </c>
      <c r="U81" s="1" t="s">
        <v>66</v>
      </c>
      <c r="V81" s="1" t="s">
        <v>102</v>
      </c>
      <c r="W81" s="1" t="s">
        <v>103</v>
      </c>
      <c r="X81" s="1" t="s">
        <v>96</v>
      </c>
      <c r="AB81" s="1" t="s">
        <v>104</v>
      </c>
      <c r="AC81" s="1">
        <v>0</v>
      </c>
      <c r="AE81" s="1" t="s">
        <v>70</v>
      </c>
      <c r="AH81" s="1" t="s">
        <v>157</v>
      </c>
      <c r="AI81" s="1" t="s">
        <v>71</v>
      </c>
      <c r="AK81" s="1" t="s">
        <v>86</v>
      </c>
      <c r="AL81" s="1" t="s">
        <v>133</v>
      </c>
      <c r="AN81" s="1">
        <v>1</v>
      </c>
      <c r="AO81" s="1">
        <f t="shared" si="26"/>
        <v>1</v>
      </c>
      <c r="AQ81" s="1" t="s">
        <v>73</v>
      </c>
      <c r="AR81" s="4">
        <f>AR74/$AR$13</f>
        <v>0.15726593419153892</v>
      </c>
      <c r="AS81" s="4">
        <f>AS74/$AR$13</f>
        <v>0.51620922690060156</v>
      </c>
      <c r="AT81" s="4">
        <f>AT74/$AR$13</f>
        <v>0.3265248389078596</v>
      </c>
      <c r="AU81" s="4">
        <f>AU74/$AR$13</f>
        <v>0.67347516109214045</v>
      </c>
    </row>
    <row r="82" spans="1:49" x14ac:dyDescent="0.4">
      <c r="A82" s="1">
        <v>1</v>
      </c>
      <c r="B82" s="1">
        <v>1</v>
      </c>
      <c r="C82" s="1" t="s">
        <v>41</v>
      </c>
      <c r="D82" s="2">
        <v>38835</v>
      </c>
      <c r="E82" s="1">
        <v>118</v>
      </c>
      <c r="F82" s="1">
        <v>3</v>
      </c>
      <c r="G82" s="3">
        <v>0.41175925925925921</v>
      </c>
      <c r="H82" s="3">
        <v>0.42516203703703703</v>
      </c>
      <c r="I82" s="3">
        <v>1.3402777777777819E-2</v>
      </c>
      <c r="J82" s="3">
        <v>1.0243055555555547E-2</v>
      </c>
      <c r="K82" s="5">
        <f t="shared" si="24"/>
        <v>885</v>
      </c>
      <c r="L82" s="3">
        <v>5.8321759259259254E-2</v>
      </c>
      <c r="N82" s="1" t="s">
        <v>251</v>
      </c>
      <c r="O82" s="1" t="s">
        <v>43</v>
      </c>
      <c r="P82" s="1" t="s">
        <v>227</v>
      </c>
      <c r="Q82" s="1" t="s">
        <v>76</v>
      </c>
      <c r="R82" s="1" t="s">
        <v>76</v>
      </c>
      <c r="S82" s="1" t="s">
        <v>46</v>
      </c>
      <c r="T82" s="1" t="s">
        <v>45</v>
      </c>
      <c r="U82" s="1" t="s">
        <v>156</v>
      </c>
      <c r="V82" s="1" t="s">
        <v>49</v>
      </c>
      <c r="W82" s="1" t="s">
        <v>268</v>
      </c>
      <c r="X82" s="1" t="s">
        <v>269</v>
      </c>
      <c r="Y82" s="1" t="s">
        <v>270</v>
      </c>
      <c r="Z82" s="1" t="s">
        <v>271</v>
      </c>
      <c r="AA82" s="1" t="s">
        <v>272</v>
      </c>
      <c r="AB82" s="1" t="s">
        <v>273</v>
      </c>
      <c r="AC82" s="1">
        <v>0</v>
      </c>
      <c r="AD82" s="1" t="s">
        <v>56</v>
      </c>
      <c r="AE82" s="1" t="s">
        <v>57</v>
      </c>
      <c r="AF82" s="1" t="s">
        <v>163</v>
      </c>
      <c r="AG82" s="1" t="s">
        <v>274</v>
      </c>
      <c r="AH82" s="1" t="s">
        <v>59</v>
      </c>
      <c r="AI82" s="1" t="s">
        <v>255</v>
      </c>
      <c r="AK82" s="1" t="s">
        <v>116</v>
      </c>
      <c r="AL82" s="1" t="s">
        <v>117</v>
      </c>
      <c r="AM82" s="1">
        <v>1</v>
      </c>
      <c r="AN82" s="1">
        <v>0</v>
      </c>
      <c r="AO82" s="1">
        <f t="shared" si="26"/>
        <v>1</v>
      </c>
      <c r="AQ82" s="1" t="s">
        <v>88</v>
      </c>
      <c r="AR82" s="4">
        <f>AR75/$AR$14</f>
        <v>6.2548919984070972E-2</v>
      </c>
      <c r="AS82" s="4">
        <f t="shared" ref="AS82:AU82" si="35">AS75/$AR$14</f>
        <v>0.58271425236532415</v>
      </c>
      <c r="AT82" s="4">
        <f t="shared" si="35"/>
        <v>0.35473682765060488</v>
      </c>
      <c r="AU82" s="4">
        <f t="shared" si="35"/>
        <v>0.64526317234939512</v>
      </c>
    </row>
    <row r="83" spans="1:49" x14ac:dyDescent="0.4">
      <c r="A83" s="1">
        <v>1</v>
      </c>
      <c r="B83" s="1">
        <v>1</v>
      </c>
      <c r="C83" s="1" t="s">
        <v>41</v>
      </c>
      <c r="D83" s="2">
        <v>38835</v>
      </c>
      <c r="E83" s="1">
        <v>118</v>
      </c>
      <c r="F83" s="1">
        <v>6</v>
      </c>
      <c r="G83" s="3">
        <v>0.48348379629629629</v>
      </c>
      <c r="H83" s="3">
        <v>0.48693287037037036</v>
      </c>
      <c r="I83" s="3">
        <v>3.4490740740740766E-3</v>
      </c>
      <c r="J83" s="3">
        <v>3.4490740740740766E-3</v>
      </c>
      <c r="K83" s="5">
        <f t="shared" si="24"/>
        <v>298</v>
      </c>
      <c r="L83" s="3">
        <v>1.1342592592592571E-2</v>
      </c>
      <c r="N83" s="1" t="s">
        <v>251</v>
      </c>
      <c r="O83" s="1" t="s">
        <v>43</v>
      </c>
      <c r="P83" s="1" t="s">
        <v>227</v>
      </c>
      <c r="Q83" s="1" t="s">
        <v>45</v>
      </c>
      <c r="R83" s="1" t="s">
        <v>76</v>
      </c>
      <c r="S83" s="1" t="s">
        <v>46</v>
      </c>
      <c r="T83" s="1" t="s">
        <v>47</v>
      </c>
      <c r="U83" s="1" t="s">
        <v>156</v>
      </c>
      <c r="V83" s="1" t="s">
        <v>49</v>
      </c>
      <c r="W83" s="1" t="s">
        <v>77</v>
      </c>
      <c r="X83" s="1" t="s">
        <v>275</v>
      </c>
      <c r="Y83" s="1" t="s">
        <v>276</v>
      </c>
      <c r="Z83" s="1" t="s">
        <v>277</v>
      </c>
      <c r="AA83" s="1" t="s">
        <v>278</v>
      </c>
      <c r="AB83" s="1" t="s">
        <v>279</v>
      </c>
      <c r="AC83" s="1">
        <v>0</v>
      </c>
      <c r="AD83" s="1" t="s">
        <v>56</v>
      </c>
      <c r="AE83" s="1" t="s">
        <v>57</v>
      </c>
      <c r="AG83" s="1" t="s">
        <v>280</v>
      </c>
      <c r="AH83" s="1" t="s">
        <v>115</v>
      </c>
      <c r="AI83" s="1" t="s">
        <v>255</v>
      </c>
      <c r="AK83" s="1" t="s">
        <v>86</v>
      </c>
      <c r="AL83" s="1" t="s">
        <v>133</v>
      </c>
      <c r="AM83" s="1">
        <v>1</v>
      </c>
      <c r="AN83" s="1">
        <v>0</v>
      </c>
      <c r="AO83" s="1">
        <f t="shared" si="26"/>
        <v>1</v>
      </c>
      <c r="AQ83" s="1" t="s">
        <v>94</v>
      </c>
      <c r="AR83" s="4">
        <f>AR76/$AR$15</f>
        <v>9.4047913064954317E-2</v>
      </c>
      <c r="AS83" s="4">
        <f t="shared" ref="AS83:AU83" si="36">AS76/$AR$15</f>
        <v>0.69245492714250434</v>
      </c>
      <c r="AT83" s="4">
        <f t="shared" si="36"/>
        <v>0.21349715979254136</v>
      </c>
      <c r="AU83" s="4">
        <f t="shared" si="36"/>
        <v>0.78650284020745864</v>
      </c>
    </row>
    <row r="84" spans="1:49" x14ac:dyDescent="0.4">
      <c r="A84" s="1">
        <v>1</v>
      </c>
      <c r="B84" s="1">
        <v>1</v>
      </c>
      <c r="C84" s="1" t="s">
        <v>41</v>
      </c>
      <c r="D84" s="2">
        <v>38835</v>
      </c>
      <c r="E84" s="1">
        <v>118</v>
      </c>
      <c r="F84" s="1">
        <v>6.5</v>
      </c>
      <c r="G84" s="3">
        <v>0.49827546296296293</v>
      </c>
      <c r="H84" s="3">
        <v>0.49834490740740739</v>
      </c>
      <c r="I84" s="3">
        <v>6.94444444444553E-5</v>
      </c>
      <c r="J84" s="3">
        <v>6.94444444444553E-5</v>
      </c>
      <c r="K84" s="5">
        <f t="shared" si="24"/>
        <v>6</v>
      </c>
      <c r="L84" s="3">
        <v>1.0578703703703785E-2</v>
      </c>
      <c r="N84" s="1" t="s">
        <v>251</v>
      </c>
      <c r="O84" s="1" t="s">
        <v>43</v>
      </c>
      <c r="P84" s="1" t="s">
        <v>227</v>
      </c>
      <c r="Q84" s="1" t="s">
        <v>76</v>
      </c>
      <c r="R84" s="1" t="s">
        <v>76</v>
      </c>
      <c r="S84" s="1" t="s">
        <v>46</v>
      </c>
      <c r="T84" s="1" t="s">
        <v>45</v>
      </c>
      <c r="U84" s="1" t="s">
        <v>156</v>
      </c>
      <c r="AB84" s="1" t="s">
        <v>93</v>
      </c>
      <c r="AC84" s="1">
        <v>1</v>
      </c>
      <c r="AI84" s="1" t="s">
        <v>255</v>
      </c>
      <c r="AK84" s="1" t="s">
        <v>86</v>
      </c>
      <c r="AL84" s="1" t="s">
        <v>133</v>
      </c>
      <c r="AN84" s="1">
        <v>1</v>
      </c>
      <c r="AO84" s="1">
        <f t="shared" si="26"/>
        <v>1</v>
      </c>
      <c r="AQ84" s="1" t="s">
        <v>100</v>
      </c>
      <c r="AR84" s="4">
        <f>AR77/$AR$16</f>
        <v>0.19565191579297325</v>
      </c>
      <c r="AS84" s="4">
        <f t="shared" ref="AS84:AU84" si="37">AS77/$AR$16</f>
        <v>0.42415787036487335</v>
      </c>
      <c r="AT84" s="4">
        <f t="shared" si="37"/>
        <v>0.3801902138421534</v>
      </c>
      <c r="AU84" s="4">
        <f t="shared" si="37"/>
        <v>0.61980978615784665</v>
      </c>
    </row>
    <row r="85" spans="1:49" x14ac:dyDescent="0.4">
      <c r="A85" s="1">
        <v>1</v>
      </c>
      <c r="B85" s="1">
        <v>1</v>
      </c>
      <c r="C85" s="1" t="s">
        <v>41</v>
      </c>
      <c r="D85" s="2">
        <v>38835</v>
      </c>
      <c r="E85" s="1">
        <v>118</v>
      </c>
      <c r="F85" s="1">
        <v>6.75</v>
      </c>
      <c r="G85" s="3">
        <v>0.50892361111111117</v>
      </c>
      <c r="H85" s="3">
        <v>0.50895833333333329</v>
      </c>
      <c r="I85" s="3">
        <v>3.4722222222116628E-5</v>
      </c>
      <c r="J85" s="3">
        <v>3.4722222222116628E-5</v>
      </c>
      <c r="K85" s="5">
        <f t="shared" si="24"/>
        <v>3</v>
      </c>
      <c r="L85" s="3">
        <v>2.3888888888888959E-2</v>
      </c>
      <c r="N85" s="1" t="s">
        <v>251</v>
      </c>
      <c r="O85" s="1" t="s">
        <v>43</v>
      </c>
      <c r="P85" s="1" t="s">
        <v>227</v>
      </c>
      <c r="Q85" s="1" t="s">
        <v>132</v>
      </c>
      <c r="R85" s="1" t="s">
        <v>76</v>
      </c>
      <c r="S85" s="1" t="s">
        <v>46</v>
      </c>
      <c r="T85" s="1" t="s">
        <v>45</v>
      </c>
      <c r="U85" s="1" t="s">
        <v>66</v>
      </c>
      <c r="AB85" s="1" t="s">
        <v>93</v>
      </c>
      <c r="AC85" s="1">
        <v>1</v>
      </c>
      <c r="AI85" s="1" t="s">
        <v>257</v>
      </c>
      <c r="AK85" s="1" t="s">
        <v>116</v>
      </c>
      <c r="AL85" s="1" t="s">
        <v>174</v>
      </c>
      <c r="AN85" s="1">
        <v>1</v>
      </c>
      <c r="AO85" s="1">
        <f t="shared" si="26"/>
        <v>1</v>
      </c>
      <c r="AQ85" s="1" t="s">
        <v>107</v>
      </c>
      <c r="AR85" s="4">
        <f>AR78/$AR$17</f>
        <v>0.53780157927812233</v>
      </c>
      <c r="AS85" s="4">
        <f t="shared" ref="AS85:AU85" si="38">AS78/$AR$17</f>
        <v>0.33265936227765786</v>
      </c>
      <c r="AT85" s="4">
        <f t="shared" si="38"/>
        <v>0.12953905844421978</v>
      </c>
      <c r="AU85" s="4">
        <f t="shared" si="38"/>
        <v>0.87046094155578024</v>
      </c>
    </row>
    <row r="86" spans="1:49" x14ac:dyDescent="0.4">
      <c r="A86" s="1">
        <v>1</v>
      </c>
      <c r="B86" s="1">
        <v>1</v>
      </c>
      <c r="C86" s="1" t="s">
        <v>41</v>
      </c>
      <c r="D86" s="2">
        <v>38835</v>
      </c>
      <c r="E86" s="1">
        <v>118</v>
      </c>
      <c r="F86" s="1">
        <v>8</v>
      </c>
      <c r="G86" s="3">
        <v>0.53284722222222225</v>
      </c>
      <c r="H86" s="3">
        <v>0.54603009259259261</v>
      </c>
      <c r="I86" s="3">
        <v>1.3182870370370359E-2</v>
      </c>
      <c r="J86" s="3">
        <v>8.8194444444443798E-3</v>
      </c>
      <c r="K86" s="5">
        <f t="shared" si="24"/>
        <v>762</v>
      </c>
      <c r="L86" s="3">
        <v>2.8356481481481843E-3</v>
      </c>
      <c r="N86" s="1" t="s">
        <v>251</v>
      </c>
      <c r="O86" s="1" t="s">
        <v>43</v>
      </c>
      <c r="P86" s="1" t="s">
        <v>227</v>
      </c>
      <c r="Q86" s="1" t="s">
        <v>76</v>
      </c>
      <c r="R86" s="1" t="s">
        <v>76</v>
      </c>
      <c r="S86" s="1" t="s">
        <v>46</v>
      </c>
      <c r="T86" s="1" t="s">
        <v>47</v>
      </c>
      <c r="U86" s="1" t="s">
        <v>156</v>
      </c>
      <c r="V86" s="1" t="s">
        <v>49</v>
      </c>
      <c r="W86" s="1" t="s">
        <v>77</v>
      </c>
      <c r="X86" s="1" t="s">
        <v>177</v>
      </c>
      <c r="Y86" s="1" t="s">
        <v>239</v>
      </c>
      <c r="Z86" s="1" t="s">
        <v>240</v>
      </c>
      <c r="AA86" s="1" t="s">
        <v>241</v>
      </c>
      <c r="AB86" s="1" t="s">
        <v>242</v>
      </c>
      <c r="AC86" s="1">
        <v>0</v>
      </c>
      <c r="AD86" s="1" t="s">
        <v>105</v>
      </c>
      <c r="AE86" s="1" t="s">
        <v>181</v>
      </c>
      <c r="AF86" s="1" t="s">
        <v>113</v>
      </c>
      <c r="AG86" s="1" t="s">
        <v>281</v>
      </c>
      <c r="AH86" s="1" t="s">
        <v>115</v>
      </c>
      <c r="AI86" s="1" t="s">
        <v>255</v>
      </c>
      <c r="AK86" s="1" t="s">
        <v>86</v>
      </c>
      <c r="AL86" s="1" t="s">
        <v>133</v>
      </c>
      <c r="AM86" s="1">
        <v>1</v>
      </c>
      <c r="AN86" s="1">
        <v>0</v>
      </c>
      <c r="AO86" s="1">
        <f t="shared" si="26"/>
        <v>1</v>
      </c>
      <c r="AQ86" s="1" t="s">
        <v>118</v>
      </c>
      <c r="AR86" s="4">
        <f>AR79/$AR$18</f>
        <v>8.899272553496522E-2</v>
      </c>
      <c r="AS86" s="4">
        <f>AS79/$AR$18</f>
        <v>0.45454786810386022</v>
      </c>
      <c r="AT86" s="4">
        <f>AT79/$AR$18</f>
        <v>0.45645940636117455</v>
      </c>
      <c r="AU86" s="4">
        <f>AU79/$AR$18</f>
        <v>0.54354059363882545</v>
      </c>
    </row>
    <row r="87" spans="1:49" x14ac:dyDescent="0.4">
      <c r="A87" s="1">
        <v>1</v>
      </c>
      <c r="B87" s="1">
        <v>1</v>
      </c>
      <c r="C87" s="1" t="s">
        <v>41</v>
      </c>
      <c r="D87" s="2">
        <v>38835</v>
      </c>
      <c r="E87" s="1">
        <v>118</v>
      </c>
      <c r="F87" s="1">
        <v>8.5</v>
      </c>
      <c r="G87" s="3">
        <v>0.54886574074074079</v>
      </c>
      <c r="H87" s="3">
        <v>0.55164351851851856</v>
      </c>
      <c r="I87" s="3">
        <v>2.7777777777777679E-3</v>
      </c>
      <c r="J87" s="3">
        <v>1.0416666666668295E-4</v>
      </c>
      <c r="K87" s="5">
        <f t="shared" si="24"/>
        <v>9</v>
      </c>
      <c r="L87" s="3">
        <v>2.4097222222222214E-2</v>
      </c>
      <c r="N87" s="1" t="s">
        <v>42</v>
      </c>
      <c r="O87" s="1" t="s">
        <v>43</v>
      </c>
      <c r="P87" s="1" t="s">
        <v>227</v>
      </c>
      <c r="Q87" s="1" t="s">
        <v>76</v>
      </c>
      <c r="R87" s="1" t="s">
        <v>76</v>
      </c>
      <c r="S87" s="1" t="s">
        <v>46</v>
      </c>
      <c r="T87" s="1" t="s">
        <v>47</v>
      </c>
      <c r="U87" s="1" t="s">
        <v>156</v>
      </c>
      <c r="AB87" s="1" t="s">
        <v>93</v>
      </c>
      <c r="AC87" s="1">
        <v>1</v>
      </c>
      <c r="AI87" s="1" t="s">
        <v>75</v>
      </c>
      <c r="AK87" s="1" t="s">
        <v>61</v>
      </c>
      <c r="AL87" s="1" t="s">
        <v>133</v>
      </c>
      <c r="AN87" s="1">
        <v>1</v>
      </c>
      <c r="AO87" s="1">
        <f t="shared" si="26"/>
        <v>1</v>
      </c>
      <c r="AQ87" s="1" t="s">
        <v>188</v>
      </c>
      <c r="AR87" s="4">
        <f>AVERAGE(AR82:AR86)</f>
        <v>0.19580861073101721</v>
      </c>
      <c r="AS87" s="4">
        <f>AVERAGE(AS82:AS86)</f>
        <v>0.49730685605084402</v>
      </c>
      <c r="AT87" s="4">
        <f t="shared" ref="AT87:AU87" si="39">AVERAGE(AT82:AT86)</f>
        <v>0.3068845332181388</v>
      </c>
      <c r="AU87" s="4">
        <f t="shared" si="39"/>
        <v>0.6931154667818612</v>
      </c>
    </row>
    <row r="88" spans="1:49" x14ac:dyDescent="0.4">
      <c r="A88" s="1">
        <v>1</v>
      </c>
      <c r="B88" s="1">
        <v>1</v>
      </c>
      <c r="C88" s="1" t="s">
        <v>41</v>
      </c>
      <c r="D88" s="2">
        <v>38835</v>
      </c>
      <c r="E88" s="1">
        <v>118</v>
      </c>
      <c r="F88" s="1">
        <v>10</v>
      </c>
      <c r="G88" s="3">
        <v>0.57574074074074078</v>
      </c>
      <c r="H88" s="3">
        <v>0.57768518518518519</v>
      </c>
      <c r="I88" s="3">
        <v>1.9444444444444153E-3</v>
      </c>
      <c r="J88" s="3">
        <v>1.9444444444444153E-3</v>
      </c>
      <c r="K88" s="5">
        <f t="shared" si="24"/>
        <v>168</v>
      </c>
      <c r="L88" s="3">
        <v>1.1620370370370336E-2</v>
      </c>
      <c r="N88" s="1" t="s">
        <v>42</v>
      </c>
      <c r="O88" s="1" t="s">
        <v>43</v>
      </c>
      <c r="P88" s="1" t="s">
        <v>227</v>
      </c>
      <c r="Q88" s="1" t="s">
        <v>45</v>
      </c>
      <c r="R88" s="1" t="s">
        <v>191</v>
      </c>
      <c r="S88" s="1" t="s">
        <v>46</v>
      </c>
      <c r="T88" s="1" t="s">
        <v>45</v>
      </c>
      <c r="U88" s="1" t="s">
        <v>156</v>
      </c>
      <c r="V88" s="1" t="s">
        <v>49</v>
      </c>
      <c r="W88" s="1" t="s">
        <v>77</v>
      </c>
      <c r="X88" s="1" t="s">
        <v>275</v>
      </c>
      <c r="Y88" s="1" t="s">
        <v>276</v>
      </c>
      <c r="Z88" s="1" t="s">
        <v>277</v>
      </c>
      <c r="AA88" s="1" t="s">
        <v>278</v>
      </c>
      <c r="AB88" s="1" t="s">
        <v>279</v>
      </c>
      <c r="AC88" s="1">
        <v>0</v>
      </c>
      <c r="AD88" s="1" t="s">
        <v>56</v>
      </c>
      <c r="AE88" s="1" t="s">
        <v>57</v>
      </c>
      <c r="AG88" s="1" t="s">
        <v>282</v>
      </c>
      <c r="AH88" s="1" t="s">
        <v>115</v>
      </c>
      <c r="AI88" s="1" t="s">
        <v>75</v>
      </c>
      <c r="AK88" s="1" t="s">
        <v>86</v>
      </c>
      <c r="AL88" s="1" t="s">
        <v>133</v>
      </c>
      <c r="AM88" s="1">
        <v>1</v>
      </c>
      <c r="AN88" s="1">
        <v>0</v>
      </c>
      <c r="AO88" s="1">
        <f t="shared" si="26"/>
        <v>1</v>
      </c>
      <c r="AQ88" s="1" t="s">
        <v>189</v>
      </c>
      <c r="AR88" s="4">
        <f>STDEV(AR82:AR86)</f>
        <v>0.19778917638905111</v>
      </c>
      <c r="AS88" s="4">
        <f t="shared" ref="AS88:AU88" si="40">STDEV(AS82:AS86)</f>
        <v>0.14112502910446306</v>
      </c>
      <c r="AT88" s="4">
        <f t="shared" si="40"/>
        <v>0.13248474111013264</v>
      </c>
      <c r="AU88" s="4">
        <f t="shared" si="40"/>
        <v>0.13248474111013295</v>
      </c>
    </row>
    <row r="89" spans="1:49" x14ac:dyDescent="0.4">
      <c r="A89" s="1">
        <v>1</v>
      </c>
      <c r="B89" s="1">
        <v>1</v>
      </c>
      <c r="C89" s="1" t="s">
        <v>41</v>
      </c>
      <c r="D89" s="2">
        <v>38835</v>
      </c>
      <c r="E89" s="1">
        <v>118</v>
      </c>
      <c r="F89" s="1">
        <v>11</v>
      </c>
      <c r="G89" s="3">
        <v>0.58930555555555553</v>
      </c>
      <c r="H89" s="3">
        <v>0.59818287037037032</v>
      </c>
      <c r="I89" s="3">
        <v>8.8773148148147962E-3</v>
      </c>
      <c r="J89" s="3">
        <v>1.8055555555555047E-3</v>
      </c>
      <c r="K89" s="5">
        <f t="shared" si="24"/>
        <v>156</v>
      </c>
      <c r="L89" s="3">
        <v>3.3217592592592604E-2</v>
      </c>
      <c r="N89" s="1" t="s">
        <v>42</v>
      </c>
      <c r="O89" s="1" t="s">
        <v>43</v>
      </c>
      <c r="P89" s="1" t="s">
        <v>227</v>
      </c>
      <c r="Q89" s="1" t="s">
        <v>132</v>
      </c>
      <c r="R89" s="1" t="s">
        <v>76</v>
      </c>
      <c r="S89" s="1" t="s">
        <v>46</v>
      </c>
      <c r="T89" s="1" t="s">
        <v>45</v>
      </c>
      <c r="U89" s="1" t="s">
        <v>156</v>
      </c>
      <c r="V89" s="1" t="s">
        <v>102</v>
      </c>
      <c r="W89" s="1" t="s">
        <v>103</v>
      </c>
      <c r="X89" s="1" t="s">
        <v>96</v>
      </c>
      <c r="Y89" s="1">
        <v>45</v>
      </c>
      <c r="AB89" s="1" t="s">
        <v>283</v>
      </c>
      <c r="AC89" s="1">
        <v>0</v>
      </c>
      <c r="AD89" s="1" t="s">
        <v>105</v>
      </c>
      <c r="AE89" s="1" t="s">
        <v>70</v>
      </c>
      <c r="AF89" s="1" t="s">
        <v>113</v>
      </c>
      <c r="AG89" s="1" t="s">
        <v>284</v>
      </c>
      <c r="AH89" s="1" t="s">
        <v>157</v>
      </c>
      <c r="AI89" s="1" t="s">
        <v>75</v>
      </c>
      <c r="AK89" s="1" t="s">
        <v>116</v>
      </c>
      <c r="AL89" s="1" t="s">
        <v>117</v>
      </c>
      <c r="AM89" s="1">
        <v>2</v>
      </c>
      <c r="AN89" s="1">
        <v>0</v>
      </c>
      <c r="AO89" s="1">
        <f t="shared" si="26"/>
        <v>2</v>
      </c>
      <c r="AR89" s="4"/>
      <c r="AS89" s="4"/>
      <c r="AT89" s="4"/>
    </row>
    <row r="90" spans="1:49" x14ac:dyDescent="0.4">
      <c r="A90" s="1">
        <v>1</v>
      </c>
      <c r="B90" s="1">
        <v>1</v>
      </c>
      <c r="C90" s="1" t="s">
        <v>41</v>
      </c>
      <c r="D90" s="2">
        <v>38835</v>
      </c>
      <c r="E90" s="1">
        <v>118</v>
      </c>
      <c r="F90" s="1">
        <v>13</v>
      </c>
      <c r="G90" s="3">
        <v>0.63140046296296293</v>
      </c>
      <c r="H90" s="3">
        <v>0.63344907407407403</v>
      </c>
      <c r="I90" s="3">
        <v>2.0486111111110983E-3</v>
      </c>
      <c r="J90" s="3">
        <v>2.0486111111110983E-3</v>
      </c>
      <c r="K90" s="5">
        <f t="shared" si="24"/>
        <v>177</v>
      </c>
      <c r="L90" s="3" t="s">
        <v>120</v>
      </c>
      <c r="N90" s="1" t="s">
        <v>42</v>
      </c>
      <c r="O90" s="1" t="s">
        <v>43</v>
      </c>
      <c r="P90" s="1" t="s">
        <v>227</v>
      </c>
      <c r="Q90" s="1" t="s">
        <v>45</v>
      </c>
      <c r="R90" s="1" t="s">
        <v>45</v>
      </c>
      <c r="S90" s="1" t="s">
        <v>46</v>
      </c>
      <c r="T90" s="1" t="s">
        <v>47</v>
      </c>
      <c r="U90" s="1" t="s">
        <v>48</v>
      </c>
      <c r="V90" s="1" t="s">
        <v>102</v>
      </c>
      <c r="W90" s="1" t="s">
        <v>231</v>
      </c>
      <c r="X90" s="1" t="s">
        <v>96</v>
      </c>
      <c r="Y90" s="1" t="s">
        <v>52</v>
      </c>
      <c r="AB90" s="1" t="s">
        <v>225</v>
      </c>
      <c r="AC90" s="1">
        <v>0</v>
      </c>
      <c r="AD90" s="1" t="s">
        <v>105</v>
      </c>
      <c r="AE90" s="1" t="s">
        <v>70</v>
      </c>
      <c r="AG90" s="1" t="s">
        <v>285</v>
      </c>
      <c r="AH90" s="1" t="s">
        <v>157</v>
      </c>
      <c r="AI90" s="1" t="s">
        <v>60</v>
      </c>
      <c r="AK90" s="1" t="s">
        <v>61</v>
      </c>
      <c r="AL90" s="1" t="s">
        <v>61</v>
      </c>
      <c r="AM90" s="1">
        <v>1</v>
      </c>
      <c r="AN90" s="1">
        <v>0</v>
      </c>
      <c r="AO90" s="1">
        <f t="shared" si="26"/>
        <v>1</v>
      </c>
    </row>
    <row r="91" spans="1:49" x14ac:dyDescent="0.4">
      <c r="A91" s="1">
        <v>1</v>
      </c>
      <c r="B91" s="1">
        <v>1</v>
      </c>
      <c r="C91" s="1" t="s">
        <v>41</v>
      </c>
      <c r="D91" s="2">
        <v>38852</v>
      </c>
      <c r="E91" s="1">
        <v>135</v>
      </c>
      <c r="F91" s="1">
        <v>0.5</v>
      </c>
      <c r="G91" s="3">
        <v>0.32067129629629632</v>
      </c>
      <c r="H91" s="3">
        <v>0.32177083333333334</v>
      </c>
      <c r="I91" s="3">
        <v>1.0995370370370239E-3</v>
      </c>
      <c r="J91" s="3">
        <v>1.0995370370370239E-3</v>
      </c>
      <c r="K91" s="5">
        <f t="shared" si="24"/>
        <v>95</v>
      </c>
      <c r="L91" s="3">
        <v>1.5046296296296613E-3</v>
      </c>
      <c r="N91" s="1" t="s">
        <v>42</v>
      </c>
      <c r="O91" s="1" t="s">
        <v>286</v>
      </c>
      <c r="P91" s="1" t="s">
        <v>227</v>
      </c>
      <c r="Q91" s="1" t="s">
        <v>76</v>
      </c>
      <c r="R91" s="1" t="s">
        <v>45</v>
      </c>
      <c r="S91" s="1" t="s">
        <v>46</v>
      </c>
      <c r="T91" s="1" t="s">
        <v>47</v>
      </c>
      <c r="U91" s="1" t="s">
        <v>156</v>
      </c>
      <c r="V91" s="1" t="s">
        <v>102</v>
      </c>
      <c r="W91" s="1" t="s">
        <v>103</v>
      </c>
      <c r="X91" s="1" t="s">
        <v>121</v>
      </c>
      <c r="AB91" s="1" t="s">
        <v>104</v>
      </c>
      <c r="AC91" s="1">
        <v>0</v>
      </c>
      <c r="AE91" s="1" t="s">
        <v>70</v>
      </c>
      <c r="AG91" s="1" t="s">
        <v>287</v>
      </c>
      <c r="AI91" s="1" t="s">
        <v>75</v>
      </c>
      <c r="AK91" s="1" t="s">
        <v>86</v>
      </c>
      <c r="AL91" s="1" t="s">
        <v>87</v>
      </c>
      <c r="AM91" s="1">
        <v>1</v>
      </c>
      <c r="AN91" s="1">
        <v>0</v>
      </c>
      <c r="AO91" s="1">
        <f t="shared" si="26"/>
        <v>1</v>
      </c>
    </row>
    <row r="92" spans="1:49" x14ac:dyDescent="0.4">
      <c r="A92" s="1">
        <v>1</v>
      </c>
      <c r="B92" s="1">
        <v>1</v>
      </c>
      <c r="C92" s="1" t="s">
        <v>41</v>
      </c>
      <c r="D92" s="2">
        <v>38852</v>
      </c>
      <c r="E92" s="1">
        <v>135</v>
      </c>
      <c r="F92" s="1">
        <v>0.75</v>
      </c>
      <c r="G92" s="3">
        <v>0.323275462962963</v>
      </c>
      <c r="H92" s="3">
        <v>0.32383101851851853</v>
      </c>
      <c r="I92" s="3">
        <v>5.5555555555553138E-4</v>
      </c>
      <c r="J92" s="3">
        <v>3.0092592592589895E-4</v>
      </c>
      <c r="K92" s="5">
        <f t="shared" si="24"/>
        <v>26</v>
      </c>
      <c r="L92" s="3">
        <v>1.7106481481481473E-2</v>
      </c>
      <c r="N92" s="1" t="s">
        <v>42</v>
      </c>
      <c r="O92" s="1" t="s">
        <v>286</v>
      </c>
      <c r="P92" s="1" t="s">
        <v>227</v>
      </c>
      <c r="Q92" s="1" t="s">
        <v>76</v>
      </c>
      <c r="R92" s="1" t="s">
        <v>45</v>
      </c>
      <c r="S92" s="1" t="s">
        <v>46</v>
      </c>
      <c r="T92" s="1" t="s">
        <v>47</v>
      </c>
      <c r="U92" s="1" t="s">
        <v>156</v>
      </c>
      <c r="V92" s="1" t="s">
        <v>102</v>
      </c>
      <c r="W92" s="1" t="s">
        <v>103</v>
      </c>
      <c r="X92" s="1" t="s">
        <v>121</v>
      </c>
      <c r="AB92" s="1" t="s">
        <v>104</v>
      </c>
      <c r="AC92" s="1">
        <v>0</v>
      </c>
      <c r="AE92" s="1" t="s">
        <v>70</v>
      </c>
      <c r="AG92" s="1" t="s">
        <v>288</v>
      </c>
      <c r="AI92" s="1" t="s">
        <v>75</v>
      </c>
      <c r="AK92" s="1" t="s">
        <v>61</v>
      </c>
      <c r="AL92" s="1" t="s">
        <v>61</v>
      </c>
      <c r="AM92" s="1">
        <v>1</v>
      </c>
      <c r="AN92" s="1">
        <v>0</v>
      </c>
      <c r="AO92" s="1">
        <f t="shared" si="26"/>
        <v>1</v>
      </c>
      <c r="AR92" s="1" t="s">
        <v>289</v>
      </c>
      <c r="AS92" s="1" t="s">
        <v>290</v>
      </c>
      <c r="AT92" s="1" t="s">
        <v>291</v>
      </c>
      <c r="AU92" s="1" t="s">
        <v>292</v>
      </c>
      <c r="AV92" s="1" t="s">
        <v>293</v>
      </c>
      <c r="AW92" s="1" t="s">
        <v>294</v>
      </c>
    </row>
    <row r="93" spans="1:49" x14ac:dyDescent="0.4">
      <c r="A93" s="1">
        <v>1</v>
      </c>
      <c r="B93" s="1">
        <v>1</v>
      </c>
      <c r="C93" s="1" t="s">
        <v>41</v>
      </c>
      <c r="D93" s="2">
        <v>38852</v>
      </c>
      <c r="E93" s="1">
        <v>135</v>
      </c>
      <c r="F93" s="1">
        <v>1</v>
      </c>
      <c r="G93" s="3">
        <v>0.3409375</v>
      </c>
      <c r="H93" s="3">
        <v>0.35576388888888894</v>
      </c>
      <c r="I93" s="3">
        <v>1.4826388888888931E-2</v>
      </c>
      <c r="J93" s="3">
        <v>1.4826388888888931E-2</v>
      </c>
      <c r="K93" s="5">
        <f t="shared" si="24"/>
        <v>1281</v>
      </c>
      <c r="L93" s="3">
        <v>0.23997685185185186</v>
      </c>
      <c r="N93" s="1" t="s">
        <v>42</v>
      </c>
      <c r="O93" s="1" t="s">
        <v>286</v>
      </c>
      <c r="P93" s="1" t="s">
        <v>227</v>
      </c>
      <c r="Q93" s="1" t="s">
        <v>76</v>
      </c>
      <c r="R93" s="1" t="s">
        <v>76</v>
      </c>
      <c r="S93" s="1" t="s">
        <v>46</v>
      </c>
      <c r="T93" s="1" t="s">
        <v>124</v>
      </c>
      <c r="U93" s="1" t="s">
        <v>156</v>
      </c>
      <c r="V93" s="1" t="s">
        <v>49</v>
      </c>
      <c r="W93" s="1" t="s">
        <v>50</v>
      </c>
      <c r="X93" s="1" t="s">
        <v>158</v>
      </c>
      <c r="Y93" s="1" t="s">
        <v>159</v>
      </c>
      <c r="Z93" s="1" t="s">
        <v>160</v>
      </c>
      <c r="AA93" s="1" t="s">
        <v>161</v>
      </c>
      <c r="AB93" s="1" t="s">
        <v>162</v>
      </c>
      <c r="AC93" s="1">
        <v>0</v>
      </c>
      <c r="AD93" s="1" t="s">
        <v>56</v>
      </c>
      <c r="AE93" s="1" t="s">
        <v>83</v>
      </c>
      <c r="AF93" s="1" t="s">
        <v>295</v>
      </c>
      <c r="AG93" s="1" t="s">
        <v>296</v>
      </c>
      <c r="AH93" s="1" t="s">
        <v>165</v>
      </c>
      <c r="AI93" s="1" t="s">
        <v>75</v>
      </c>
      <c r="AK93" s="1" t="s">
        <v>61</v>
      </c>
      <c r="AL93" s="1" t="s">
        <v>72</v>
      </c>
      <c r="AM93" s="1">
        <v>1</v>
      </c>
      <c r="AN93" s="1">
        <v>0</v>
      </c>
      <c r="AO93" s="1">
        <f t="shared" si="26"/>
        <v>1</v>
      </c>
      <c r="AQ93" s="1" t="s">
        <v>166</v>
      </c>
    </row>
    <row r="94" spans="1:49" x14ac:dyDescent="0.4">
      <c r="A94" s="1">
        <v>1</v>
      </c>
      <c r="B94" s="1">
        <v>1</v>
      </c>
      <c r="C94" s="1" t="s">
        <v>41</v>
      </c>
      <c r="D94" s="2">
        <v>38852</v>
      </c>
      <c r="E94" s="1">
        <v>135</v>
      </c>
      <c r="F94" s="1">
        <v>6</v>
      </c>
      <c r="G94" s="3">
        <v>0.59574074074074079</v>
      </c>
      <c r="H94" s="3">
        <v>0.60499999999999998</v>
      </c>
      <c r="I94" s="3">
        <v>9.2592592592591894E-3</v>
      </c>
      <c r="J94" s="3">
        <v>9.2592592592591894E-3</v>
      </c>
      <c r="K94" s="5">
        <f t="shared" si="24"/>
        <v>800</v>
      </c>
      <c r="L94" s="3">
        <v>9.8263888888888706E-3</v>
      </c>
      <c r="N94" s="1" t="s">
        <v>42</v>
      </c>
      <c r="O94" s="1" t="s">
        <v>286</v>
      </c>
      <c r="P94" s="1" t="s">
        <v>227</v>
      </c>
      <c r="Q94" s="1" t="s">
        <v>76</v>
      </c>
      <c r="R94" s="1" t="s">
        <v>76</v>
      </c>
      <c r="S94" s="1" t="s">
        <v>46</v>
      </c>
      <c r="T94" s="1" t="s">
        <v>45</v>
      </c>
      <c r="U94" s="1" t="s">
        <v>48</v>
      </c>
      <c r="V94" s="1" t="s">
        <v>297</v>
      </c>
      <c r="W94" s="1" t="s">
        <v>167</v>
      </c>
      <c r="X94" s="1" t="s">
        <v>298</v>
      </c>
      <c r="Y94" s="1" t="s">
        <v>52</v>
      </c>
      <c r="Z94" s="1">
        <v>17</v>
      </c>
      <c r="AB94" s="1" t="s">
        <v>299</v>
      </c>
      <c r="AC94" s="1">
        <v>0</v>
      </c>
      <c r="AD94" s="1" t="s">
        <v>105</v>
      </c>
      <c r="AE94" s="1" t="s">
        <v>83</v>
      </c>
      <c r="AF94" s="1" t="s">
        <v>113</v>
      </c>
      <c r="AG94" s="1" t="s">
        <v>300</v>
      </c>
      <c r="AH94" s="1" t="s">
        <v>157</v>
      </c>
      <c r="AI94" s="1" t="s">
        <v>60</v>
      </c>
      <c r="AK94" s="1" t="s">
        <v>116</v>
      </c>
      <c r="AL94" s="1" t="s">
        <v>174</v>
      </c>
      <c r="AM94" s="1">
        <v>1</v>
      </c>
      <c r="AN94" s="1">
        <v>0</v>
      </c>
      <c r="AO94" s="1">
        <f t="shared" si="26"/>
        <v>1</v>
      </c>
      <c r="AQ94" s="1" t="s">
        <v>73</v>
      </c>
      <c r="AR94" s="5">
        <f t="shared" ref="AR94:AR99" si="41">AR3-SUM(AS94:AT94)</f>
        <v>430</v>
      </c>
      <c r="AS94" s="5">
        <f>COUNTIFS($C$2:$C$1431, "Fem", $AF$2:$AF$1431, "")</f>
        <v>790</v>
      </c>
      <c r="AT94" s="5">
        <f>COUNTIFS($C$2:$C$1431, "Mal", $AF$2:$AF$1431, "")</f>
        <v>210</v>
      </c>
      <c r="AU94" s="5">
        <f>COUNTIFS($C$2:$C$1431, "Fem", $AF$2:$AF$1431, "", $AO$2:$AO$1431, "&lt;2")</f>
        <v>509</v>
      </c>
      <c r="AV94" s="5">
        <f>COUNTIFS($C$2:$C$1431, "Mal", $AF$2:$AF$1431, "", $AO$2:$AO$1431, "&lt;2")</f>
        <v>125</v>
      </c>
      <c r="AW94" s="5">
        <f t="shared" ref="AW94:AW99" si="42">AR3-SUM(AU94:AV94)</f>
        <v>796</v>
      </c>
    </row>
    <row r="95" spans="1:49" x14ac:dyDescent="0.4">
      <c r="A95" s="1">
        <v>1</v>
      </c>
      <c r="B95" s="1">
        <v>1</v>
      </c>
      <c r="C95" s="1" t="s">
        <v>41</v>
      </c>
      <c r="D95" s="2">
        <v>38852</v>
      </c>
      <c r="E95" s="1">
        <v>135</v>
      </c>
      <c r="F95" s="1">
        <v>6.5</v>
      </c>
      <c r="G95" s="3">
        <v>0.61482638888888885</v>
      </c>
      <c r="H95" s="3">
        <v>0.61609953703703701</v>
      </c>
      <c r="I95" s="3">
        <v>1.2731481481481621E-3</v>
      </c>
      <c r="J95" s="3">
        <v>1.2731481481481621E-3</v>
      </c>
      <c r="K95" s="5">
        <f t="shared" si="24"/>
        <v>110</v>
      </c>
      <c r="L95" s="3">
        <v>6.3506944444444491E-2</v>
      </c>
      <c r="N95" s="1" t="s">
        <v>42</v>
      </c>
      <c r="O95" s="1" t="s">
        <v>286</v>
      </c>
      <c r="P95" s="1" t="s">
        <v>227</v>
      </c>
      <c r="Q95" s="1" t="s">
        <v>132</v>
      </c>
      <c r="R95" s="1" t="s">
        <v>76</v>
      </c>
      <c r="S95" s="1" t="s">
        <v>46</v>
      </c>
      <c r="T95" s="1" t="s">
        <v>45</v>
      </c>
      <c r="U95" s="1" t="s">
        <v>156</v>
      </c>
      <c r="V95" s="1" t="s">
        <v>297</v>
      </c>
      <c r="W95" s="1" t="s">
        <v>167</v>
      </c>
      <c r="X95" s="1" t="s">
        <v>298</v>
      </c>
      <c r="Y95" s="1" t="s">
        <v>52</v>
      </c>
      <c r="Z95" s="1">
        <v>17</v>
      </c>
      <c r="AB95" s="1" t="s">
        <v>299</v>
      </c>
      <c r="AC95" s="1">
        <v>0</v>
      </c>
      <c r="AD95" s="1" t="s">
        <v>105</v>
      </c>
      <c r="AE95" s="1" t="s">
        <v>83</v>
      </c>
      <c r="AG95" s="1" t="s">
        <v>301</v>
      </c>
      <c r="AH95" s="1" t="s">
        <v>157</v>
      </c>
      <c r="AI95" s="1" t="s">
        <v>75</v>
      </c>
      <c r="AK95" s="1" t="s">
        <v>86</v>
      </c>
      <c r="AL95" s="1" t="s">
        <v>133</v>
      </c>
      <c r="AM95" s="1">
        <v>1</v>
      </c>
      <c r="AN95" s="1">
        <v>0</v>
      </c>
      <c r="AO95" s="1">
        <f t="shared" si="26"/>
        <v>1</v>
      </c>
      <c r="AQ95" s="1" t="s">
        <v>88</v>
      </c>
      <c r="AR95" s="5">
        <f t="shared" si="41"/>
        <v>68</v>
      </c>
      <c r="AS95" s="5">
        <f>COUNTIFS($B$2:$B$1431, "1", $C$2:$C$1431, "Fem", $AF$2:$AF$1431, "")</f>
        <v>98</v>
      </c>
      <c r="AT95" s="5">
        <f>COUNTIFS($B$2:$B$1431, "1", $C$2:$C$1431, "Mal", $AF$2:$AF$1431, "")</f>
        <v>27</v>
      </c>
      <c r="AU95" s="5">
        <f>COUNTIFS($B$2:$B$1431, "1", $C$2:$C$1431, "Fem", $AF$2:$AF$1431, "", $AO$2:$AO$1431, "&lt;2")</f>
        <v>78</v>
      </c>
      <c r="AV95" s="5">
        <f>COUNTIFS($B$2:$B$1431, "1", $C$2:$C$1431, "Mal", $AF$2:$AF$1431, "", $AO$2:$AO$1431, "&lt;2")</f>
        <v>19</v>
      </c>
      <c r="AW95" s="5">
        <f t="shared" si="42"/>
        <v>96</v>
      </c>
    </row>
    <row r="96" spans="1:49" x14ac:dyDescent="0.4">
      <c r="A96" s="1">
        <v>1</v>
      </c>
      <c r="B96" s="1">
        <v>1</v>
      </c>
      <c r="C96" s="1" t="s">
        <v>41</v>
      </c>
      <c r="D96" s="2">
        <v>38852</v>
      </c>
      <c r="E96" s="1">
        <v>135</v>
      </c>
      <c r="F96" s="1">
        <v>7</v>
      </c>
      <c r="G96" s="3">
        <v>0.67960648148148151</v>
      </c>
      <c r="H96" s="3">
        <v>0.68026620370370372</v>
      </c>
      <c r="I96" s="3">
        <v>6.5972222222221433E-4</v>
      </c>
      <c r="J96" s="3">
        <v>6.5972222222221433E-4</v>
      </c>
      <c r="K96" s="5">
        <f t="shared" si="24"/>
        <v>57</v>
      </c>
      <c r="L96" s="3" t="s">
        <v>120</v>
      </c>
      <c r="N96" s="1" t="s">
        <v>251</v>
      </c>
      <c r="O96" s="1" t="s">
        <v>286</v>
      </c>
      <c r="P96" s="1" t="s">
        <v>227</v>
      </c>
      <c r="Q96" s="1" t="s">
        <v>76</v>
      </c>
      <c r="R96" s="1" t="s">
        <v>76</v>
      </c>
      <c r="S96" s="1" t="s">
        <v>46</v>
      </c>
      <c r="T96" s="1" t="s">
        <v>76</v>
      </c>
      <c r="U96" s="1" t="s">
        <v>66</v>
      </c>
      <c r="V96" s="1" t="s">
        <v>67</v>
      </c>
      <c r="W96" s="1" t="s">
        <v>68</v>
      </c>
      <c r="X96" s="1" t="s">
        <v>302</v>
      </c>
      <c r="Y96" s="1" t="s">
        <v>303</v>
      </c>
      <c r="Z96" s="1" t="s">
        <v>304</v>
      </c>
      <c r="AA96" s="1" t="s">
        <v>305</v>
      </c>
      <c r="AB96" s="1" t="s">
        <v>306</v>
      </c>
      <c r="AC96" s="1">
        <v>0</v>
      </c>
      <c r="AD96" s="1" t="s">
        <v>68</v>
      </c>
      <c r="AE96" s="1" t="s">
        <v>70</v>
      </c>
      <c r="AG96" s="1" t="s">
        <v>307</v>
      </c>
      <c r="AH96" s="1" t="s">
        <v>157</v>
      </c>
      <c r="AI96" s="1" t="s">
        <v>257</v>
      </c>
      <c r="AK96" s="1" t="s">
        <v>86</v>
      </c>
      <c r="AL96" s="1" t="s">
        <v>133</v>
      </c>
      <c r="AM96" s="1">
        <v>1</v>
      </c>
      <c r="AN96" s="1">
        <v>0</v>
      </c>
      <c r="AO96" s="1">
        <f t="shared" si="26"/>
        <v>1</v>
      </c>
      <c r="AQ96" s="1" t="s">
        <v>94</v>
      </c>
      <c r="AR96" s="5">
        <f t="shared" si="41"/>
        <v>82</v>
      </c>
      <c r="AS96" s="5">
        <f>COUNTIFS($B$2:$B$1431, "2", $C$2:$C$1431, "Fem", $AF$2:$AF$1431, "")</f>
        <v>125</v>
      </c>
      <c r="AT96" s="5">
        <f>COUNTIFS($B$2:$B$1431, "2", $C$2:$C$1431, "Mal", $AF$2:$AF$1431, "")</f>
        <v>23</v>
      </c>
      <c r="AU96" s="5">
        <f>COUNTIFS($B$2:$B$1431, "2", $C$2:$C$1431, "Fem", $AF$2:$AF$1431, "", $AO$2:$AO$1431, "&lt;2")</f>
        <v>83</v>
      </c>
      <c r="AV96" s="5">
        <f>COUNTIFS($B$2:$B$1431, "2", $C$2:$C$1431, "Mal", $AF$2:$AF$1431, "", $AO$2:$AO$1431, "&lt;2")</f>
        <v>16</v>
      </c>
      <c r="AW96" s="5">
        <f t="shared" si="42"/>
        <v>131</v>
      </c>
    </row>
    <row r="97" spans="1:49" x14ac:dyDescent="0.4">
      <c r="A97" s="1">
        <v>1</v>
      </c>
      <c r="B97" s="1">
        <v>1</v>
      </c>
      <c r="C97" s="1" t="s">
        <v>41</v>
      </c>
      <c r="D97" s="2">
        <v>38904</v>
      </c>
      <c r="E97" s="1">
        <v>187</v>
      </c>
      <c r="F97" s="1">
        <v>1</v>
      </c>
      <c r="G97" s="3">
        <v>0.41719907407407408</v>
      </c>
      <c r="H97" s="3">
        <v>0.42430555555555555</v>
      </c>
      <c r="I97" s="3">
        <v>7.1064814814814636E-3</v>
      </c>
      <c r="J97" s="3">
        <v>6.7129629629629206E-3</v>
      </c>
      <c r="K97" s="5">
        <f t="shared" si="24"/>
        <v>580</v>
      </c>
      <c r="L97" s="3" t="s">
        <v>120</v>
      </c>
      <c r="N97" s="1" t="s">
        <v>42</v>
      </c>
      <c r="O97" s="1" t="s">
        <v>286</v>
      </c>
      <c r="P97" s="1" t="s">
        <v>227</v>
      </c>
      <c r="Q97" s="1" t="s">
        <v>76</v>
      </c>
      <c r="R97" s="1" t="s">
        <v>76</v>
      </c>
      <c r="S97" s="1" t="s">
        <v>46</v>
      </c>
      <c r="T97" s="1" t="s">
        <v>47</v>
      </c>
      <c r="U97" s="1" t="s">
        <v>156</v>
      </c>
      <c r="V97" s="1" t="s">
        <v>49</v>
      </c>
      <c r="W97" s="1" t="s">
        <v>308</v>
      </c>
      <c r="X97" s="1" t="s">
        <v>309</v>
      </c>
      <c r="Y97" s="1" t="s">
        <v>270</v>
      </c>
      <c r="Z97" s="1" t="s">
        <v>271</v>
      </c>
      <c r="AA97" s="1" t="s">
        <v>310</v>
      </c>
      <c r="AB97" s="1" t="s">
        <v>311</v>
      </c>
      <c r="AC97" s="1">
        <v>0</v>
      </c>
      <c r="AD97" s="1" t="s">
        <v>56</v>
      </c>
      <c r="AE97" s="1" t="s">
        <v>57</v>
      </c>
      <c r="AF97" s="1" t="s">
        <v>113</v>
      </c>
      <c r="AG97" s="1" t="s">
        <v>312</v>
      </c>
      <c r="AH97" s="1" t="s">
        <v>59</v>
      </c>
      <c r="AI97" s="1" t="s">
        <v>75</v>
      </c>
      <c r="AK97" s="1" t="s">
        <v>116</v>
      </c>
      <c r="AL97" s="1" t="s">
        <v>174</v>
      </c>
      <c r="AM97" s="1">
        <v>1</v>
      </c>
      <c r="AN97" s="1">
        <v>0</v>
      </c>
      <c r="AO97" s="1">
        <f t="shared" si="26"/>
        <v>1</v>
      </c>
      <c r="AQ97" s="1" t="s">
        <v>100</v>
      </c>
      <c r="AR97" s="5">
        <f t="shared" si="41"/>
        <v>97</v>
      </c>
      <c r="AS97" s="5">
        <f>COUNTIFS($B$2:$B$1431, "3", $C$2:$C$1431, "Fem", $AF$2:$AF$1431, "")</f>
        <v>189</v>
      </c>
      <c r="AT97" s="5">
        <f>COUNTIFS($B$2:$B$1431, "3", $C$2:$C$1431, "Mal", $AF$2:$AF$1431, "")</f>
        <v>77</v>
      </c>
      <c r="AU97" s="5">
        <f>COUNTIFS($B$2:$B$1431, "3", $C$2:$C$1431, "Fem", $AF$2:$AF$1431, "", $AO$2:$AO$1431, "&lt;2")</f>
        <v>144</v>
      </c>
      <c r="AV97" s="5">
        <f>COUNTIFS($B$2:$B$1431, "3", $C$2:$C$1431, "Mal", $AF$2:$AF$1431, "", $AO$2:$AO$1431, "&lt;2")</f>
        <v>45</v>
      </c>
      <c r="AW97" s="5">
        <f t="shared" si="42"/>
        <v>174</v>
      </c>
    </row>
    <row r="98" spans="1:49" x14ac:dyDescent="0.4">
      <c r="A98" s="1">
        <v>1</v>
      </c>
      <c r="B98" s="1">
        <v>1</v>
      </c>
      <c r="C98" s="1" t="s">
        <v>41</v>
      </c>
      <c r="D98" s="2">
        <v>38924</v>
      </c>
      <c r="E98" s="1">
        <v>207</v>
      </c>
      <c r="F98" s="1">
        <v>1</v>
      </c>
      <c r="G98" s="3">
        <v>0.28096064814814814</v>
      </c>
      <c r="H98" s="3">
        <v>0.28259259259259256</v>
      </c>
      <c r="I98" s="3">
        <v>1.631944444444422E-3</v>
      </c>
      <c r="J98" s="3">
        <v>1.631944444444422E-3</v>
      </c>
      <c r="K98" s="5">
        <f t="shared" si="24"/>
        <v>141</v>
      </c>
      <c r="L98" s="3">
        <v>3.9409722222222276E-2</v>
      </c>
      <c r="N98" s="1" t="s">
        <v>42</v>
      </c>
      <c r="O98" s="1" t="s">
        <v>286</v>
      </c>
      <c r="P98" s="1" t="s">
        <v>227</v>
      </c>
      <c r="Q98" s="1" t="s">
        <v>76</v>
      </c>
      <c r="R98" s="1" t="s">
        <v>76</v>
      </c>
      <c r="S98" s="1" t="s">
        <v>46</v>
      </c>
      <c r="T98" s="1" t="s">
        <v>124</v>
      </c>
      <c r="U98" s="1" t="s">
        <v>66</v>
      </c>
      <c r="V98" s="1" t="s">
        <v>49</v>
      </c>
      <c r="W98" s="1" t="s">
        <v>168</v>
      </c>
      <c r="X98" s="1" t="s">
        <v>313</v>
      </c>
      <c r="AB98" s="1" t="s">
        <v>258</v>
      </c>
      <c r="AC98" s="1">
        <v>0</v>
      </c>
      <c r="AD98" s="1" t="s">
        <v>56</v>
      </c>
      <c r="AF98" s="1" t="s">
        <v>113</v>
      </c>
      <c r="AG98" s="1" t="s">
        <v>314</v>
      </c>
      <c r="AH98" s="1" t="s">
        <v>157</v>
      </c>
      <c r="AI98" s="1" t="s">
        <v>71</v>
      </c>
      <c r="AK98" s="1" t="s">
        <v>116</v>
      </c>
      <c r="AL98" s="1" t="s">
        <v>174</v>
      </c>
      <c r="AM98" s="1">
        <v>1</v>
      </c>
      <c r="AN98" s="1">
        <v>0</v>
      </c>
      <c r="AO98" s="1">
        <f t="shared" si="26"/>
        <v>1</v>
      </c>
      <c r="AQ98" s="1" t="s">
        <v>107</v>
      </c>
      <c r="AR98" s="5">
        <f t="shared" si="41"/>
        <v>65</v>
      </c>
      <c r="AS98" s="5">
        <f>COUNTIFS($B$2:$B$1431, "S", $C$2:$C$1431, "Fem", $AF$2:$AF$1431, "")</f>
        <v>53</v>
      </c>
      <c r="AT98" s="5">
        <f>COUNTIFS($B$2:$B$1431, "S", $C$2:$C$1431, "Mal", $AF$2:$AF$1431, "")</f>
        <v>18</v>
      </c>
      <c r="AU98" s="5">
        <f>COUNTIFS($B$2:$B$1431, "S", $C$2:$C$1431, "Fem", $AF$2:$AF$1431, "", $AO$2:$AO$1431, "&lt;2")</f>
        <v>32</v>
      </c>
      <c r="AV98" s="5">
        <f>COUNTIFS($B$2:$B$1431, "S", $C$2:$C$1431, "Mal", $AF$2:$AF$1431, "", $AO$2:$AO$1431, "&lt;2")</f>
        <v>13</v>
      </c>
      <c r="AW98" s="5">
        <f t="shared" si="42"/>
        <v>91</v>
      </c>
    </row>
    <row r="99" spans="1:49" x14ac:dyDescent="0.4">
      <c r="A99" s="1">
        <v>1</v>
      </c>
      <c r="B99" s="1">
        <v>1</v>
      </c>
      <c r="C99" s="1" t="s">
        <v>41</v>
      </c>
      <c r="D99" s="2">
        <v>38924</v>
      </c>
      <c r="E99" s="1">
        <v>207</v>
      </c>
      <c r="F99" s="1">
        <v>1.5</v>
      </c>
      <c r="G99" s="3">
        <v>0.32200231481481484</v>
      </c>
      <c r="H99" s="3">
        <v>0.32341435185185186</v>
      </c>
      <c r="I99" s="3">
        <v>1.4120370370370172E-3</v>
      </c>
      <c r="J99" s="3">
        <v>7.9861111111112493E-4</v>
      </c>
      <c r="K99" s="5">
        <f t="shared" si="24"/>
        <v>69</v>
      </c>
      <c r="L99" s="3">
        <v>1.1157407407407394E-2</v>
      </c>
      <c r="N99" s="1" t="s">
        <v>42</v>
      </c>
      <c r="O99" s="1" t="s">
        <v>286</v>
      </c>
      <c r="P99" s="1" t="s">
        <v>227</v>
      </c>
      <c r="Q99" s="1" t="s">
        <v>76</v>
      </c>
      <c r="R99" s="1" t="s">
        <v>76</v>
      </c>
      <c r="S99" s="1" t="s">
        <v>46</v>
      </c>
      <c r="T99" s="1" t="s">
        <v>45</v>
      </c>
      <c r="U99" s="1" t="s">
        <v>66</v>
      </c>
      <c r="AB99" s="1" t="s">
        <v>93</v>
      </c>
      <c r="AC99" s="1">
        <v>1</v>
      </c>
      <c r="AG99" s="1" t="s">
        <v>315</v>
      </c>
      <c r="AH99" s="1" t="s">
        <v>157</v>
      </c>
      <c r="AI99" s="1" t="s">
        <v>71</v>
      </c>
      <c r="AK99" s="1" t="s">
        <v>86</v>
      </c>
      <c r="AL99" s="1" t="s">
        <v>87</v>
      </c>
      <c r="AM99" s="1">
        <v>1</v>
      </c>
      <c r="AN99" s="1">
        <v>0</v>
      </c>
      <c r="AO99" s="1">
        <f t="shared" si="26"/>
        <v>1</v>
      </c>
      <c r="AQ99" s="1" t="s">
        <v>118</v>
      </c>
      <c r="AR99" s="5">
        <f t="shared" si="41"/>
        <v>118</v>
      </c>
      <c r="AS99" s="5">
        <f>COUNTIFS($B$2:$B$1431, "W", $C$2:$C$1431, "Fem", $AF$2:$AF$1431, "")</f>
        <v>325</v>
      </c>
      <c r="AT99" s="5">
        <f>COUNTIFS($B$2:$B$1431, "W", $C$2:$C$1431, "Mal", $AF$2:$AF$1431, "")</f>
        <v>65</v>
      </c>
      <c r="AU99" s="5">
        <f>COUNTIFS($B$2:$B$1431, "W", $C$2:$C$1431, "Fem", $AF$2:$AF$1431, "", $AO$2:$AO$1431, "&lt;2")</f>
        <v>172</v>
      </c>
      <c r="AV99" s="5">
        <f>COUNTIFS($B$2:$B$1431, "W", $C$2:$C$1431, "Mal", $AF$2:$AF$1431, "", $AO$2:$AO$1431, "&lt;2")</f>
        <v>32</v>
      </c>
      <c r="AW99" s="5">
        <f t="shared" si="42"/>
        <v>304</v>
      </c>
    </row>
    <row r="100" spans="1:49" x14ac:dyDescent="0.4">
      <c r="A100" s="1">
        <v>1</v>
      </c>
      <c r="B100" s="1">
        <v>1</v>
      </c>
      <c r="C100" s="1" t="s">
        <v>41</v>
      </c>
      <c r="D100" s="2">
        <v>38924</v>
      </c>
      <c r="E100" s="1">
        <v>207</v>
      </c>
      <c r="F100" s="1">
        <v>2</v>
      </c>
      <c r="G100" s="3">
        <v>0.33457175925925925</v>
      </c>
      <c r="H100" s="3">
        <v>0.3362384259259259</v>
      </c>
      <c r="I100" s="3">
        <v>1.6666666666666496E-3</v>
      </c>
      <c r="J100" s="3">
        <v>1.6666666666666496E-3</v>
      </c>
      <c r="K100" s="5">
        <f t="shared" si="24"/>
        <v>144</v>
      </c>
      <c r="L100" s="3">
        <v>3.3877314814814818E-2</v>
      </c>
      <c r="N100" s="1" t="s">
        <v>42</v>
      </c>
      <c r="O100" s="1" t="s">
        <v>286</v>
      </c>
      <c r="P100" s="1" t="s">
        <v>227</v>
      </c>
      <c r="Q100" s="1" t="s">
        <v>76</v>
      </c>
      <c r="R100" s="1" t="s">
        <v>76</v>
      </c>
      <c r="S100" s="1" t="s">
        <v>46</v>
      </c>
      <c r="T100" s="1" t="s">
        <v>47</v>
      </c>
      <c r="V100" s="1" t="s">
        <v>49</v>
      </c>
      <c r="W100" s="1" t="s">
        <v>268</v>
      </c>
      <c r="X100" s="1" t="s">
        <v>316</v>
      </c>
      <c r="Y100" s="1" t="s">
        <v>52</v>
      </c>
      <c r="Z100" s="1" t="s">
        <v>317</v>
      </c>
      <c r="AA100" s="1">
        <v>1</v>
      </c>
      <c r="AB100" s="1" t="s">
        <v>318</v>
      </c>
      <c r="AC100" s="1">
        <v>0</v>
      </c>
      <c r="AD100" s="1" t="s">
        <v>105</v>
      </c>
      <c r="AE100" s="1" t="s">
        <v>57</v>
      </c>
      <c r="AF100" s="1" t="s">
        <v>113</v>
      </c>
      <c r="AG100" s="1" t="s">
        <v>319</v>
      </c>
      <c r="AH100" s="1" t="s">
        <v>165</v>
      </c>
      <c r="AK100" s="1" t="s">
        <v>86</v>
      </c>
      <c r="AL100" s="1" t="s">
        <v>133</v>
      </c>
      <c r="AM100" s="1">
        <v>1</v>
      </c>
      <c r="AN100" s="1">
        <v>0</v>
      </c>
      <c r="AO100" s="1">
        <f t="shared" si="26"/>
        <v>1</v>
      </c>
      <c r="AQ100" s="1" t="s">
        <v>183</v>
      </c>
    </row>
    <row r="101" spans="1:49" x14ac:dyDescent="0.4">
      <c r="A101" s="1">
        <v>1</v>
      </c>
      <c r="B101" s="1">
        <v>1</v>
      </c>
      <c r="C101" s="1" t="s">
        <v>41</v>
      </c>
      <c r="D101" s="2">
        <v>38924</v>
      </c>
      <c r="E101" s="1">
        <v>207</v>
      </c>
      <c r="F101" s="1">
        <v>3.5</v>
      </c>
      <c r="G101" s="3">
        <v>0.37011574074074072</v>
      </c>
      <c r="H101" s="3">
        <v>0.37337962962962962</v>
      </c>
      <c r="I101" s="3">
        <v>3.2638888888888995E-3</v>
      </c>
      <c r="J101" s="3">
        <v>1.6203703703709937E-4</v>
      </c>
      <c r="K101" s="5">
        <f t="shared" si="24"/>
        <v>14</v>
      </c>
      <c r="L101" s="3">
        <v>0.10555555555555551</v>
      </c>
      <c r="N101" s="1" t="s">
        <v>42</v>
      </c>
      <c r="O101" s="1" t="s">
        <v>286</v>
      </c>
      <c r="P101" s="1" t="s">
        <v>227</v>
      </c>
      <c r="Q101" s="1" t="s">
        <v>45</v>
      </c>
      <c r="R101" s="1" t="s">
        <v>76</v>
      </c>
      <c r="S101" s="1" t="s">
        <v>46</v>
      </c>
      <c r="T101" s="1" t="s">
        <v>45</v>
      </c>
      <c r="U101" s="1" t="s">
        <v>48</v>
      </c>
      <c r="AB101" s="1" t="s">
        <v>93</v>
      </c>
      <c r="AC101" s="1">
        <v>1</v>
      </c>
      <c r="AI101" s="1" t="s">
        <v>60</v>
      </c>
      <c r="AK101" s="1" t="s">
        <v>86</v>
      </c>
      <c r="AL101" s="1" t="s">
        <v>133</v>
      </c>
      <c r="AN101" s="1">
        <v>1</v>
      </c>
      <c r="AO101" s="1">
        <f t="shared" si="26"/>
        <v>1</v>
      </c>
      <c r="AQ101" s="1" t="s">
        <v>73</v>
      </c>
      <c r="AR101" s="4">
        <f>AR94/$AR$3</f>
        <v>0.30069930069930068</v>
      </c>
      <c r="AS101" s="4">
        <f t="shared" ref="AS101:AT101" si="43">AS94/$AR$3</f>
        <v>0.55244755244755239</v>
      </c>
      <c r="AT101" s="4">
        <f t="shared" si="43"/>
        <v>0.14685314685314685</v>
      </c>
      <c r="AU101" s="4">
        <f>AU94/$AR$3</f>
        <v>0.35594405594405593</v>
      </c>
      <c r="AV101" s="4">
        <f>AV94/$AR$3</f>
        <v>8.7412587412587409E-2</v>
      </c>
      <c r="AW101" s="4">
        <f>AW94/$AR$3</f>
        <v>0.55664335664335662</v>
      </c>
    </row>
    <row r="102" spans="1:49" x14ac:dyDescent="0.4">
      <c r="A102" s="1">
        <v>1</v>
      </c>
      <c r="B102" s="1">
        <v>1</v>
      </c>
      <c r="C102" s="1" t="s">
        <v>41</v>
      </c>
      <c r="D102" s="2">
        <v>38924</v>
      </c>
      <c r="E102" s="1">
        <v>207</v>
      </c>
      <c r="F102" s="1">
        <v>5</v>
      </c>
      <c r="G102" s="3">
        <v>0.47893518518518513</v>
      </c>
      <c r="H102" s="3">
        <v>0.48217592592592595</v>
      </c>
      <c r="I102" s="3">
        <v>3.2407407407408217E-3</v>
      </c>
      <c r="J102" s="3">
        <v>3.2407407407408217E-3</v>
      </c>
      <c r="K102" s="5">
        <f t="shared" si="24"/>
        <v>280</v>
      </c>
      <c r="L102" s="3">
        <v>0.10431712962962958</v>
      </c>
      <c r="N102" s="1" t="s">
        <v>42</v>
      </c>
      <c r="O102" s="1" t="s">
        <v>286</v>
      </c>
      <c r="P102" s="1" t="s">
        <v>227</v>
      </c>
      <c r="Q102" s="1" t="s">
        <v>76</v>
      </c>
      <c r="R102" s="1" t="s">
        <v>76</v>
      </c>
      <c r="S102" s="1" t="s">
        <v>46</v>
      </c>
      <c r="T102" s="1" t="s">
        <v>45</v>
      </c>
      <c r="U102" s="1" t="s">
        <v>156</v>
      </c>
      <c r="V102" s="1" t="s">
        <v>49</v>
      </c>
      <c r="W102" s="1" t="s">
        <v>140</v>
      </c>
      <c r="X102" s="1" t="s">
        <v>320</v>
      </c>
      <c r="Y102" s="1" t="s">
        <v>321</v>
      </c>
      <c r="Z102" s="1" t="s">
        <v>322</v>
      </c>
      <c r="AB102" s="1" t="s">
        <v>323</v>
      </c>
      <c r="AC102" s="1">
        <v>0</v>
      </c>
      <c r="AD102" s="1" t="s">
        <v>105</v>
      </c>
      <c r="AE102" s="1" t="s">
        <v>181</v>
      </c>
      <c r="AF102" s="1" t="s">
        <v>113</v>
      </c>
      <c r="AG102" s="1" t="s">
        <v>324</v>
      </c>
      <c r="AH102" s="1" t="s">
        <v>206</v>
      </c>
      <c r="AI102" s="1" t="s">
        <v>75</v>
      </c>
      <c r="AK102" s="1" t="s">
        <v>86</v>
      </c>
      <c r="AL102" s="1" t="s">
        <v>133</v>
      </c>
      <c r="AM102" s="1">
        <v>1</v>
      </c>
      <c r="AN102" s="1">
        <v>0</v>
      </c>
      <c r="AO102" s="1">
        <f t="shared" si="26"/>
        <v>1</v>
      </c>
      <c r="AQ102" s="1" t="s">
        <v>88</v>
      </c>
      <c r="AR102" s="4">
        <f>AR95/$AR$4</f>
        <v>0.35233160621761656</v>
      </c>
      <c r="AS102" s="4">
        <f t="shared" ref="AS102:AV102" si="44">AS95/$AR$4</f>
        <v>0.50777202072538863</v>
      </c>
      <c r="AT102" s="4">
        <f t="shared" si="44"/>
        <v>0.13989637305699482</v>
      </c>
      <c r="AU102" s="4">
        <f t="shared" si="44"/>
        <v>0.40414507772020725</v>
      </c>
      <c r="AV102" s="4">
        <f t="shared" si="44"/>
        <v>9.8445595854922283E-2</v>
      </c>
      <c r="AW102" s="4">
        <f>AW95/$AR$4</f>
        <v>0.49740932642487046</v>
      </c>
    </row>
    <row r="103" spans="1:49" x14ac:dyDescent="0.4">
      <c r="A103" s="1">
        <v>1</v>
      </c>
      <c r="B103" s="1">
        <v>1</v>
      </c>
      <c r="C103" s="1" t="s">
        <v>41</v>
      </c>
      <c r="D103" s="2">
        <v>38924</v>
      </c>
      <c r="E103" s="1">
        <v>207</v>
      </c>
      <c r="F103" s="1">
        <v>5.5</v>
      </c>
      <c r="G103" s="3">
        <v>0.58649305555555553</v>
      </c>
      <c r="H103" s="3">
        <v>0.58655092592592595</v>
      </c>
      <c r="I103" s="3">
        <v>5.7870370370416424E-5</v>
      </c>
      <c r="J103" s="3">
        <v>5.7870370370416424E-5</v>
      </c>
      <c r="K103" s="5">
        <f t="shared" si="24"/>
        <v>5</v>
      </c>
      <c r="L103" s="3">
        <v>2.2812500000000013E-2</v>
      </c>
      <c r="N103" s="1" t="s">
        <v>42</v>
      </c>
      <c r="O103" s="1" t="s">
        <v>286</v>
      </c>
      <c r="P103" s="1" t="s">
        <v>227</v>
      </c>
      <c r="Q103" s="1" t="s">
        <v>132</v>
      </c>
      <c r="R103" s="1" t="s">
        <v>76</v>
      </c>
      <c r="S103" s="1" t="s">
        <v>46</v>
      </c>
      <c r="T103" s="1" t="s">
        <v>76</v>
      </c>
      <c r="U103" s="1" t="s">
        <v>156</v>
      </c>
      <c r="AB103" s="1" t="s">
        <v>93</v>
      </c>
      <c r="AC103" s="1">
        <v>1</v>
      </c>
      <c r="AI103" s="1" t="s">
        <v>75</v>
      </c>
      <c r="AK103" s="1" t="s">
        <v>86</v>
      </c>
      <c r="AL103" s="1" t="s">
        <v>87</v>
      </c>
      <c r="AN103" s="1">
        <v>1</v>
      </c>
      <c r="AO103" s="1">
        <f t="shared" si="26"/>
        <v>1</v>
      </c>
      <c r="AQ103" s="1" t="s">
        <v>94</v>
      </c>
      <c r="AR103" s="4">
        <f>AR96/$AR$5</f>
        <v>0.35652173913043478</v>
      </c>
      <c r="AS103" s="4">
        <f t="shared" ref="AS103:AW103" si="45">AS96/$AR$5</f>
        <v>0.54347826086956519</v>
      </c>
      <c r="AT103" s="4">
        <f t="shared" si="45"/>
        <v>0.1</v>
      </c>
      <c r="AU103" s="4">
        <f t="shared" si="45"/>
        <v>0.36086956521739133</v>
      </c>
      <c r="AV103" s="4">
        <f t="shared" si="45"/>
        <v>6.9565217391304349E-2</v>
      </c>
      <c r="AW103" s="4">
        <f t="shared" si="45"/>
        <v>0.56956521739130439</v>
      </c>
    </row>
    <row r="104" spans="1:49" x14ac:dyDescent="0.4">
      <c r="A104" s="1">
        <v>1</v>
      </c>
      <c r="B104" s="1">
        <v>1</v>
      </c>
      <c r="C104" s="1" t="s">
        <v>41</v>
      </c>
      <c r="D104" s="2">
        <v>38924</v>
      </c>
      <c r="E104" s="1">
        <v>207</v>
      </c>
      <c r="F104" s="1">
        <v>7.5</v>
      </c>
      <c r="G104" s="3">
        <v>0.60936342592592596</v>
      </c>
      <c r="H104" s="3">
        <v>0.60997685185185191</v>
      </c>
      <c r="I104" s="3">
        <v>6.134259259259478E-4</v>
      </c>
      <c r="J104" s="3">
        <v>1.0416666666668295E-4</v>
      </c>
      <c r="K104" s="5">
        <f t="shared" si="24"/>
        <v>9</v>
      </c>
      <c r="L104" s="3">
        <v>1.5995370370370354E-2</v>
      </c>
      <c r="N104" s="1" t="s">
        <v>42</v>
      </c>
      <c r="O104" s="1" t="s">
        <v>286</v>
      </c>
      <c r="P104" s="1" t="s">
        <v>227</v>
      </c>
      <c r="Q104" s="1" t="s">
        <v>132</v>
      </c>
      <c r="R104" s="1" t="s">
        <v>76</v>
      </c>
      <c r="S104" s="1" t="s">
        <v>46</v>
      </c>
      <c r="T104" s="1" t="s">
        <v>76</v>
      </c>
      <c r="U104" s="1" t="s">
        <v>156</v>
      </c>
      <c r="AB104" s="1" t="s">
        <v>93</v>
      </c>
      <c r="AC104" s="1">
        <v>1</v>
      </c>
      <c r="AI104" s="1" t="s">
        <v>75</v>
      </c>
      <c r="AK104" s="1" t="s">
        <v>86</v>
      </c>
      <c r="AL104" s="1" t="s">
        <v>133</v>
      </c>
      <c r="AN104" s="1">
        <v>1</v>
      </c>
      <c r="AO104" s="1">
        <f t="shared" si="26"/>
        <v>1</v>
      </c>
      <c r="AQ104" s="1" t="s">
        <v>100</v>
      </c>
      <c r="AR104" s="4">
        <f>AR97/$AR$6</f>
        <v>0.26721763085399447</v>
      </c>
      <c r="AS104" s="4">
        <f t="shared" ref="AS104:AW104" si="46">AS97/$AR$6</f>
        <v>0.52066115702479343</v>
      </c>
      <c r="AT104" s="4">
        <f t="shared" si="46"/>
        <v>0.21212121212121213</v>
      </c>
      <c r="AU104" s="4">
        <f t="shared" si="46"/>
        <v>0.39669421487603307</v>
      </c>
      <c r="AV104" s="4">
        <f t="shared" si="46"/>
        <v>0.12396694214876033</v>
      </c>
      <c r="AW104" s="4">
        <f t="shared" si="46"/>
        <v>0.47933884297520662</v>
      </c>
    </row>
    <row r="105" spans="1:49" x14ac:dyDescent="0.4">
      <c r="A105" s="1">
        <v>1</v>
      </c>
      <c r="B105" s="1">
        <v>1</v>
      </c>
      <c r="C105" s="1" t="s">
        <v>41</v>
      </c>
      <c r="D105" s="2">
        <v>38924</v>
      </c>
      <c r="E105" s="1">
        <v>207</v>
      </c>
      <c r="F105" s="1">
        <v>8</v>
      </c>
      <c r="G105" s="3">
        <v>0.62597222222222226</v>
      </c>
      <c r="H105" s="3">
        <v>0.62626157407407412</v>
      </c>
      <c r="I105" s="3">
        <v>2.8935185185186008E-4</v>
      </c>
      <c r="J105" s="3">
        <v>2.8935185185186008E-4</v>
      </c>
      <c r="K105" s="5">
        <f t="shared" si="24"/>
        <v>25</v>
      </c>
      <c r="L105" s="3">
        <v>2.9976851851851838E-2</v>
      </c>
      <c r="N105" s="1" t="s">
        <v>42</v>
      </c>
      <c r="O105" s="1" t="s">
        <v>286</v>
      </c>
      <c r="P105" s="1" t="s">
        <v>227</v>
      </c>
      <c r="Q105" s="1" t="s">
        <v>132</v>
      </c>
      <c r="R105" s="1" t="s">
        <v>45</v>
      </c>
      <c r="S105" s="1" t="s">
        <v>46</v>
      </c>
      <c r="T105" s="1" t="s">
        <v>45</v>
      </c>
      <c r="U105" s="1" t="s">
        <v>156</v>
      </c>
      <c r="V105" s="1" t="s">
        <v>102</v>
      </c>
      <c r="W105" s="1" t="s">
        <v>103</v>
      </c>
      <c r="X105" s="1" t="s">
        <v>275</v>
      </c>
      <c r="Y105" s="1" t="s">
        <v>52</v>
      </c>
      <c r="Z105" s="1" t="s">
        <v>325</v>
      </c>
      <c r="AA105" s="1" t="s">
        <v>326</v>
      </c>
      <c r="AB105" s="1" t="s">
        <v>327</v>
      </c>
      <c r="AC105" s="1">
        <v>0</v>
      </c>
      <c r="AD105" s="1" t="s">
        <v>56</v>
      </c>
      <c r="AE105" s="1" t="s">
        <v>57</v>
      </c>
      <c r="AG105" s="1" t="s">
        <v>328</v>
      </c>
      <c r="AH105" s="1" t="s">
        <v>157</v>
      </c>
      <c r="AI105" s="1" t="s">
        <v>75</v>
      </c>
      <c r="AK105" s="1" t="s">
        <v>329</v>
      </c>
      <c r="AL105" s="1" t="s">
        <v>329</v>
      </c>
      <c r="AM105" s="1">
        <v>1</v>
      </c>
      <c r="AN105" s="1">
        <v>0</v>
      </c>
      <c r="AO105" s="1">
        <f t="shared" si="26"/>
        <v>1</v>
      </c>
      <c r="AQ105" s="1" t="s">
        <v>107</v>
      </c>
      <c r="AR105" s="4">
        <f>AR98/$AR$7</f>
        <v>0.47794117647058826</v>
      </c>
      <c r="AS105" s="4">
        <f t="shared" ref="AS105:AV105" si="47">AS98/$AR$7</f>
        <v>0.38970588235294118</v>
      </c>
      <c r="AT105" s="4">
        <f t="shared" si="47"/>
        <v>0.13235294117647059</v>
      </c>
      <c r="AU105" s="4">
        <f t="shared" si="47"/>
        <v>0.23529411764705882</v>
      </c>
      <c r="AV105" s="4">
        <f t="shared" si="47"/>
        <v>9.5588235294117641E-2</v>
      </c>
      <c r="AW105" s="4">
        <f>AW98/$AR$7</f>
        <v>0.66911764705882348</v>
      </c>
    </row>
    <row r="106" spans="1:49" x14ac:dyDescent="0.4">
      <c r="A106" s="1">
        <v>1</v>
      </c>
      <c r="B106" s="1">
        <v>1</v>
      </c>
      <c r="C106" s="1" t="s">
        <v>41</v>
      </c>
      <c r="D106" s="2">
        <v>38924</v>
      </c>
      <c r="E106" s="1">
        <v>207</v>
      </c>
      <c r="F106" s="1">
        <v>9</v>
      </c>
      <c r="G106" s="3">
        <v>0.65623842592592596</v>
      </c>
      <c r="H106" s="3">
        <v>0.6690625</v>
      </c>
      <c r="I106" s="3">
        <v>1.2824074074074043E-2</v>
      </c>
      <c r="J106" s="3">
        <v>1.2824074074074043E-2</v>
      </c>
      <c r="K106" s="5">
        <f t="shared" si="24"/>
        <v>1108</v>
      </c>
      <c r="L106" s="3">
        <v>2.0000000000000018E-2</v>
      </c>
      <c r="N106" s="1" t="s">
        <v>42</v>
      </c>
      <c r="O106" s="1" t="s">
        <v>286</v>
      </c>
      <c r="P106" s="1" t="s">
        <v>227</v>
      </c>
      <c r="Q106" s="1" t="s">
        <v>45</v>
      </c>
      <c r="R106" s="1" t="s">
        <v>45</v>
      </c>
      <c r="S106" s="1" t="s">
        <v>46</v>
      </c>
      <c r="T106" s="1" t="s">
        <v>47</v>
      </c>
      <c r="V106" s="1" t="s">
        <v>49</v>
      </c>
      <c r="W106" s="1" t="s">
        <v>308</v>
      </c>
      <c r="X106" s="1" t="s">
        <v>309</v>
      </c>
      <c r="Y106" s="1" t="s">
        <v>270</v>
      </c>
      <c r="Z106" s="1" t="s">
        <v>271</v>
      </c>
      <c r="AA106" s="1" t="s">
        <v>310</v>
      </c>
      <c r="AB106" s="1" t="s">
        <v>311</v>
      </c>
      <c r="AC106" s="1">
        <v>0</v>
      </c>
      <c r="AD106" s="1" t="s">
        <v>56</v>
      </c>
      <c r="AE106" s="1" t="s">
        <v>57</v>
      </c>
      <c r="AF106" s="1" t="s">
        <v>113</v>
      </c>
      <c r="AG106" s="1" t="s">
        <v>330</v>
      </c>
      <c r="AH106" s="1" t="s">
        <v>59</v>
      </c>
      <c r="AK106" s="1" t="s">
        <v>116</v>
      </c>
      <c r="AL106" s="1" t="s">
        <v>174</v>
      </c>
      <c r="AM106" s="1">
        <v>2</v>
      </c>
      <c r="AN106" s="1">
        <v>0</v>
      </c>
      <c r="AO106" s="1">
        <f t="shared" si="26"/>
        <v>2</v>
      </c>
      <c r="AQ106" s="1" t="s">
        <v>118</v>
      </c>
      <c r="AR106" s="4">
        <f>AR99/$AR$8</f>
        <v>0.23228346456692914</v>
      </c>
      <c r="AS106" s="4">
        <f t="shared" ref="AS106:AU106" si="48">AS99/$AR$8</f>
        <v>0.63976377952755903</v>
      </c>
      <c r="AT106" s="4">
        <f t="shared" si="48"/>
        <v>0.12795275590551181</v>
      </c>
      <c r="AU106" s="4">
        <f t="shared" si="48"/>
        <v>0.33858267716535434</v>
      </c>
      <c r="AV106" s="4">
        <f>AV99/$AR$8</f>
        <v>6.2992125984251968E-2</v>
      </c>
      <c r="AW106" s="4">
        <f>AW99/$AR$8</f>
        <v>0.59842519685039375</v>
      </c>
    </row>
    <row r="107" spans="1:49" x14ac:dyDescent="0.4">
      <c r="A107" s="1">
        <v>1</v>
      </c>
      <c r="B107" s="1">
        <v>1</v>
      </c>
      <c r="C107" s="1" t="s">
        <v>41</v>
      </c>
      <c r="D107" s="2">
        <v>38924</v>
      </c>
      <c r="E107" s="1">
        <v>207</v>
      </c>
      <c r="F107" s="1">
        <v>11</v>
      </c>
      <c r="G107" s="3">
        <v>0.68906250000000002</v>
      </c>
      <c r="H107" s="3">
        <v>0.69135416666666671</v>
      </c>
      <c r="I107" s="3">
        <v>2.2916666666666918E-3</v>
      </c>
      <c r="J107" s="3">
        <v>2.0486111111110983E-3</v>
      </c>
      <c r="K107" s="5">
        <f t="shared" si="24"/>
        <v>177</v>
      </c>
      <c r="L107" s="3" t="s">
        <v>120</v>
      </c>
      <c r="N107" s="1" t="s">
        <v>42</v>
      </c>
      <c r="O107" s="1" t="s">
        <v>286</v>
      </c>
      <c r="P107" s="1" t="s">
        <v>227</v>
      </c>
      <c r="Q107" s="1" t="s">
        <v>76</v>
      </c>
      <c r="R107" s="1" t="s">
        <v>76</v>
      </c>
      <c r="S107" s="1" t="s">
        <v>46</v>
      </c>
      <c r="T107" s="1" t="s">
        <v>47</v>
      </c>
      <c r="U107" s="1" t="s">
        <v>156</v>
      </c>
      <c r="V107" s="1" t="s">
        <v>102</v>
      </c>
      <c r="W107" s="1" t="s">
        <v>103</v>
      </c>
      <c r="X107" s="1" t="s">
        <v>96</v>
      </c>
      <c r="AB107" s="1" t="s">
        <v>104</v>
      </c>
      <c r="AC107" s="1">
        <v>0</v>
      </c>
      <c r="AD107" s="1" t="s">
        <v>105</v>
      </c>
      <c r="AE107" s="1" t="s">
        <v>70</v>
      </c>
      <c r="AG107" s="1" t="s">
        <v>331</v>
      </c>
      <c r="AH107" s="1" t="s">
        <v>157</v>
      </c>
      <c r="AI107" s="1" t="s">
        <v>75</v>
      </c>
      <c r="AK107" s="1" t="s">
        <v>86</v>
      </c>
      <c r="AL107" s="1" t="s">
        <v>133</v>
      </c>
      <c r="AM107" s="1">
        <v>2</v>
      </c>
      <c r="AN107" s="1">
        <v>0</v>
      </c>
      <c r="AO107" s="1">
        <f t="shared" si="26"/>
        <v>2</v>
      </c>
      <c r="AQ107" s="1" t="s">
        <v>188</v>
      </c>
      <c r="AR107" s="4">
        <f>AVERAGE(AR102:AR106)</f>
        <v>0.33725912344791265</v>
      </c>
      <c r="AS107" s="4">
        <f>AVERAGE(AS102:AS106)</f>
        <v>0.52027622010004948</v>
      </c>
      <c r="AT107" s="4">
        <f t="shared" ref="AT107" si="49">AVERAGE(AT102:AT106)</f>
        <v>0.14246465645203787</v>
      </c>
      <c r="AU107" s="4">
        <f>AVERAGE(AU102:AU106)</f>
        <v>0.34711713052520898</v>
      </c>
      <c r="AV107" s="4">
        <f>AVERAGE(AV102:AV106)</f>
        <v>9.0111623334671306E-2</v>
      </c>
      <c r="AW107" s="4">
        <f>AVERAGE(AW102:AW106)</f>
        <v>0.56277124614011975</v>
      </c>
    </row>
    <row r="108" spans="1:49" x14ac:dyDescent="0.4">
      <c r="A108" s="1">
        <v>1</v>
      </c>
      <c r="B108" s="1">
        <v>1</v>
      </c>
      <c r="C108" s="1" t="s">
        <v>41</v>
      </c>
      <c r="D108" s="2">
        <v>38925</v>
      </c>
      <c r="E108" s="1">
        <v>208</v>
      </c>
      <c r="F108" s="1">
        <v>1</v>
      </c>
      <c r="G108" s="3">
        <v>0.28047453703703701</v>
      </c>
      <c r="H108" s="3">
        <v>0.28126157407407409</v>
      </c>
      <c r="I108" s="3">
        <v>7.8703703703708605E-4</v>
      </c>
      <c r="J108" s="3">
        <v>7.8703703703708605E-4</v>
      </c>
      <c r="K108" s="5">
        <f t="shared" si="24"/>
        <v>68</v>
      </c>
      <c r="L108" s="3">
        <v>2.0439814814814827E-2</v>
      </c>
      <c r="N108" s="1" t="s">
        <v>42</v>
      </c>
      <c r="O108" s="1" t="s">
        <v>286</v>
      </c>
      <c r="P108" s="1" t="s">
        <v>227</v>
      </c>
      <c r="Q108" s="1" t="s">
        <v>76</v>
      </c>
      <c r="R108" s="1" t="s">
        <v>76</v>
      </c>
      <c r="S108" s="1" t="s">
        <v>46</v>
      </c>
      <c r="T108" s="1" t="s">
        <v>47</v>
      </c>
      <c r="U108" s="1" t="s">
        <v>66</v>
      </c>
      <c r="V108" s="1" t="s">
        <v>49</v>
      </c>
      <c r="W108" s="1" t="s">
        <v>168</v>
      </c>
      <c r="X108" s="1" t="s">
        <v>313</v>
      </c>
      <c r="AB108" s="1" t="s">
        <v>258</v>
      </c>
      <c r="AC108" s="1">
        <v>0</v>
      </c>
      <c r="AD108" s="1" t="s">
        <v>105</v>
      </c>
      <c r="AG108" s="1" t="s">
        <v>331</v>
      </c>
      <c r="AH108" s="1" t="s">
        <v>157</v>
      </c>
      <c r="AI108" s="1" t="s">
        <v>71</v>
      </c>
      <c r="AK108" s="1" t="s">
        <v>86</v>
      </c>
      <c r="AL108" s="1" t="s">
        <v>133</v>
      </c>
      <c r="AM108" s="1">
        <v>2</v>
      </c>
      <c r="AN108" s="1">
        <v>0</v>
      </c>
      <c r="AO108" s="1">
        <f t="shared" si="26"/>
        <v>2</v>
      </c>
      <c r="AQ108" s="1" t="s">
        <v>189</v>
      </c>
      <c r="AR108" s="4">
        <f>STDEV(AR102:AR106)</f>
        <v>9.528295727034658E-2</v>
      </c>
      <c r="AS108" s="4">
        <f t="shared" ref="AS108:AT108" si="50">STDEV(AS102:AS106)</f>
        <v>8.9471682435903213E-2</v>
      </c>
      <c r="AT108" s="4">
        <f t="shared" si="50"/>
        <v>4.1757397303250413E-2</v>
      </c>
      <c r="AU108" s="4">
        <f>STDEV(AU102:AU106)</f>
        <v>6.7964009992909538E-2</v>
      </c>
      <c r="AV108" s="4">
        <f>STDEV(AV102:AV106)</f>
        <v>2.4511491806167612E-2</v>
      </c>
      <c r="AW108" s="4">
        <f>STDEV(AW102:AW106)</f>
        <v>7.7233518762435033E-2</v>
      </c>
    </row>
    <row r="109" spans="1:49" x14ac:dyDescent="0.4">
      <c r="A109" s="1">
        <v>1</v>
      </c>
      <c r="B109" s="1">
        <v>1</v>
      </c>
      <c r="C109" s="1" t="s">
        <v>41</v>
      </c>
      <c r="D109" s="2">
        <v>38925</v>
      </c>
      <c r="E109" s="1">
        <v>208</v>
      </c>
      <c r="F109" s="1">
        <v>2</v>
      </c>
      <c r="G109" s="3">
        <v>0.30170138888888892</v>
      </c>
      <c r="H109" s="3">
        <v>0.32920138888888889</v>
      </c>
      <c r="I109" s="3">
        <v>2.7499999999999969E-2</v>
      </c>
      <c r="J109" s="3">
        <v>2.5844907407407358E-2</v>
      </c>
      <c r="K109" s="5">
        <f t="shared" si="24"/>
        <v>2233</v>
      </c>
      <c r="L109" s="3">
        <v>1.3518518518518541E-2</v>
      </c>
      <c r="N109" s="1" t="s">
        <v>42</v>
      </c>
      <c r="O109" s="1" t="s">
        <v>286</v>
      </c>
      <c r="P109" s="1" t="s">
        <v>227</v>
      </c>
      <c r="Q109" s="1" t="s">
        <v>45</v>
      </c>
      <c r="R109" s="1" t="s">
        <v>76</v>
      </c>
      <c r="S109" s="1" t="s">
        <v>46</v>
      </c>
      <c r="T109" s="1" t="s">
        <v>47</v>
      </c>
      <c r="U109" s="1" t="s">
        <v>66</v>
      </c>
      <c r="V109" s="1" t="s">
        <v>49</v>
      </c>
      <c r="W109" s="1" t="s">
        <v>77</v>
      </c>
      <c r="X109" s="1" t="s">
        <v>332</v>
      </c>
      <c r="Y109" s="1" t="s">
        <v>235</v>
      </c>
      <c r="Z109" s="1" t="s">
        <v>333</v>
      </c>
      <c r="AA109" s="1" t="s">
        <v>334</v>
      </c>
      <c r="AB109" s="1" t="s">
        <v>335</v>
      </c>
      <c r="AC109" s="1">
        <v>0</v>
      </c>
      <c r="AD109" s="1" t="s">
        <v>56</v>
      </c>
      <c r="AE109" s="1" t="s">
        <v>83</v>
      </c>
      <c r="AF109" s="1" t="s">
        <v>113</v>
      </c>
      <c r="AG109" s="1" t="s">
        <v>336</v>
      </c>
      <c r="AH109" s="1" t="s">
        <v>157</v>
      </c>
      <c r="AI109" s="1" t="s">
        <v>71</v>
      </c>
      <c r="AK109" s="1" t="s">
        <v>86</v>
      </c>
      <c r="AL109" s="1" t="s">
        <v>133</v>
      </c>
      <c r="AM109" s="1">
        <v>1</v>
      </c>
      <c r="AN109" s="1">
        <v>0</v>
      </c>
      <c r="AO109" s="1">
        <f t="shared" si="26"/>
        <v>1</v>
      </c>
      <c r="AQ109" s="1" t="s">
        <v>337</v>
      </c>
    </row>
    <row r="110" spans="1:49" x14ac:dyDescent="0.4">
      <c r="A110" s="1">
        <v>1</v>
      </c>
      <c r="B110" s="1">
        <v>1</v>
      </c>
      <c r="C110" s="1" t="s">
        <v>41</v>
      </c>
      <c r="D110" s="2">
        <v>38925</v>
      </c>
      <c r="E110" s="1">
        <v>208</v>
      </c>
      <c r="F110" s="1">
        <v>3</v>
      </c>
      <c r="G110" s="3">
        <v>0.34271990740740743</v>
      </c>
      <c r="H110" s="3">
        <v>0.35114583333333332</v>
      </c>
      <c r="I110" s="3">
        <v>8.4259259259258923E-3</v>
      </c>
      <c r="J110" s="3">
        <v>8.4259259259258923E-3</v>
      </c>
      <c r="K110" s="5">
        <f t="shared" si="24"/>
        <v>728</v>
      </c>
      <c r="L110" s="3">
        <v>2.1412037037037424E-3</v>
      </c>
      <c r="N110" s="1" t="s">
        <v>42</v>
      </c>
      <c r="O110" s="1" t="s">
        <v>286</v>
      </c>
      <c r="P110" s="1" t="s">
        <v>227</v>
      </c>
      <c r="Q110" s="1" t="s">
        <v>76</v>
      </c>
      <c r="R110" s="1" t="s">
        <v>76</v>
      </c>
      <c r="S110" s="1" t="s">
        <v>46</v>
      </c>
      <c r="T110" s="1" t="s">
        <v>47</v>
      </c>
      <c r="V110" s="1" t="s">
        <v>49</v>
      </c>
      <c r="W110" s="1" t="s">
        <v>77</v>
      </c>
      <c r="X110" s="1" t="s">
        <v>332</v>
      </c>
      <c r="Y110" s="1" t="s">
        <v>338</v>
      </c>
      <c r="Z110" s="1" t="s">
        <v>339</v>
      </c>
      <c r="AA110" s="1" t="s">
        <v>340</v>
      </c>
      <c r="AB110" s="1" t="s">
        <v>341</v>
      </c>
      <c r="AC110" s="1">
        <v>0</v>
      </c>
      <c r="AD110" s="1" t="s">
        <v>56</v>
      </c>
      <c r="AE110" s="1" t="s">
        <v>83</v>
      </c>
      <c r="AF110" s="1" t="s">
        <v>153</v>
      </c>
      <c r="AG110" s="1" t="s">
        <v>342</v>
      </c>
      <c r="AH110" s="1" t="s">
        <v>115</v>
      </c>
      <c r="AK110" s="1" t="s">
        <v>86</v>
      </c>
      <c r="AL110" s="1" t="s">
        <v>86</v>
      </c>
      <c r="AM110" s="1">
        <v>2</v>
      </c>
      <c r="AN110" s="1">
        <v>0</v>
      </c>
      <c r="AO110" s="1">
        <f t="shared" si="26"/>
        <v>2</v>
      </c>
      <c r="AQ110" s="1" t="s">
        <v>73</v>
      </c>
      <c r="AR110" s="6">
        <f t="shared" ref="AR110:AR115" si="51">AT13-SUM(AS110:AT110)</f>
        <v>68.73333333333332</v>
      </c>
      <c r="AS110" s="4">
        <f>SUMIFS($K$2:$K$1431, $C$2:$C$1431, "Fem", $AF$2:$AF$1431, "")/60/60</f>
        <v>22.886666666666667</v>
      </c>
      <c r="AT110" s="4">
        <f>SUMIFS($K$2:$K$1431, $C$2:$C$1431, "Mal", $AF$2:$AF$1431, "")/60/60</f>
        <v>5.589722222222222</v>
      </c>
      <c r="AU110" s="4">
        <f>SUMIFS($K$2:$K$1431, $C$2:$C$1431, "Fem", $AF$2:$AF$1431, "", $AO$2:$AO$1431, "&lt;2")/60/60</f>
        <v>11.229999999999999</v>
      </c>
      <c r="AV110" s="4">
        <f>SUMIFS($K$2:$K$1431, $C$2:$C$1431, "Mal", $AF$2:$AF$1431, "", $AO$2:$AO$1431, "&lt;2")/60/60</f>
        <v>2.8680555555555558</v>
      </c>
      <c r="AW110" s="4">
        <f t="shared" ref="AW110:AW115" si="52">AT13-SUM(AU110:AV110)</f>
        <v>83.11166666666665</v>
      </c>
    </row>
    <row r="111" spans="1:49" x14ac:dyDescent="0.4">
      <c r="A111" s="1">
        <v>1</v>
      </c>
      <c r="B111" s="1">
        <v>1</v>
      </c>
      <c r="C111" s="1" t="s">
        <v>41</v>
      </c>
      <c r="D111" s="2">
        <v>38925</v>
      </c>
      <c r="E111" s="1">
        <v>208</v>
      </c>
      <c r="F111" s="1">
        <v>3.5</v>
      </c>
      <c r="G111" s="3">
        <v>0.35328703703703707</v>
      </c>
      <c r="H111" s="3">
        <v>0.3533101851851852</v>
      </c>
      <c r="I111" s="3">
        <v>2.3148148148133263E-5</v>
      </c>
      <c r="J111" s="3">
        <v>2.3148148148133263E-5</v>
      </c>
      <c r="K111" s="5">
        <f t="shared" si="24"/>
        <v>2</v>
      </c>
      <c r="L111" s="3">
        <v>5.3124999999999978E-3</v>
      </c>
      <c r="N111" s="1" t="s">
        <v>42</v>
      </c>
      <c r="O111" s="1" t="s">
        <v>286</v>
      </c>
      <c r="P111" s="1" t="s">
        <v>227</v>
      </c>
      <c r="Q111" s="1" t="s">
        <v>76</v>
      </c>
      <c r="R111" s="1" t="s">
        <v>76</v>
      </c>
      <c r="S111" s="1" t="s">
        <v>46</v>
      </c>
      <c r="AB111" s="1" t="s">
        <v>93</v>
      </c>
      <c r="AC111" s="1">
        <v>1</v>
      </c>
      <c r="AK111" s="1" t="s">
        <v>86</v>
      </c>
      <c r="AL111" s="1" t="s">
        <v>133</v>
      </c>
      <c r="AN111" s="1">
        <v>1</v>
      </c>
      <c r="AO111" s="1">
        <f t="shared" si="26"/>
        <v>1</v>
      </c>
      <c r="AQ111" s="1" t="s">
        <v>88</v>
      </c>
      <c r="AR111" s="6">
        <f t="shared" si="51"/>
        <v>13.908333333333333</v>
      </c>
      <c r="AS111" s="4">
        <f>SUMIFS($K$2:$K$1431, $B$2:$B$1431, "1", $C$2:$C$1431, "Fem", $AF$2:$AF$1431, "")/60/60</f>
        <v>4.4133333333333331</v>
      </c>
      <c r="AT111" s="4">
        <f>SUMIFS($K$2:$K$1431, $B$2:$B$1431, "1", $C$2:$C$1431, "Mal", $AF$2:$AF$1431, "")/60/60</f>
        <v>1.9069444444444446</v>
      </c>
      <c r="AU111" s="4">
        <f>SUMIFS($K$2:$K$1431, $B$2:$B$1431, "1", $C$2:$C$1431, "Fem", $AF$2:$AF$1431, "", $AO$2:$AO$1431, "&lt;2")/60/60</f>
        <v>2.5561111111111114</v>
      </c>
      <c r="AV111" s="4">
        <f>SUMIFS($K$2:$K$1431, $B$2:$B$1431, "1", $C$2:$C$1431, "Mal", $AF$2:$AF$1431, "", $AO$2:$AO$1431, "&lt;2")/60/60</f>
        <v>1.1475</v>
      </c>
      <c r="AW111" s="4">
        <f t="shared" si="52"/>
        <v>16.524999999999999</v>
      </c>
    </row>
    <row r="112" spans="1:49" x14ac:dyDescent="0.4">
      <c r="A112" s="1">
        <v>1</v>
      </c>
      <c r="B112" s="1">
        <v>1</v>
      </c>
      <c r="C112" s="1" t="s">
        <v>41</v>
      </c>
      <c r="D112" s="2">
        <v>38925</v>
      </c>
      <c r="E112" s="1">
        <v>208</v>
      </c>
      <c r="F112" s="1">
        <v>4</v>
      </c>
      <c r="G112" s="3">
        <v>0.3586226851851852</v>
      </c>
      <c r="H112" s="3">
        <v>0.3591550925925926</v>
      </c>
      <c r="I112" s="3">
        <v>5.3240740740739811E-4</v>
      </c>
      <c r="J112" s="3">
        <v>5.3240740740739811E-4</v>
      </c>
      <c r="K112" s="5">
        <f t="shared" si="24"/>
        <v>46</v>
      </c>
      <c r="L112" s="3">
        <v>0.21759259259259256</v>
      </c>
      <c r="N112" s="1" t="s">
        <v>42</v>
      </c>
      <c r="O112" s="1" t="s">
        <v>286</v>
      </c>
      <c r="P112" s="1" t="s">
        <v>227</v>
      </c>
      <c r="Q112" s="1" t="s">
        <v>45</v>
      </c>
      <c r="R112" s="1" t="s">
        <v>45</v>
      </c>
      <c r="S112" s="1" t="s">
        <v>46</v>
      </c>
      <c r="T112" s="1" t="s">
        <v>45</v>
      </c>
      <c r="U112" s="1" t="s">
        <v>66</v>
      </c>
      <c r="V112" s="1" t="s">
        <v>102</v>
      </c>
      <c r="W112" s="1" t="s">
        <v>231</v>
      </c>
      <c r="X112" s="1" t="s">
        <v>96</v>
      </c>
      <c r="AB112" s="1" t="s">
        <v>104</v>
      </c>
      <c r="AC112" s="1">
        <v>0</v>
      </c>
      <c r="AD112" s="1" t="s">
        <v>105</v>
      </c>
      <c r="AE112" s="1" t="s">
        <v>70</v>
      </c>
      <c r="AH112" s="1" t="s">
        <v>157</v>
      </c>
      <c r="AI112" s="1" t="s">
        <v>71</v>
      </c>
      <c r="AK112" s="1" t="s">
        <v>86</v>
      </c>
      <c r="AL112" s="1" t="s">
        <v>133</v>
      </c>
      <c r="AN112" s="1">
        <v>1</v>
      </c>
      <c r="AO112" s="1">
        <f t="shared" si="26"/>
        <v>1</v>
      </c>
      <c r="AQ112" s="1" t="s">
        <v>94</v>
      </c>
      <c r="AR112" s="6">
        <f t="shared" si="51"/>
        <v>16.978888888888893</v>
      </c>
      <c r="AS112" s="4">
        <f>SUMIFS($K$2:$K$1431, $B$2:$B$1431, "2", $C$2:$C$1431, "Fem", $AF$2:$AF$1431, "")/60/60</f>
        <v>5.0536111111111106</v>
      </c>
      <c r="AT112" s="4">
        <f>SUMIFS($K$2:$K$1431, $B$2:$B$1431, "2", $C$2:$C$1431, "Mal", $AF$2:$AF$1431, "")/60/60</f>
        <v>0.46194444444444444</v>
      </c>
      <c r="AU112" s="4">
        <f>SUMIFS($K$2:$K$1431, $B$2:$B$1431, "2", $C$2:$C$1431, "Fem", $AF$2:$AF$1431, "", $AO$2:$AO$1431, "&lt;2")/60/60</f>
        <v>1.9044444444444444</v>
      </c>
      <c r="AV112" s="4">
        <f>SUMIFS($K$2:$K$1431, $B$2:$B$1431, "2", $C$2:$C$1431, "Mal", $AF$2:$AF$1431, "", $AO$2:$AO$1431, "&lt;2")/60/60</f>
        <v>0.22916666666666666</v>
      </c>
      <c r="AW112" s="4">
        <f t="shared" si="52"/>
        <v>20.360833333333336</v>
      </c>
    </row>
    <row r="113" spans="1:49" x14ac:dyDescent="0.4">
      <c r="A113" s="1">
        <v>1</v>
      </c>
      <c r="B113" s="1">
        <v>1</v>
      </c>
      <c r="C113" s="1" t="s">
        <v>41</v>
      </c>
      <c r="D113" s="2">
        <v>38925</v>
      </c>
      <c r="E113" s="1">
        <v>208</v>
      </c>
      <c r="F113" s="1">
        <v>5.5</v>
      </c>
      <c r="G113" s="3">
        <v>0.57674768518518515</v>
      </c>
      <c r="H113" s="3">
        <v>0.57677083333333334</v>
      </c>
      <c r="I113" s="3">
        <v>2.3148148148188774E-5</v>
      </c>
      <c r="J113" s="3">
        <v>2.3148148148188774E-5</v>
      </c>
      <c r="K113" s="5">
        <f t="shared" si="24"/>
        <v>2</v>
      </c>
      <c r="L113" s="3">
        <v>6.0763888888888395E-3</v>
      </c>
      <c r="N113" s="1" t="s">
        <v>42</v>
      </c>
      <c r="O113" s="1" t="s">
        <v>286</v>
      </c>
      <c r="P113" s="1" t="s">
        <v>227</v>
      </c>
      <c r="Q113" s="1" t="s">
        <v>76</v>
      </c>
      <c r="R113" s="1" t="s">
        <v>191</v>
      </c>
      <c r="S113" s="1" t="s">
        <v>46</v>
      </c>
      <c r="T113" s="1" t="s">
        <v>47</v>
      </c>
      <c r="U113" s="1" t="s">
        <v>66</v>
      </c>
      <c r="AB113" s="1" t="s">
        <v>93</v>
      </c>
      <c r="AC113" s="1">
        <v>1</v>
      </c>
      <c r="AI113" s="1" t="s">
        <v>71</v>
      </c>
      <c r="AK113" s="1" t="s">
        <v>86</v>
      </c>
      <c r="AL113" s="1" t="s">
        <v>87</v>
      </c>
      <c r="AN113" s="1">
        <v>1</v>
      </c>
      <c r="AO113" s="1">
        <f t="shared" si="26"/>
        <v>1</v>
      </c>
      <c r="AQ113" s="1" t="s">
        <v>100</v>
      </c>
      <c r="AR113" s="6">
        <f t="shared" si="51"/>
        <v>15.863333333333335</v>
      </c>
      <c r="AS113" s="4">
        <f>SUMIFS($K$2:$K$1431, $B$2:$B$1431, "3", $C$2:$C$1431, "Fem", $AF$2:$AF$1431, "")/60/60</f>
        <v>6.0519444444444446</v>
      </c>
      <c r="AT113" s="4">
        <f>SUMIFS($K$2:$K$1431, $B$2:$B$1431, "3", $C$2:$C$1431, "Mal", $AF$2:$AF$1431, "")/60/60</f>
        <v>1.4794444444444443</v>
      </c>
      <c r="AU113" s="4">
        <f>SUMIFS($K$2:$K$1431, $B$2:$B$1431, "3", $C$2:$C$1431, "Fem", $AF$2:$AF$1431, "", $AO$2:$AO$1431, "&lt;2")/60/60</f>
        <v>3.8663888888888889</v>
      </c>
      <c r="AV113" s="4">
        <f>SUMIFS($K$2:$K$1431, $B$2:$B$1431, "3", $C$2:$C$1431, "Mal", $AF$2:$AF$1431, "", $AO$2:$AO$1431, "&lt;2")/60/60</f>
        <v>0.78472222222222221</v>
      </c>
      <c r="AW113" s="4">
        <f t="shared" si="52"/>
        <v>18.743611111111115</v>
      </c>
    </row>
    <row r="114" spans="1:49" x14ac:dyDescent="0.4">
      <c r="A114" s="1">
        <v>1</v>
      </c>
      <c r="B114" s="1">
        <v>1</v>
      </c>
      <c r="C114" s="1" t="s">
        <v>41</v>
      </c>
      <c r="D114" s="2">
        <v>38925</v>
      </c>
      <c r="E114" s="1">
        <v>208</v>
      </c>
      <c r="F114" s="1">
        <v>6</v>
      </c>
      <c r="G114" s="3">
        <v>0.58284722222222218</v>
      </c>
      <c r="H114" s="3">
        <v>0.59866898148148151</v>
      </c>
      <c r="I114" s="3">
        <v>1.5821759259259327E-2</v>
      </c>
      <c r="J114" s="3">
        <v>1.4062499999999867E-2</v>
      </c>
      <c r="K114" s="5">
        <f t="shared" si="24"/>
        <v>1215</v>
      </c>
      <c r="L114" s="3">
        <v>2.4085648148148175E-2</v>
      </c>
      <c r="N114" s="1" t="s">
        <v>42</v>
      </c>
      <c r="O114" s="1" t="s">
        <v>286</v>
      </c>
      <c r="P114" s="1" t="s">
        <v>227</v>
      </c>
      <c r="Q114" s="1" t="s">
        <v>76</v>
      </c>
      <c r="R114" s="1" t="s">
        <v>76</v>
      </c>
      <c r="S114" s="1" t="s">
        <v>46</v>
      </c>
      <c r="T114" s="1" t="s">
        <v>47</v>
      </c>
      <c r="U114" s="1" t="s">
        <v>48</v>
      </c>
      <c r="V114" s="1" t="s">
        <v>49</v>
      </c>
      <c r="W114" s="1" t="s">
        <v>77</v>
      </c>
      <c r="X114" s="1" t="s">
        <v>332</v>
      </c>
      <c r="Y114" s="1" t="s">
        <v>235</v>
      </c>
      <c r="Z114" s="1" t="s">
        <v>333</v>
      </c>
      <c r="AA114" s="1" t="s">
        <v>334</v>
      </c>
      <c r="AB114" s="1" t="s">
        <v>335</v>
      </c>
      <c r="AC114" s="1">
        <v>0</v>
      </c>
      <c r="AD114" s="1" t="s">
        <v>56</v>
      </c>
      <c r="AE114" s="1" t="s">
        <v>83</v>
      </c>
      <c r="AF114" s="1" t="s">
        <v>113</v>
      </c>
      <c r="AG114" s="1" t="s">
        <v>343</v>
      </c>
      <c r="AH114" s="1" t="s">
        <v>157</v>
      </c>
      <c r="AI114" s="1" t="s">
        <v>60</v>
      </c>
      <c r="AK114" s="1" t="s">
        <v>116</v>
      </c>
      <c r="AL114" s="1" t="s">
        <v>117</v>
      </c>
      <c r="AM114" s="1">
        <v>1</v>
      </c>
      <c r="AN114" s="1">
        <v>0</v>
      </c>
      <c r="AO114" s="1">
        <f t="shared" si="26"/>
        <v>1</v>
      </c>
      <c r="AQ114" s="1" t="s">
        <v>107</v>
      </c>
      <c r="AR114" s="6">
        <f t="shared" si="51"/>
        <v>8.7594444444444441</v>
      </c>
      <c r="AS114" s="4">
        <f>SUMIFS($K$2:$K$1431, $B$2:$B$1431, "S", $C$2:$C$1431, "Fem", $AF$2:$AF$1431, "")/60/60</f>
        <v>0.80722222222222217</v>
      </c>
      <c r="AT114" s="4">
        <f>SUMIFS($K$2:$K$1431, $B$2:$B$1431, "S", $C$2:$C$1431, "Mal", $AF$2:$AF$1431, "")/60/60</f>
        <v>0.59972222222222227</v>
      </c>
      <c r="AU114" s="4">
        <f>SUMIFS($K$2:$K$1431, $B$2:$B$1431, "S", $C$2:$C$1431, "Fem", $AF$2:$AF$1431, "", $AO$2:$AO$1431, "&lt;2")/60/60</f>
        <v>0.27944444444444444</v>
      </c>
      <c r="AV114" s="4">
        <f>SUMIFS($K$2:$K$1431, $B$2:$B$1431, "S", $C$2:$C$1431, "Mal", $AF$2:$AF$1431, "", $AO$2:$AO$1431, "&lt;2")/60/60</f>
        <v>0.38</v>
      </c>
      <c r="AW114" s="4">
        <f t="shared" si="52"/>
        <v>9.5069444444444446</v>
      </c>
    </row>
    <row r="115" spans="1:49" x14ac:dyDescent="0.4">
      <c r="A115" s="1">
        <v>1</v>
      </c>
      <c r="B115" s="1">
        <v>1</v>
      </c>
      <c r="C115" s="1" t="s">
        <v>41</v>
      </c>
      <c r="D115" s="2">
        <v>38925</v>
      </c>
      <c r="E115" s="1">
        <v>208</v>
      </c>
      <c r="F115" s="1">
        <v>7</v>
      </c>
      <c r="G115" s="3">
        <v>0.62275462962962969</v>
      </c>
      <c r="H115" s="3">
        <v>0.62418981481481484</v>
      </c>
      <c r="I115" s="3">
        <v>1.4351851851851505E-3</v>
      </c>
      <c r="J115" s="3">
        <v>1.4351851851851505E-3</v>
      </c>
      <c r="K115" s="5">
        <f t="shared" si="24"/>
        <v>124</v>
      </c>
      <c r="L115" s="3">
        <v>1.5625E-2</v>
      </c>
      <c r="N115" s="1" t="s">
        <v>42</v>
      </c>
      <c r="O115" s="1" t="s">
        <v>286</v>
      </c>
      <c r="P115" s="1" t="s">
        <v>227</v>
      </c>
      <c r="Q115" s="1" t="s">
        <v>132</v>
      </c>
      <c r="R115" s="1" t="s">
        <v>76</v>
      </c>
      <c r="S115" s="1" t="s">
        <v>46</v>
      </c>
      <c r="T115" s="1" t="s">
        <v>45</v>
      </c>
      <c r="U115" s="1" t="s">
        <v>156</v>
      </c>
      <c r="V115" s="1" t="s">
        <v>102</v>
      </c>
      <c r="W115" s="1" t="s">
        <v>103</v>
      </c>
      <c r="X115" s="1" t="s">
        <v>96</v>
      </c>
      <c r="AB115" s="1" t="s">
        <v>104</v>
      </c>
      <c r="AC115" s="1">
        <v>0</v>
      </c>
      <c r="AD115" s="1" t="s">
        <v>105</v>
      </c>
      <c r="AE115" s="1" t="s">
        <v>70</v>
      </c>
      <c r="AH115" s="1" t="s">
        <v>157</v>
      </c>
      <c r="AI115" s="1" t="s">
        <v>75</v>
      </c>
      <c r="AK115" s="1" t="s">
        <v>86</v>
      </c>
      <c r="AL115" s="1" t="s">
        <v>133</v>
      </c>
      <c r="AN115" s="1">
        <v>1</v>
      </c>
      <c r="AO115" s="1">
        <f t="shared" si="26"/>
        <v>1</v>
      </c>
      <c r="AQ115" s="1" t="s">
        <v>118</v>
      </c>
      <c r="AR115" s="6">
        <f t="shared" si="51"/>
        <v>13.223333333333333</v>
      </c>
      <c r="AS115" s="4">
        <f>SUMIFS($K$2:$K$1431, $B$2:$B$1431, "W", $C$2:$C$1431, "Fem", $AF$2:$AF$1431, "")/60/60</f>
        <v>6.5605555555555553</v>
      </c>
      <c r="AT115" s="4">
        <f>SUMIFS($K$2:$K$1431, $B$2:$B$1431, "W", $C$2:$C$1431, "Mal", $AF$2:$AF$1431, "")/60/60</f>
        <v>1.1416666666666666</v>
      </c>
      <c r="AU115" s="4">
        <f>SUMIFS($K$2:$K$1431, $B$2:$B$1431, "W", $C$2:$C$1431, "Fem", $AF$2:$AF$1431, "", $AO$2:$AO$1431, "&lt;2")/60/60</f>
        <v>2.6236111111111109</v>
      </c>
      <c r="AV115" s="4">
        <f>SUMIFS($K$2:$K$1431, $B$2:$B$1431, "W", $C$2:$C$1431, "Mal", $AF$2:$AF$1431, "", $AO$2:$AO$1431, "&lt;2")/60/60</f>
        <v>0.32666666666666672</v>
      </c>
      <c r="AW115" s="4">
        <f t="shared" si="52"/>
        <v>17.975277777777777</v>
      </c>
    </row>
    <row r="116" spans="1:49" x14ac:dyDescent="0.4">
      <c r="A116" s="1">
        <v>1</v>
      </c>
      <c r="B116" s="1">
        <v>1</v>
      </c>
      <c r="C116" s="1" t="s">
        <v>41</v>
      </c>
      <c r="D116" s="2">
        <v>38925</v>
      </c>
      <c r="E116" s="1">
        <v>208</v>
      </c>
      <c r="F116" s="1">
        <v>8</v>
      </c>
      <c r="G116" s="3">
        <v>0.63981481481481484</v>
      </c>
      <c r="H116" s="3">
        <v>0.64085648148148155</v>
      </c>
      <c r="I116" s="3">
        <v>1.0416666666667185E-3</v>
      </c>
      <c r="J116" s="3">
        <v>1.0416666666667185E-3</v>
      </c>
      <c r="K116" s="5">
        <f t="shared" si="24"/>
        <v>90</v>
      </c>
      <c r="L116" s="3" t="s">
        <v>120</v>
      </c>
      <c r="N116" s="1" t="s">
        <v>42</v>
      </c>
      <c r="O116" s="1" t="s">
        <v>286</v>
      </c>
      <c r="P116" s="1" t="s">
        <v>227</v>
      </c>
      <c r="Q116" s="1" t="s">
        <v>45</v>
      </c>
      <c r="R116" s="1" t="s">
        <v>45</v>
      </c>
      <c r="S116" s="1" t="s">
        <v>46</v>
      </c>
      <c r="T116" s="1" t="s">
        <v>45</v>
      </c>
      <c r="U116" s="1" t="s">
        <v>48</v>
      </c>
      <c r="V116" s="1" t="s">
        <v>102</v>
      </c>
      <c r="W116" s="1" t="s">
        <v>103</v>
      </c>
      <c r="X116" s="1" t="s">
        <v>96</v>
      </c>
      <c r="AB116" s="1" t="s">
        <v>104</v>
      </c>
      <c r="AC116" s="1">
        <v>0</v>
      </c>
      <c r="AD116" s="1" t="s">
        <v>105</v>
      </c>
      <c r="AE116" s="1" t="s">
        <v>70</v>
      </c>
      <c r="AG116" s="1" t="s">
        <v>344</v>
      </c>
      <c r="AH116" s="1" t="s">
        <v>157</v>
      </c>
      <c r="AI116" s="1" t="s">
        <v>60</v>
      </c>
      <c r="AK116" s="1" t="s">
        <v>86</v>
      </c>
      <c r="AL116" s="1" t="s">
        <v>133</v>
      </c>
      <c r="AM116" s="1">
        <v>1</v>
      </c>
      <c r="AN116" s="1">
        <v>0</v>
      </c>
      <c r="AO116" s="1">
        <f t="shared" si="26"/>
        <v>1</v>
      </c>
      <c r="AQ116" s="1" t="s">
        <v>207</v>
      </c>
      <c r="AS116" s="4"/>
    </row>
    <row r="117" spans="1:49" x14ac:dyDescent="0.4">
      <c r="A117" s="1">
        <v>1</v>
      </c>
      <c r="B117" s="1">
        <v>1</v>
      </c>
      <c r="C117" s="1" t="s">
        <v>41</v>
      </c>
      <c r="D117" s="2">
        <v>38947</v>
      </c>
      <c r="E117" s="1">
        <v>230</v>
      </c>
      <c r="F117" s="1">
        <v>0.5</v>
      </c>
      <c r="G117" s="3">
        <v>0.39160879629629625</v>
      </c>
      <c r="H117" s="3">
        <v>0.39165509259259257</v>
      </c>
      <c r="I117" s="3">
        <v>4.6296296296322037E-5</v>
      </c>
      <c r="J117" s="3">
        <v>4.6296296296322037E-5</v>
      </c>
      <c r="K117" s="5">
        <f t="shared" si="24"/>
        <v>4</v>
      </c>
      <c r="L117" s="3">
        <v>1.6689814814814852E-2</v>
      </c>
      <c r="N117" s="1" t="s">
        <v>75</v>
      </c>
      <c r="O117" s="1" t="s">
        <v>286</v>
      </c>
      <c r="P117" s="1" t="s">
        <v>44</v>
      </c>
      <c r="Q117" s="1" t="s">
        <v>45</v>
      </c>
      <c r="R117" s="1" t="s">
        <v>45</v>
      </c>
      <c r="T117" s="1" t="s">
        <v>47</v>
      </c>
      <c r="U117" s="1" t="s">
        <v>66</v>
      </c>
      <c r="AB117" s="1" t="s">
        <v>93</v>
      </c>
      <c r="AC117" s="1">
        <v>1</v>
      </c>
      <c r="AG117" s="1" t="s">
        <v>345</v>
      </c>
      <c r="AI117" s="1" t="s">
        <v>75</v>
      </c>
      <c r="AK117" s="1" t="s">
        <v>86</v>
      </c>
      <c r="AL117" s="1" t="s">
        <v>133</v>
      </c>
      <c r="AM117" s="1">
        <v>1</v>
      </c>
      <c r="AN117" s="1">
        <v>0</v>
      </c>
      <c r="AO117" s="1">
        <f t="shared" si="26"/>
        <v>1</v>
      </c>
      <c r="AQ117" s="1" t="s">
        <v>73</v>
      </c>
      <c r="AR117" s="6">
        <f>AR110/$AT$13</f>
        <v>0.70706233658613249</v>
      </c>
      <c r="AS117" s="6">
        <f t="shared" ref="AS117:AU117" si="53">AS110/$AT$13</f>
        <v>0.23543598462659487</v>
      </c>
      <c r="AT117" s="6">
        <f t="shared" si="53"/>
        <v>5.750167878727265E-2</v>
      </c>
      <c r="AU117" s="6">
        <f t="shared" si="53"/>
        <v>0.11552342444028518</v>
      </c>
      <c r="AV117" s="6">
        <f>AV110/$AT$13</f>
        <v>2.9503793344858632E-2</v>
      </c>
      <c r="AW117" s="4">
        <f>AW110/$AT$13</f>
        <v>0.85497278221485618</v>
      </c>
    </row>
    <row r="118" spans="1:49" x14ac:dyDescent="0.4">
      <c r="A118" s="1">
        <v>1</v>
      </c>
      <c r="B118" s="1">
        <v>1</v>
      </c>
      <c r="C118" s="1" t="s">
        <v>41</v>
      </c>
      <c r="D118" s="2">
        <v>38947</v>
      </c>
      <c r="E118" s="1">
        <v>230</v>
      </c>
      <c r="F118" s="1">
        <v>1</v>
      </c>
      <c r="G118" s="3">
        <v>0.40834490740740742</v>
      </c>
      <c r="H118" s="3">
        <v>0.41040509259259261</v>
      </c>
      <c r="I118" s="3">
        <v>2.0601851851851927E-3</v>
      </c>
      <c r="J118" s="3">
        <v>2.0601851851851927E-3</v>
      </c>
      <c r="K118" s="5">
        <f t="shared" si="24"/>
        <v>178</v>
      </c>
      <c r="L118" s="3">
        <v>8.0208333333333104E-3</v>
      </c>
      <c r="N118" s="1" t="s">
        <v>75</v>
      </c>
      <c r="O118" s="1" t="s">
        <v>286</v>
      </c>
      <c r="P118" s="1" t="s">
        <v>44</v>
      </c>
      <c r="Q118" s="1" t="s">
        <v>132</v>
      </c>
      <c r="T118" s="1" t="s">
        <v>45</v>
      </c>
      <c r="U118" s="1" t="s">
        <v>92</v>
      </c>
      <c r="V118" s="1" t="s">
        <v>49</v>
      </c>
      <c r="W118" s="1" t="s">
        <v>50</v>
      </c>
      <c r="X118" s="1" t="s">
        <v>346</v>
      </c>
      <c r="Y118" s="1" t="s">
        <v>347</v>
      </c>
      <c r="Z118" s="1" t="s">
        <v>348</v>
      </c>
      <c r="AA118" s="1" t="s">
        <v>349</v>
      </c>
      <c r="AB118" s="1" t="s">
        <v>350</v>
      </c>
      <c r="AC118" s="1">
        <v>0</v>
      </c>
      <c r="AD118" s="1" t="s">
        <v>56</v>
      </c>
      <c r="AE118" s="1" t="s">
        <v>83</v>
      </c>
      <c r="AG118" s="1" t="s">
        <v>351</v>
      </c>
      <c r="AH118" s="1" t="s">
        <v>115</v>
      </c>
      <c r="AI118" s="1" t="s">
        <v>75</v>
      </c>
      <c r="AK118" s="1" t="s">
        <v>86</v>
      </c>
      <c r="AL118" s="1" t="s">
        <v>133</v>
      </c>
      <c r="AM118" s="1">
        <v>1</v>
      </c>
      <c r="AN118" s="1">
        <v>0</v>
      </c>
      <c r="AO118" s="1">
        <f t="shared" si="26"/>
        <v>1</v>
      </c>
      <c r="AQ118" s="1" t="s">
        <v>88</v>
      </c>
      <c r="AR118" s="6">
        <f>AR111/$AT$14</f>
        <v>0.68755750243741676</v>
      </c>
      <c r="AS118" s="6">
        <f t="shared" ref="AS118:AV118" si="54">AS111/$AT$14</f>
        <v>0.21817283001249604</v>
      </c>
      <c r="AT118" s="6">
        <f t="shared" si="54"/>
        <v>9.4269667550087199E-2</v>
      </c>
      <c r="AU118" s="6">
        <f t="shared" si="54"/>
        <v>0.12636117710064129</v>
      </c>
      <c r="AV118" s="6">
        <f t="shared" si="54"/>
        <v>5.6726583634291367E-2</v>
      </c>
      <c r="AW118" s="4">
        <f>AW111/$AT$14</f>
        <v>0.81691223926506729</v>
      </c>
    </row>
    <row r="119" spans="1:49" x14ac:dyDescent="0.4">
      <c r="A119" s="1">
        <v>1</v>
      </c>
      <c r="B119" s="1">
        <v>1</v>
      </c>
      <c r="C119" s="1" t="s">
        <v>41</v>
      </c>
      <c r="D119" s="2">
        <v>38947</v>
      </c>
      <c r="E119" s="1">
        <v>230</v>
      </c>
      <c r="F119" s="1">
        <v>2</v>
      </c>
      <c r="G119" s="3">
        <v>0.41842592592592592</v>
      </c>
      <c r="H119" s="3">
        <v>0.42141203703703706</v>
      </c>
      <c r="I119" s="3">
        <v>2.9861111111111338E-3</v>
      </c>
      <c r="J119" s="3">
        <v>2.9861111111111338E-3</v>
      </c>
      <c r="K119" s="5">
        <f t="shared" si="24"/>
        <v>258</v>
      </c>
      <c r="L119" s="3">
        <v>1.1585648148148109E-2</v>
      </c>
      <c r="N119" s="1" t="s">
        <v>75</v>
      </c>
      <c r="O119" s="1" t="s">
        <v>286</v>
      </c>
      <c r="P119" s="1" t="s">
        <v>44</v>
      </c>
      <c r="Q119" s="1" t="s">
        <v>76</v>
      </c>
      <c r="T119" s="1" t="s">
        <v>124</v>
      </c>
      <c r="U119" s="1" t="s">
        <v>66</v>
      </c>
      <c r="V119" s="1" t="s">
        <v>49</v>
      </c>
      <c r="W119" s="1" t="s">
        <v>268</v>
      </c>
      <c r="X119" s="1" t="s">
        <v>316</v>
      </c>
      <c r="Y119" s="1" t="s">
        <v>52</v>
      </c>
      <c r="Z119" s="1" t="s">
        <v>317</v>
      </c>
      <c r="AA119" s="1">
        <v>1</v>
      </c>
      <c r="AB119" s="1" t="s">
        <v>318</v>
      </c>
      <c r="AC119" s="1">
        <v>0</v>
      </c>
      <c r="AD119" s="1" t="s">
        <v>105</v>
      </c>
      <c r="AE119" s="1" t="s">
        <v>57</v>
      </c>
      <c r="AF119" s="1" t="s">
        <v>153</v>
      </c>
      <c r="AG119" s="1" t="s">
        <v>352</v>
      </c>
      <c r="AH119" s="1" t="s">
        <v>165</v>
      </c>
      <c r="AI119" s="1" t="s">
        <v>75</v>
      </c>
      <c r="AK119" s="1" t="s">
        <v>116</v>
      </c>
      <c r="AL119" s="1" t="s">
        <v>174</v>
      </c>
      <c r="AM119" s="1">
        <v>4</v>
      </c>
      <c r="AN119" s="1">
        <v>0</v>
      </c>
      <c r="AO119" s="1">
        <f t="shared" si="26"/>
        <v>4</v>
      </c>
      <c r="AQ119" s="1" t="s">
        <v>94</v>
      </c>
      <c r="AR119" s="6">
        <f>AR112/$AT$15</f>
        <v>0.754803655223512</v>
      </c>
      <c r="AS119" s="6">
        <f t="shared" ref="AS119:AW119" si="55">AS112/$AT$15</f>
        <v>0.22466040997777223</v>
      </c>
      <c r="AT119" s="6">
        <f t="shared" si="55"/>
        <v>2.0535934798715728E-2</v>
      </c>
      <c r="AU119" s="6">
        <f t="shared" si="55"/>
        <v>8.4662879723388484E-2</v>
      </c>
      <c r="AV119" s="6">
        <f t="shared" si="55"/>
        <v>1.0187700666831315E-2</v>
      </c>
      <c r="AW119" s="4">
        <f t="shared" si="55"/>
        <v>0.90514941960978024</v>
      </c>
    </row>
    <row r="120" spans="1:49" x14ac:dyDescent="0.4">
      <c r="A120" s="1">
        <v>1</v>
      </c>
      <c r="B120" s="1">
        <v>1</v>
      </c>
      <c r="C120" s="1" t="s">
        <v>41</v>
      </c>
      <c r="D120" s="2">
        <v>38947</v>
      </c>
      <c r="E120" s="1">
        <v>230</v>
      </c>
      <c r="F120" s="1">
        <v>3</v>
      </c>
      <c r="G120" s="3">
        <v>0.43299768518518517</v>
      </c>
      <c r="H120" s="3">
        <v>0.4365856481481481</v>
      </c>
      <c r="I120" s="3">
        <v>3.5879629629629317E-3</v>
      </c>
      <c r="J120" s="3">
        <v>2.9513888888889062E-3</v>
      </c>
      <c r="K120" s="5">
        <f t="shared" si="24"/>
        <v>255</v>
      </c>
      <c r="L120" s="3">
        <v>5.9583333333333433E-2</v>
      </c>
      <c r="N120" s="1" t="s">
        <v>75</v>
      </c>
      <c r="O120" s="1" t="s">
        <v>286</v>
      </c>
      <c r="P120" s="1" t="s">
        <v>44</v>
      </c>
      <c r="Q120" s="1" t="s">
        <v>45</v>
      </c>
      <c r="T120" s="1" t="s">
        <v>47</v>
      </c>
      <c r="U120" s="1" t="s">
        <v>48</v>
      </c>
      <c r="V120" s="1" t="s">
        <v>49</v>
      </c>
      <c r="W120" s="1" t="s">
        <v>200</v>
      </c>
      <c r="X120" s="1" t="s">
        <v>201</v>
      </c>
      <c r="Y120" s="1" t="s">
        <v>126</v>
      </c>
      <c r="Z120" s="1" t="s">
        <v>202</v>
      </c>
      <c r="AA120" s="1" t="s">
        <v>203</v>
      </c>
      <c r="AB120" s="1" t="s">
        <v>204</v>
      </c>
      <c r="AC120" s="1">
        <v>0</v>
      </c>
      <c r="AD120" s="1" t="s">
        <v>56</v>
      </c>
      <c r="AE120" s="1" t="s">
        <v>83</v>
      </c>
      <c r="AG120" s="1" t="s">
        <v>353</v>
      </c>
      <c r="AH120" s="1" t="s">
        <v>206</v>
      </c>
      <c r="AI120" s="1" t="s">
        <v>75</v>
      </c>
      <c r="AK120" s="1" t="s">
        <v>86</v>
      </c>
      <c r="AL120" s="1" t="s">
        <v>87</v>
      </c>
      <c r="AM120" s="1">
        <v>1</v>
      </c>
      <c r="AN120" s="1">
        <v>0</v>
      </c>
      <c r="AO120" s="1">
        <f t="shared" si="26"/>
        <v>1</v>
      </c>
      <c r="AQ120" s="1" t="s">
        <v>100</v>
      </c>
      <c r="AR120" s="6">
        <f>AR113/$AT$16</f>
        <v>0.67807316465014666</v>
      </c>
      <c r="AS120" s="6">
        <f t="shared" ref="AS120:AW120" si="56">AS113/$AT$16</f>
        <v>0.25868845062395363</v>
      </c>
      <c r="AT120" s="6">
        <f t="shared" si="56"/>
        <v>6.323838472589971E-2</v>
      </c>
      <c r="AU120" s="6">
        <f t="shared" si="56"/>
        <v>0.16526756984600038</v>
      </c>
      <c r="AV120" s="6">
        <f t="shared" si="56"/>
        <v>3.3542703126298666E-2</v>
      </c>
      <c r="AW120" s="4">
        <f t="shared" si="56"/>
        <v>0.80118972702770097</v>
      </c>
    </row>
    <row r="121" spans="1:49" x14ac:dyDescent="0.4">
      <c r="A121" s="1">
        <v>1</v>
      </c>
      <c r="B121" s="1">
        <v>1</v>
      </c>
      <c r="C121" s="1" t="s">
        <v>41</v>
      </c>
      <c r="D121" s="2">
        <v>38947</v>
      </c>
      <c r="E121" s="1">
        <v>230</v>
      </c>
      <c r="F121" s="1">
        <v>3.5</v>
      </c>
      <c r="G121" s="3">
        <v>0.49616898148148153</v>
      </c>
      <c r="H121" s="3">
        <v>0.49656250000000002</v>
      </c>
      <c r="I121" s="3">
        <v>3.9351851851848751E-4</v>
      </c>
      <c r="J121" s="3">
        <v>1.0416666666662744E-4</v>
      </c>
      <c r="K121" s="5">
        <f t="shared" si="24"/>
        <v>9</v>
      </c>
      <c r="L121" s="3">
        <v>7.4421296296296457E-3</v>
      </c>
      <c r="N121" s="1" t="s">
        <v>75</v>
      </c>
      <c r="O121" s="1" t="s">
        <v>286</v>
      </c>
      <c r="P121" s="1" t="s">
        <v>44</v>
      </c>
      <c r="Q121" s="1" t="s">
        <v>132</v>
      </c>
      <c r="S121" s="1" t="s">
        <v>46</v>
      </c>
      <c r="T121" s="1" t="s">
        <v>47</v>
      </c>
      <c r="U121" s="1" t="s">
        <v>66</v>
      </c>
      <c r="AB121" s="1" t="s">
        <v>93</v>
      </c>
      <c r="AC121" s="1">
        <v>1</v>
      </c>
      <c r="AI121" s="1" t="s">
        <v>75</v>
      </c>
      <c r="AK121" s="1" t="s">
        <v>86</v>
      </c>
      <c r="AL121" s="1" t="s">
        <v>133</v>
      </c>
      <c r="AN121" s="1">
        <v>1</v>
      </c>
      <c r="AO121" s="1">
        <f t="shared" si="26"/>
        <v>1</v>
      </c>
      <c r="AQ121" s="1" t="s">
        <v>107</v>
      </c>
      <c r="AR121" s="6">
        <f>AR114/$AT$17</f>
        <v>0.86160824066231312</v>
      </c>
      <c r="AS121" s="6">
        <f t="shared" ref="AS121:AW121" si="57">AS114/$AT$17</f>
        <v>7.9401076532145676E-2</v>
      </c>
      <c r="AT121" s="6">
        <f t="shared" si="57"/>
        <v>5.8990682805541136E-2</v>
      </c>
      <c r="AU121" s="6">
        <f t="shared" si="57"/>
        <v>2.7487089811197025E-2</v>
      </c>
      <c r="AV121" s="6">
        <f t="shared" si="57"/>
        <v>3.7378070439083033E-2</v>
      </c>
      <c r="AW121" s="4">
        <f t="shared" si="57"/>
        <v>0.93513483974971989</v>
      </c>
    </row>
    <row r="122" spans="1:49" x14ac:dyDescent="0.4">
      <c r="A122" s="1">
        <v>1</v>
      </c>
      <c r="B122" s="1">
        <v>1</v>
      </c>
      <c r="C122" s="1" t="s">
        <v>41</v>
      </c>
      <c r="D122" s="2">
        <v>38947</v>
      </c>
      <c r="E122" s="1">
        <v>230</v>
      </c>
      <c r="F122" s="1">
        <v>4</v>
      </c>
      <c r="G122" s="3">
        <v>0.50400462962962966</v>
      </c>
      <c r="H122" s="3">
        <v>0.50901620370370371</v>
      </c>
      <c r="I122" s="3">
        <v>5.0115740740740433E-3</v>
      </c>
      <c r="J122" s="3">
        <v>5.0115740740740433E-3</v>
      </c>
      <c r="K122" s="5">
        <f t="shared" si="24"/>
        <v>433</v>
      </c>
      <c r="L122" s="3">
        <v>1.3773148148148451E-3</v>
      </c>
      <c r="N122" s="1" t="s">
        <v>75</v>
      </c>
      <c r="O122" s="1" t="s">
        <v>286</v>
      </c>
      <c r="P122" s="1" t="s">
        <v>44</v>
      </c>
      <c r="Q122" s="1" t="s">
        <v>191</v>
      </c>
      <c r="S122" s="1" t="s">
        <v>46</v>
      </c>
      <c r="T122" s="1" t="s">
        <v>124</v>
      </c>
      <c r="U122" s="1" t="s">
        <v>48</v>
      </c>
      <c r="V122" s="1" t="s">
        <v>297</v>
      </c>
      <c r="W122" s="1" t="s">
        <v>167</v>
      </c>
      <c r="X122" s="1" t="s">
        <v>96</v>
      </c>
      <c r="Y122" s="1">
        <v>59</v>
      </c>
      <c r="AB122" s="1" t="s">
        <v>354</v>
      </c>
      <c r="AC122" s="1">
        <v>0</v>
      </c>
      <c r="AE122" s="1" t="s">
        <v>70</v>
      </c>
      <c r="AF122" s="1" t="s">
        <v>113</v>
      </c>
      <c r="AG122" s="1" t="s">
        <v>355</v>
      </c>
      <c r="AH122" s="1" t="s">
        <v>157</v>
      </c>
      <c r="AI122" s="1" t="s">
        <v>75</v>
      </c>
      <c r="AK122" s="1" t="s">
        <v>61</v>
      </c>
      <c r="AL122" s="1" t="s">
        <v>61</v>
      </c>
      <c r="AM122" s="1">
        <v>1</v>
      </c>
      <c r="AN122" s="1">
        <v>0</v>
      </c>
      <c r="AO122" s="1">
        <f t="shared" si="26"/>
        <v>1</v>
      </c>
      <c r="AQ122" s="1" t="s">
        <v>118</v>
      </c>
      <c r="AR122" s="6">
        <f>AR115/$AT$18</f>
        <v>0.63192268889714864</v>
      </c>
      <c r="AS122" s="6">
        <f t="shared" ref="AS122:AW122" si="58">AS115/$AT$18</f>
        <v>0.31351882334200604</v>
      </c>
      <c r="AT122" s="6">
        <f t="shared" si="58"/>
        <v>5.4558487760845327E-2</v>
      </c>
      <c r="AU122" s="6">
        <f t="shared" si="58"/>
        <v>0.12537832528009346</v>
      </c>
      <c r="AV122" s="6">
        <f t="shared" si="58"/>
        <v>1.5610895768066695E-2</v>
      </c>
      <c r="AW122" s="4">
        <f t="shared" si="58"/>
        <v>0.85901077895183986</v>
      </c>
    </row>
    <row r="123" spans="1:49" x14ac:dyDescent="0.4">
      <c r="A123" s="1">
        <v>1</v>
      </c>
      <c r="B123" s="1">
        <v>1</v>
      </c>
      <c r="C123" s="1" t="s">
        <v>41</v>
      </c>
      <c r="D123" s="2">
        <v>38947</v>
      </c>
      <c r="E123" s="1">
        <v>230</v>
      </c>
      <c r="F123" s="1">
        <v>5</v>
      </c>
      <c r="G123" s="3">
        <v>0.51039351851851855</v>
      </c>
      <c r="H123" s="3">
        <v>0.51900462962962968</v>
      </c>
      <c r="I123" s="3">
        <v>8.6111111111111249E-3</v>
      </c>
      <c r="J123" s="3">
        <v>8.6111111111111249E-3</v>
      </c>
      <c r="K123" s="5">
        <f t="shared" si="24"/>
        <v>744</v>
      </c>
      <c r="L123" s="3">
        <v>4.1701388888888857E-2</v>
      </c>
      <c r="N123" s="1" t="s">
        <v>75</v>
      </c>
      <c r="O123" s="1" t="s">
        <v>286</v>
      </c>
      <c r="P123" s="1" t="s">
        <v>44</v>
      </c>
      <c r="Q123" s="1" t="s">
        <v>76</v>
      </c>
      <c r="S123" s="1" t="s">
        <v>46</v>
      </c>
      <c r="T123" s="1" t="s">
        <v>124</v>
      </c>
      <c r="U123" s="1" t="s">
        <v>66</v>
      </c>
      <c r="V123" s="1" t="s">
        <v>49</v>
      </c>
      <c r="W123" s="1" t="s">
        <v>268</v>
      </c>
      <c r="X123" s="1" t="s">
        <v>96</v>
      </c>
      <c r="Y123" s="1" t="s">
        <v>356</v>
      </c>
      <c r="Z123" s="1" t="s">
        <v>357</v>
      </c>
      <c r="AA123" s="1" t="s">
        <v>358</v>
      </c>
      <c r="AB123" s="1" t="s">
        <v>359</v>
      </c>
      <c r="AC123" s="1">
        <v>0</v>
      </c>
      <c r="AD123" s="1" t="s">
        <v>105</v>
      </c>
      <c r="AE123" s="1" t="s">
        <v>70</v>
      </c>
      <c r="AF123" s="1" t="s">
        <v>113</v>
      </c>
      <c r="AG123" s="1" t="s">
        <v>360</v>
      </c>
      <c r="AH123" s="1" t="s">
        <v>165</v>
      </c>
      <c r="AI123" s="1" t="s">
        <v>75</v>
      </c>
      <c r="AK123" s="1" t="s">
        <v>116</v>
      </c>
      <c r="AL123" s="1" t="s">
        <v>174</v>
      </c>
      <c r="AM123" s="1">
        <v>1</v>
      </c>
      <c r="AN123" s="1">
        <v>0</v>
      </c>
      <c r="AO123" s="1">
        <f t="shared" si="26"/>
        <v>1</v>
      </c>
      <c r="AQ123" s="1" t="s">
        <v>188</v>
      </c>
      <c r="AR123" s="4">
        <f>AVERAGE(AR118:AR122)</f>
        <v>0.72279305037410746</v>
      </c>
      <c r="AS123" s="4">
        <f>AVERAGE(AS118:AS122)</f>
        <v>0.2188883180976747</v>
      </c>
      <c r="AT123" s="4">
        <f t="shared" ref="AT123" si="59">AVERAGE(AT118:AT122)</f>
        <v>5.8318631528217826E-2</v>
      </c>
      <c r="AU123" s="4">
        <f>AVERAGE(AU118:AU122)</f>
        <v>0.10583140835226412</v>
      </c>
      <c r="AV123" s="4">
        <f>AVERAGE(AV118:AV122)</f>
        <v>3.0689190726914218E-2</v>
      </c>
      <c r="AW123" s="4">
        <f>AVERAGE(AW118:AW122)</f>
        <v>0.86347940092082154</v>
      </c>
    </row>
    <row r="124" spans="1:49" x14ac:dyDescent="0.4">
      <c r="A124" s="1">
        <v>1</v>
      </c>
      <c r="B124" s="1">
        <v>1</v>
      </c>
      <c r="C124" s="1" t="s">
        <v>41</v>
      </c>
      <c r="D124" s="2">
        <v>38947</v>
      </c>
      <c r="E124" s="1">
        <v>230</v>
      </c>
      <c r="F124" s="1">
        <v>6</v>
      </c>
      <c r="G124" s="3">
        <v>0.56070601851851853</v>
      </c>
      <c r="H124" s="3">
        <v>0.56106481481481485</v>
      </c>
      <c r="I124" s="3">
        <v>3.5879629629631538E-4</v>
      </c>
      <c r="J124" s="3">
        <v>3.5879629629631538E-4</v>
      </c>
      <c r="K124" s="5">
        <f t="shared" si="24"/>
        <v>31</v>
      </c>
      <c r="L124" s="3">
        <v>1.3784722222222157E-2</v>
      </c>
      <c r="N124" s="1" t="s">
        <v>42</v>
      </c>
      <c r="O124" s="1" t="s">
        <v>286</v>
      </c>
      <c r="P124" s="1" t="s">
        <v>44</v>
      </c>
      <c r="Q124" s="1" t="s">
        <v>76</v>
      </c>
      <c r="S124" s="1" t="s">
        <v>46</v>
      </c>
      <c r="T124" s="1" t="s">
        <v>124</v>
      </c>
      <c r="U124" s="1" t="s">
        <v>156</v>
      </c>
      <c r="V124" s="1" t="s">
        <v>49</v>
      </c>
      <c r="W124" s="1" t="s">
        <v>77</v>
      </c>
      <c r="X124" s="1" t="s">
        <v>332</v>
      </c>
      <c r="Y124" s="1" t="s">
        <v>338</v>
      </c>
      <c r="Z124" s="1" t="s">
        <v>339</v>
      </c>
      <c r="AA124" s="1" t="s">
        <v>340</v>
      </c>
      <c r="AB124" s="1" t="s">
        <v>341</v>
      </c>
      <c r="AC124" s="1">
        <v>0</v>
      </c>
      <c r="AD124" s="1" t="s">
        <v>56</v>
      </c>
      <c r="AE124" s="1" t="s">
        <v>83</v>
      </c>
      <c r="AF124" s="1" t="s">
        <v>84</v>
      </c>
      <c r="AG124" s="1" t="s">
        <v>361</v>
      </c>
      <c r="AH124" s="1" t="s">
        <v>115</v>
      </c>
      <c r="AI124" s="1" t="s">
        <v>75</v>
      </c>
      <c r="AK124" s="1" t="s">
        <v>116</v>
      </c>
      <c r="AL124" s="1" t="s">
        <v>174</v>
      </c>
      <c r="AM124" s="1">
        <v>2</v>
      </c>
      <c r="AN124" s="1">
        <v>0</v>
      </c>
      <c r="AO124" s="1">
        <f t="shared" si="26"/>
        <v>2</v>
      </c>
      <c r="AQ124" s="1" t="s">
        <v>189</v>
      </c>
      <c r="AR124" s="4">
        <f>STDEV(AR118:AR122)</f>
        <v>8.9153197489056576E-2</v>
      </c>
      <c r="AS124" s="4">
        <f t="shared" ref="AS124:AT124" si="60">STDEV(AS118:AS122)</f>
        <v>8.6645113248439126E-2</v>
      </c>
      <c r="AT124" s="4">
        <f t="shared" si="60"/>
        <v>2.6262156560324771E-2</v>
      </c>
      <c r="AU124" s="4">
        <f>STDEV(AU118:AU122)</f>
        <v>5.2254544087884179E-2</v>
      </c>
      <c r="AV124" s="4">
        <f>STDEV(AV118:AV122)</f>
        <v>1.8564048236982971E-2</v>
      </c>
      <c r="AW124" s="4">
        <f>STDEV(AW118:AW122)</f>
        <v>5.6875664769711225E-2</v>
      </c>
    </row>
    <row r="125" spans="1:49" x14ac:dyDescent="0.4">
      <c r="A125" s="1">
        <v>1</v>
      </c>
      <c r="B125" s="1">
        <v>1</v>
      </c>
      <c r="C125" s="1" t="s">
        <v>41</v>
      </c>
      <c r="D125" s="2">
        <v>38947</v>
      </c>
      <c r="E125" s="1">
        <v>230</v>
      </c>
      <c r="F125" s="1">
        <v>7</v>
      </c>
      <c r="G125" s="3">
        <v>0.57484953703703701</v>
      </c>
      <c r="H125" s="3">
        <v>0.58270833333333327</v>
      </c>
      <c r="I125" s="3">
        <v>7.8587962962962665E-3</v>
      </c>
      <c r="J125" s="3">
        <v>5.532407407407347E-3</v>
      </c>
      <c r="K125" s="5">
        <f t="shared" si="24"/>
        <v>478</v>
      </c>
      <c r="L125" s="3">
        <v>7.7453703703703747E-2</v>
      </c>
      <c r="N125" s="1" t="s">
        <v>75</v>
      </c>
      <c r="O125" s="1" t="s">
        <v>286</v>
      </c>
      <c r="P125" s="1" t="s">
        <v>44</v>
      </c>
      <c r="Q125" s="1" t="s">
        <v>45</v>
      </c>
      <c r="S125" s="1" t="s">
        <v>46</v>
      </c>
      <c r="T125" s="1" t="s">
        <v>47</v>
      </c>
      <c r="U125" s="1" t="s">
        <v>92</v>
      </c>
      <c r="V125" s="1" t="s">
        <v>49</v>
      </c>
      <c r="W125" s="1" t="s">
        <v>268</v>
      </c>
      <c r="X125" s="1" t="s">
        <v>96</v>
      </c>
      <c r="Y125" s="1" t="s">
        <v>356</v>
      </c>
      <c r="Z125" s="1" t="s">
        <v>357</v>
      </c>
      <c r="AA125" s="1" t="s">
        <v>358</v>
      </c>
      <c r="AB125" s="1" t="s">
        <v>359</v>
      </c>
      <c r="AC125" s="1">
        <v>0</v>
      </c>
      <c r="AD125" s="1" t="s">
        <v>105</v>
      </c>
      <c r="AE125" s="1" t="s">
        <v>70</v>
      </c>
      <c r="AF125" s="1" t="s">
        <v>113</v>
      </c>
      <c r="AG125" s="1" t="s">
        <v>362</v>
      </c>
      <c r="AH125" s="1" t="s">
        <v>165</v>
      </c>
      <c r="AI125" s="1" t="s">
        <v>75</v>
      </c>
      <c r="AK125" s="1" t="s">
        <v>86</v>
      </c>
      <c r="AL125" s="1" t="s">
        <v>133</v>
      </c>
      <c r="AM125" s="1">
        <v>1</v>
      </c>
      <c r="AN125" s="1">
        <v>0</v>
      </c>
      <c r="AO125" s="1">
        <f t="shared" si="26"/>
        <v>1</v>
      </c>
    </row>
    <row r="126" spans="1:49" x14ac:dyDescent="0.4">
      <c r="A126" s="1">
        <v>1</v>
      </c>
      <c r="B126" s="1">
        <v>1</v>
      </c>
      <c r="C126" s="1" t="s">
        <v>41</v>
      </c>
      <c r="D126" s="2">
        <v>38947</v>
      </c>
      <c r="E126" s="1">
        <v>230</v>
      </c>
      <c r="F126" s="1">
        <v>8</v>
      </c>
      <c r="G126" s="3">
        <v>0.66016203703703702</v>
      </c>
      <c r="H126" s="3">
        <v>0.66509259259259257</v>
      </c>
      <c r="I126" s="3">
        <v>4.9305555555555491E-3</v>
      </c>
      <c r="J126" s="3">
        <v>4.9305555555555491E-3</v>
      </c>
      <c r="K126" s="5">
        <f t="shared" si="24"/>
        <v>426</v>
      </c>
      <c r="L126" s="3">
        <v>1.8587962962963056E-2</v>
      </c>
      <c r="N126" s="1" t="s">
        <v>75</v>
      </c>
      <c r="O126" s="1" t="s">
        <v>286</v>
      </c>
      <c r="P126" s="1" t="s">
        <v>44</v>
      </c>
      <c r="Q126" s="1" t="s">
        <v>76</v>
      </c>
      <c r="S126" s="1" t="s">
        <v>46</v>
      </c>
      <c r="T126" s="1" t="s">
        <v>47</v>
      </c>
      <c r="U126" s="1" t="s">
        <v>66</v>
      </c>
      <c r="V126" s="1" t="s">
        <v>49</v>
      </c>
      <c r="W126" s="1" t="s">
        <v>268</v>
      </c>
      <c r="X126" s="1" t="s">
        <v>316</v>
      </c>
      <c r="Y126" s="1" t="s">
        <v>270</v>
      </c>
      <c r="Z126" s="1" t="s">
        <v>271</v>
      </c>
      <c r="AA126" s="1" t="s">
        <v>363</v>
      </c>
      <c r="AB126" s="1" t="s">
        <v>364</v>
      </c>
      <c r="AC126" s="1">
        <v>0</v>
      </c>
      <c r="AD126" s="1" t="s">
        <v>56</v>
      </c>
      <c r="AE126" s="1" t="s">
        <v>70</v>
      </c>
      <c r="AF126" s="1" t="s">
        <v>153</v>
      </c>
      <c r="AG126" s="1" t="s">
        <v>365</v>
      </c>
      <c r="AH126" s="1" t="s">
        <v>59</v>
      </c>
      <c r="AI126" s="1" t="s">
        <v>75</v>
      </c>
      <c r="AK126" s="1" t="s">
        <v>116</v>
      </c>
      <c r="AL126" s="1" t="s">
        <v>117</v>
      </c>
      <c r="AM126" s="1">
        <v>4</v>
      </c>
      <c r="AN126" s="1">
        <v>0</v>
      </c>
      <c r="AO126" s="1">
        <f t="shared" si="26"/>
        <v>4</v>
      </c>
    </row>
    <row r="127" spans="1:49" x14ac:dyDescent="0.4">
      <c r="A127" s="1">
        <v>1</v>
      </c>
      <c r="B127" s="1">
        <v>1</v>
      </c>
      <c r="C127" s="1" t="s">
        <v>41</v>
      </c>
      <c r="D127" s="2">
        <v>38947</v>
      </c>
      <c r="E127" s="1">
        <v>230</v>
      </c>
      <c r="F127" s="1">
        <v>9</v>
      </c>
      <c r="G127" s="3">
        <v>0.68368055555555562</v>
      </c>
      <c r="H127" s="3">
        <v>0.69202546296296286</v>
      </c>
      <c r="I127" s="3">
        <v>8.3449074074072316E-3</v>
      </c>
      <c r="J127" s="3">
        <v>7.812499999999778E-3</v>
      </c>
      <c r="K127" s="5">
        <f t="shared" si="24"/>
        <v>675</v>
      </c>
      <c r="L127" s="3" t="s">
        <v>120</v>
      </c>
      <c r="N127" s="1" t="s">
        <v>75</v>
      </c>
      <c r="O127" s="1" t="s">
        <v>286</v>
      </c>
      <c r="P127" s="1" t="s">
        <v>44</v>
      </c>
      <c r="Q127" s="1" t="s">
        <v>76</v>
      </c>
      <c r="S127" s="1" t="s">
        <v>46</v>
      </c>
      <c r="T127" s="1" t="s">
        <v>47</v>
      </c>
      <c r="U127" s="1" t="s">
        <v>66</v>
      </c>
      <c r="V127" s="1" t="s">
        <v>49</v>
      </c>
      <c r="W127" s="1" t="s">
        <v>77</v>
      </c>
      <c r="X127" s="1" t="s">
        <v>332</v>
      </c>
      <c r="Y127" s="1" t="s">
        <v>338</v>
      </c>
      <c r="Z127" s="1" t="s">
        <v>339</v>
      </c>
      <c r="AA127" s="1" t="s">
        <v>340</v>
      </c>
      <c r="AB127" s="1" t="s">
        <v>341</v>
      </c>
      <c r="AC127" s="1">
        <v>0</v>
      </c>
      <c r="AD127" s="1" t="s">
        <v>56</v>
      </c>
      <c r="AE127" s="1" t="s">
        <v>83</v>
      </c>
      <c r="AF127" s="1" t="s">
        <v>113</v>
      </c>
      <c r="AG127" s="1" t="s">
        <v>366</v>
      </c>
      <c r="AH127" s="1" t="s">
        <v>115</v>
      </c>
      <c r="AI127" s="1" t="s">
        <v>75</v>
      </c>
      <c r="AK127" s="1" t="s">
        <v>116</v>
      </c>
      <c r="AL127" s="1" t="s">
        <v>117</v>
      </c>
      <c r="AM127" s="1">
        <v>1</v>
      </c>
      <c r="AN127" s="1">
        <v>0</v>
      </c>
      <c r="AO127" s="1">
        <f t="shared" si="26"/>
        <v>1</v>
      </c>
      <c r="AQ127" s="1" t="s">
        <v>367</v>
      </c>
    </row>
    <row r="128" spans="1:49" x14ac:dyDescent="0.4">
      <c r="A128" s="1">
        <v>1</v>
      </c>
      <c r="B128" s="1">
        <v>1</v>
      </c>
      <c r="C128" s="1" t="s">
        <v>41</v>
      </c>
      <c r="D128" s="2">
        <v>38952</v>
      </c>
      <c r="E128" s="1">
        <v>235</v>
      </c>
      <c r="F128" s="1">
        <v>0.5</v>
      </c>
      <c r="G128" s="3">
        <v>0.40728009259259257</v>
      </c>
      <c r="H128" s="3">
        <v>0.40732638888888889</v>
      </c>
      <c r="I128" s="3">
        <v>4.6296296296322037E-5</v>
      </c>
      <c r="J128" s="3">
        <v>4.6296296296322037E-5</v>
      </c>
      <c r="K128" s="5">
        <f t="shared" si="24"/>
        <v>4</v>
      </c>
      <c r="L128" s="3">
        <v>2.7326388888888886E-2</v>
      </c>
      <c r="N128" s="1" t="s">
        <v>42</v>
      </c>
      <c r="O128" s="1" t="s">
        <v>286</v>
      </c>
      <c r="P128" s="1" t="s">
        <v>44</v>
      </c>
      <c r="Q128" s="1" t="s">
        <v>191</v>
      </c>
      <c r="S128" s="1" t="s">
        <v>46</v>
      </c>
      <c r="T128" s="1" t="s">
        <v>47</v>
      </c>
      <c r="U128" s="1" t="s">
        <v>66</v>
      </c>
      <c r="AB128" s="1" t="s">
        <v>93</v>
      </c>
      <c r="AC128" s="1">
        <v>1</v>
      </c>
      <c r="AG128" s="1" t="s">
        <v>368</v>
      </c>
      <c r="AI128" s="1" t="s">
        <v>71</v>
      </c>
      <c r="AK128" s="1" t="s">
        <v>86</v>
      </c>
      <c r="AL128" s="1" t="s">
        <v>87</v>
      </c>
      <c r="AM128" s="1">
        <v>1</v>
      </c>
      <c r="AN128" s="1">
        <v>0</v>
      </c>
      <c r="AO128" s="1">
        <f t="shared" si="26"/>
        <v>1</v>
      </c>
      <c r="AQ128" s="1" t="s">
        <v>166</v>
      </c>
      <c r="AR128" s="1" t="s">
        <v>181</v>
      </c>
      <c r="AS128" s="1" t="s">
        <v>83</v>
      </c>
      <c r="AT128" s="1" t="s">
        <v>229</v>
      </c>
      <c r="AU128" s="1" t="s">
        <v>230</v>
      </c>
    </row>
    <row r="129" spans="1:47" x14ac:dyDescent="0.4">
      <c r="A129" s="1">
        <v>1</v>
      </c>
      <c r="B129" s="1">
        <v>1</v>
      </c>
      <c r="C129" s="1" t="s">
        <v>41</v>
      </c>
      <c r="D129" s="2">
        <v>38952</v>
      </c>
      <c r="E129" s="1">
        <v>235</v>
      </c>
      <c r="F129" s="1">
        <v>1</v>
      </c>
      <c r="G129" s="3">
        <v>0.43465277777777778</v>
      </c>
      <c r="H129" s="3">
        <v>0.43530092592592595</v>
      </c>
      <c r="I129" s="3">
        <v>6.4814814814817545E-4</v>
      </c>
      <c r="J129" s="3">
        <v>6.4814814814817545E-4</v>
      </c>
      <c r="K129" s="5">
        <f t="shared" si="24"/>
        <v>56</v>
      </c>
      <c r="L129" s="3">
        <v>1.5509259259259223E-2</v>
      </c>
      <c r="N129" s="1" t="s">
        <v>42</v>
      </c>
      <c r="O129" s="1" t="s">
        <v>286</v>
      </c>
      <c r="P129" s="1" t="s">
        <v>44</v>
      </c>
      <c r="Q129" s="1" t="s">
        <v>76</v>
      </c>
      <c r="S129" s="1" t="s">
        <v>46</v>
      </c>
      <c r="T129" s="1" t="s">
        <v>45</v>
      </c>
      <c r="U129" s="1" t="s">
        <v>48</v>
      </c>
      <c r="V129" s="1" t="s">
        <v>102</v>
      </c>
      <c r="W129" s="1" t="s">
        <v>231</v>
      </c>
      <c r="X129" s="1" t="s">
        <v>369</v>
      </c>
      <c r="AB129" s="1" t="s">
        <v>104</v>
      </c>
      <c r="AC129" s="1">
        <v>0</v>
      </c>
      <c r="AD129" s="1" t="s">
        <v>105</v>
      </c>
      <c r="AE129" s="1" t="s">
        <v>70</v>
      </c>
      <c r="AG129" s="1" t="s">
        <v>370</v>
      </c>
      <c r="AH129" s="1" t="s">
        <v>157</v>
      </c>
      <c r="AI129" s="1" t="s">
        <v>60</v>
      </c>
      <c r="AK129" s="1" t="s">
        <v>86</v>
      </c>
      <c r="AL129" s="1" t="s">
        <v>87</v>
      </c>
      <c r="AM129" s="1">
        <v>1</v>
      </c>
      <c r="AN129" s="1">
        <v>0</v>
      </c>
      <c r="AO129" s="1">
        <f t="shared" si="26"/>
        <v>1</v>
      </c>
      <c r="AQ129" s="1" t="s">
        <v>73</v>
      </c>
      <c r="AR129" s="1">
        <f>COUNTIFS($AE$2:$AE$1431, "YOR", $AF$2:$AF$1431, "", $AO$2:$AO$1431, "&lt;2")</f>
        <v>46</v>
      </c>
      <c r="AS129" s="1">
        <f>COUNTIFS($AE$2:$AE$1431, "YOR_Lumin", $AF$2:$AF$1431, "", $AO$2:$AO$1431, "&lt;2")</f>
        <v>47</v>
      </c>
      <c r="AT129" s="1">
        <f>COUNTIFS($AF$2:$AF$1431, "", $AO$2:$AO$1431, "&lt;2")-SUM(AR129:AS129)</f>
        <v>541</v>
      </c>
      <c r="AU129" s="1">
        <f>SUM(AR129:AS129)</f>
        <v>93</v>
      </c>
    </row>
    <row r="130" spans="1:47" x14ac:dyDescent="0.4">
      <c r="A130" s="1">
        <v>1</v>
      </c>
      <c r="B130" s="1">
        <v>1</v>
      </c>
      <c r="C130" s="1" t="s">
        <v>41</v>
      </c>
      <c r="D130" s="2">
        <v>38952</v>
      </c>
      <c r="E130" s="1">
        <v>235</v>
      </c>
      <c r="F130" s="1">
        <v>1.5</v>
      </c>
      <c r="G130" s="3">
        <v>0.45081018518518517</v>
      </c>
      <c r="H130" s="3">
        <v>0.4508449074074074</v>
      </c>
      <c r="I130" s="3">
        <v>3.472222222222765E-5</v>
      </c>
      <c r="J130" s="3">
        <v>3.472222222222765E-5</v>
      </c>
      <c r="K130" s="5">
        <f t="shared" ref="K130:K193" si="61">HOUR(J130)*60*60+MINUTE(J130)*60+SECOND(J130)</f>
        <v>3</v>
      </c>
      <c r="L130" s="3">
        <v>1.9791666666666985E-3</v>
      </c>
      <c r="N130" s="1" t="s">
        <v>42</v>
      </c>
      <c r="O130" s="1" t="s">
        <v>286</v>
      </c>
      <c r="P130" s="1" t="s">
        <v>44</v>
      </c>
      <c r="Q130" s="1" t="s">
        <v>76</v>
      </c>
      <c r="S130" s="1" t="s">
        <v>46</v>
      </c>
      <c r="T130" s="1" t="s">
        <v>45</v>
      </c>
      <c r="U130" s="1" t="s">
        <v>156</v>
      </c>
      <c r="AB130" s="1" t="s">
        <v>93</v>
      </c>
      <c r="AC130" s="1">
        <v>1</v>
      </c>
      <c r="AI130" s="1" t="s">
        <v>75</v>
      </c>
      <c r="AK130" s="1" t="s">
        <v>61</v>
      </c>
      <c r="AL130" s="1" t="s">
        <v>72</v>
      </c>
      <c r="AN130" s="1">
        <v>1</v>
      </c>
      <c r="AO130" s="1">
        <f t="shared" si="26"/>
        <v>1</v>
      </c>
      <c r="AQ130" s="1" t="s">
        <v>88</v>
      </c>
      <c r="AR130" s="1">
        <f>COUNTIFS($B$2:$B$1431, "1", $AE$2:$AE$1431, "YOR", $AF$2:$AF$1431, "", $AO$2:$AO$1431, "&lt;2")</f>
        <v>8</v>
      </c>
      <c r="AS130" s="1">
        <f>COUNTIFS($B$2:$B$1431, "1", $AE$2:$AE$1431, "YOR_Lumin", $AF$2:$AF$1431, "", $AO$2:$AO$1431, "&lt;2")</f>
        <v>12</v>
      </c>
      <c r="AT130" s="1">
        <f>COUNTIFS($B$2:$B$1431, "1", $AF$2:$AF$1431, "", $AO$2:$AO$1431, "&lt;2")-SUM(AR130:AS130)</f>
        <v>77</v>
      </c>
      <c r="AU130" s="1">
        <f t="shared" ref="AU130:AU133" si="62">SUM(AR130:AS130)</f>
        <v>20</v>
      </c>
    </row>
    <row r="131" spans="1:47" x14ac:dyDescent="0.4">
      <c r="A131" s="1">
        <v>1</v>
      </c>
      <c r="B131" s="1">
        <v>1</v>
      </c>
      <c r="C131" s="1" t="s">
        <v>41</v>
      </c>
      <c r="D131" s="2">
        <v>38952</v>
      </c>
      <c r="E131" s="1">
        <v>235</v>
      </c>
      <c r="F131" s="1">
        <v>2</v>
      </c>
      <c r="G131" s="3">
        <v>0.4528240740740741</v>
      </c>
      <c r="H131" s="3">
        <v>0.46710648148148143</v>
      </c>
      <c r="I131" s="3">
        <v>1.4282407407407327E-2</v>
      </c>
      <c r="J131" s="3">
        <v>1.0416666666665519E-3</v>
      </c>
      <c r="K131" s="5">
        <f t="shared" si="61"/>
        <v>90</v>
      </c>
      <c r="L131" s="3">
        <v>7.0567129629629688E-2</v>
      </c>
      <c r="N131" s="1" t="s">
        <v>42</v>
      </c>
      <c r="O131" s="1" t="s">
        <v>286</v>
      </c>
      <c r="P131" s="1" t="s">
        <v>44</v>
      </c>
      <c r="Q131" s="1" t="s">
        <v>76</v>
      </c>
      <c r="S131" s="1" t="s">
        <v>46</v>
      </c>
      <c r="T131" s="1" t="s">
        <v>47</v>
      </c>
      <c r="U131" s="1" t="s">
        <v>156</v>
      </c>
      <c r="V131" s="1" t="s">
        <v>67</v>
      </c>
      <c r="W131" s="1" t="s">
        <v>68</v>
      </c>
      <c r="X131" s="1" t="s">
        <v>371</v>
      </c>
      <c r="Y131" s="1" t="s">
        <v>303</v>
      </c>
      <c r="Z131" s="1" t="s">
        <v>304</v>
      </c>
      <c r="AA131" s="1" t="s">
        <v>372</v>
      </c>
      <c r="AB131" s="1" t="s">
        <v>373</v>
      </c>
      <c r="AC131" s="1">
        <v>0</v>
      </c>
      <c r="AD131" s="1" t="s">
        <v>68</v>
      </c>
      <c r="AE131" s="1" t="s">
        <v>70</v>
      </c>
      <c r="AF131" s="1" t="s">
        <v>153</v>
      </c>
      <c r="AG131" s="1" t="s">
        <v>374</v>
      </c>
      <c r="AH131" s="1" t="s">
        <v>157</v>
      </c>
      <c r="AI131" s="1" t="s">
        <v>75</v>
      </c>
      <c r="AK131" s="1" t="s">
        <v>86</v>
      </c>
      <c r="AL131" s="1" t="s">
        <v>86</v>
      </c>
      <c r="AM131" s="1">
        <v>1</v>
      </c>
      <c r="AN131" s="1">
        <v>0</v>
      </c>
      <c r="AO131" s="1">
        <f t="shared" ref="AO131:AO194" si="63">SUM(AM131:AN131)</f>
        <v>1</v>
      </c>
      <c r="AQ131" s="1" t="s">
        <v>94</v>
      </c>
      <c r="AR131" s="1">
        <f>COUNTIFS($B$2:$B$1431, "2", $AE$2:$AE$1431, "YOR", $AF$2:$AF$1431, "", $AO$2:$AO$1431, "&lt;2")</f>
        <v>8</v>
      </c>
      <c r="AS131" s="1">
        <f>COUNTIFS($B$2:$B$1431, "2", $AE$2:$AE$1431, "YOR_Lumin", $AF$2:$AF$1431, "", $AO$2:$AO$1431, "&lt;2")</f>
        <v>7</v>
      </c>
      <c r="AT131" s="1">
        <f>COUNTIFS($B$2:$B$1431, "2", $AF$2:$AF$1431, "", $AO$2:$AO$1431, "&lt;2")-SUM(AR131:AS131)</f>
        <v>84</v>
      </c>
      <c r="AU131" s="1">
        <f t="shared" si="62"/>
        <v>15</v>
      </c>
    </row>
    <row r="132" spans="1:47" x14ac:dyDescent="0.4">
      <c r="A132" s="1">
        <v>1</v>
      </c>
      <c r="B132" s="1">
        <v>1</v>
      </c>
      <c r="C132" s="1" t="s">
        <v>41</v>
      </c>
      <c r="D132" s="2">
        <v>38952</v>
      </c>
      <c r="E132" s="1">
        <v>235</v>
      </c>
      <c r="F132" s="1">
        <v>3</v>
      </c>
      <c r="G132" s="3">
        <v>0.53767361111111112</v>
      </c>
      <c r="H132" s="3">
        <v>0.53810185185185189</v>
      </c>
      <c r="I132" s="3">
        <v>4.2824074074077068E-4</v>
      </c>
      <c r="J132" s="3">
        <v>4.2824074074077068E-4</v>
      </c>
      <c r="K132" s="5">
        <f t="shared" si="61"/>
        <v>37</v>
      </c>
      <c r="L132" s="3">
        <v>5.3877314814814725E-2</v>
      </c>
      <c r="N132" s="1" t="s">
        <v>251</v>
      </c>
      <c r="O132" s="1" t="s">
        <v>286</v>
      </c>
      <c r="P132" s="1" t="s">
        <v>44</v>
      </c>
      <c r="Q132" s="1" t="s">
        <v>76</v>
      </c>
      <c r="S132" s="1" t="s">
        <v>46</v>
      </c>
      <c r="T132" s="1" t="s">
        <v>47</v>
      </c>
      <c r="U132" s="1" t="s">
        <v>48</v>
      </c>
      <c r="V132" s="1" t="s">
        <v>49</v>
      </c>
      <c r="W132" s="1" t="s">
        <v>77</v>
      </c>
      <c r="X132" s="1" t="s">
        <v>375</v>
      </c>
      <c r="Y132" s="1" t="s">
        <v>376</v>
      </c>
      <c r="Z132" s="1">
        <v>2</v>
      </c>
      <c r="AB132" s="1" t="s">
        <v>377</v>
      </c>
      <c r="AC132" s="1">
        <v>0</v>
      </c>
      <c r="AD132" s="1" t="s">
        <v>56</v>
      </c>
      <c r="AE132" s="1" t="s">
        <v>83</v>
      </c>
      <c r="AF132" s="1" t="s">
        <v>113</v>
      </c>
      <c r="AG132" s="1" t="s">
        <v>378</v>
      </c>
      <c r="AH132" s="1" t="s">
        <v>59</v>
      </c>
      <c r="AI132" s="1" t="s">
        <v>379</v>
      </c>
      <c r="AK132" s="1" t="s">
        <v>86</v>
      </c>
      <c r="AL132" s="1" t="s">
        <v>133</v>
      </c>
      <c r="AM132" s="1">
        <v>1</v>
      </c>
      <c r="AN132" s="1">
        <v>0</v>
      </c>
      <c r="AO132" s="1">
        <f t="shared" si="63"/>
        <v>1</v>
      </c>
      <c r="AQ132" s="1" t="s">
        <v>100</v>
      </c>
      <c r="AR132" s="1">
        <f>COUNTIFS($B$2:$B$1431, "3", $AE$2:$AE$1431, "YOR", $AF$2:$AF$1431, "", $AO$2:$AO$1431, "&lt;2")</f>
        <v>22</v>
      </c>
      <c r="AS132" s="1">
        <f>COUNTIFS($B$2:$B$1431, "3", $AE$2:$AE$1431, "YOR_Lumin", $AF$2:$AF$1431, "", $AO$2:$AO$1431, "&lt;2")</f>
        <v>14</v>
      </c>
      <c r="AT132" s="1">
        <f>COUNTIFS($B$2:$B$1431, "3", $AF$2:$AF$1431, "", $AO$2:$AO$1431, "&lt;2")-SUM(AR132:AS132)</f>
        <v>153</v>
      </c>
      <c r="AU132" s="1">
        <f t="shared" si="62"/>
        <v>36</v>
      </c>
    </row>
    <row r="133" spans="1:47" x14ac:dyDescent="0.4">
      <c r="A133" s="1">
        <v>1</v>
      </c>
      <c r="B133" s="1">
        <v>1</v>
      </c>
      <c r="C133" s="1" t="s">
        <v>41</v>
      </c>
      <c r="D133" s="2">
        <v>38952</v>
      </c>
      <c r="E133" s="1">
        <v>235</v>
      </c>
      <c r="F133" s="1">
        <v>4</v>
      </c>
      <c r="G133" s="3">
        <v>0.59197916666666661</v>
      </c>
      <c r="H133" s="3">
        <v>0.59499999999999997</v>
      </c>
      <c r="I133" s="3">
        <v>3.0208333333333615E-3</v>
      </c>
      <c r="J133" s="3">
        <v>3.0208333333333615E-3</v>
      </c>
      <c r="K133" s="5">
        <f t="shared" si="61"/>
        <v>261</v>
      </c>
      <c r="L133" s="3">
        <v>6.1689814814814836E-3</v>
      </c>
      <c r="N133" s="1" t="s">
        <v>251</v>
      </c>
      <c r="O133" s="1" t="s">
        <v>286</v>
      </c>
      <c r="P133" s="1" t="s">
        <v>44</v>
      </c>
      <c r="Q133" s="1" t="s">
        <v>76</v>
      </c>
      <c r="S133" s="1" t="s">
        <v>46</v>
      </c>
      <c r="T133" s="1" t="s">
        <v>47</v>
      </c>
      <c r="V133" s="1" t="s">
        <v>49</v>
      </c>
      <c r="W133" s="1" t="s">
        <v>268</v>
      </c>
      <c r="X133" s="1" t="s">
        <v>316</v>
      </c>
      <c r="Y133" s="1" t="s">
        <v>270</v>
      </c>
      <c r="Z133" s="1" t="s">
        <v>271</v>
      </c>
      <c r="AA133" s="1" t="s">
        <v>363</v>
      </c>
      <c r="AB133" s="1" t="s">
        <v>364</v>
      </c>
      <c r="AC133" s="1">
        <v>0</v>
      </c>
      <c r="AD133" s="1" t="s">
        <v>56</v>
      </c>
      <c r="AE133" s="1" t="s">
        <v>70</v>
      </c>
      <c r="AF133" s="1" t="s">
        <v>153</v>
      </c>
      <c r="AG133" s="1" t="s">
        <v>365</v>
      </c>
      <c r="AH133" s="1" t="s">
        <v>59</v>
      </c>
      <c r="AK133" s="1" t="s">
        <v>116</v>
      </c>
      <c r="AL133" s="1" t="s">
        <v>155</v>
      </c>
      <c r="AM133" s="1">
        <v>4</v>
      </c>
      <c r="AN133" s="1">
        <v>0</v>
      </c>
      <c r="AO133" s="1">
        <f t="shared" si="63"/>
        <v>4</v>
      </c>
      <c r="AQ133" s="1" t="s">
        <v>107</v>
      </c>
      <c r="AR133" s="1">
        <f>COUNTIFS($B$2:$B$1431, "S", $AE$2:$AE$1431, "YOR", $AF$2:$AF$1431, "", $AO$2:$AO$1431, "&lt;2")</f>
        <v>1</v>
      </c>
      <c r="AS133" s="1">
        <f>COUNTIFS($B$2:$B$1431, "S", $AE$2:$AE$1431, "YOR_Lumin", $AF$2:$AF$1431, "", $AO$2:$AO$1431, "&lt;2")</f>
        <v>4</v>
      </c>
      <c r="AT133" s="1">
        <f>COUNTIFS($B$2:$B$1431, "S", $AF$2:$AF$1431, "", $AO$2:$AO$1431, "&lt;2")-SUM(AR133:AS133)</f>
        <v>40</v>
      </c>
      <c r="AU133" s="1">
        <f t="shared" si="62"/>
        <v>5</v>
      </c>
    </row>
    <row r="134" spans="1:47" x14ac:dyDescent="0.4">
      <c r="A134" s="1">
        <v>1</v>
      </c>
      <c r="B134" s="1">
        <v>1</v>
      </c>
      <c r="C134" s="1" t="s">
        <v>41</v>
      </c>
      <c r="D134" s="2">
        <v>38952</v>
      </c>
      <c r="E134" s="1">
        <v>235</v>
      </c>
      <c r="F134" s="1">
        <v>5</v>
      </c>
      <c r="G134" s="3">
        <v>0.60116898148148146</v>
      </c>
      <c r="H134" s="3">
        <v>0.60362268518518525</v>
      </c>
      <c r="I134" s="3">
        <v>2.4537037037037912E-3</v>
      </c>
      <c r="J134" s="3">
        <v>2.4537037037037912E-3</v>
      </c>
      <c r="K134" s="5">
        <f t="shared" si="61"/>
        <v>212</v>
      </c>
      <c r="L134" s="3">
        <v>1.0555555555555429E-2</v>
      </c>
      <c r="N134" s="1" t="s">
        <v>251</v>
      </c>
      <c r="O134" s="1" t="s">
        <v>286</v>
      </c>
      <c r="P134" s="1" t="s">
        <v>44</v>
      </c>
      <c r="Q134" s="1" t="s">
        <v>76</v>
      </c>
      <c r="S134" s="1" t="s">
        <v>46</v>
      </c>
      <c r="T134" s="1" t="s">
        <v>47</v>
      </c>
      <c r="U134" s="1" t="s">
        <v>156</v>
      </c>
      <c r="V134" s="1" t="s">
        <v>49</v>
      </c>
      <c r="W134" s="1" t="s">
        <v>77</v>
      </c>
      <c r="X134" s="1" t="s">
        <v>332</v>
      </c>
      <c r="Y134" s="1" t="s">
        <v>338</v>
      </c>
      <c r="Z134" s="1" t="s">
        <v>339</v>
      </c>
      <c r="AA134" s="1" t="s">
        <v>340</v>
      </c>
      <c r="AB134" s="1" t="s">
        <v>341</v>
      </c>
      <c r="AC134" s="1">
        <v>0</v>
      </c>
      <c r="AD134" s="1" t="s">
        <v>56</v>
      </c>
      <c r="AE134" s="1" t="s">
        <v>83</v>
      </c>
      <c r="AF134" s="1" t="s">
        <v>153</v>
      </c>
      <c r="AG134" s="1" t="s">
        <v>361</v>
      </c>
      <c r="AH134" s="1" t="s">
        <v>115</v>
      </c>
      <c r="AI134" s="1" t="s">
        <v>255</v>
      </c>
      <c r="AK134" s="1" t="s">
        <v>61</v>
      </c>
      <c r="AL134" s="1" t="s">
        <v>133</v>
      </c>
      <c r="AM134" s="1">
        <v>2</v>
      </c>
      <c r="AN134" s="1">
        <v>0</v>
      </c>
      <c r="AO134" s="1">
        <f t="shared" si="63"/>
        <v>2</v>
      </c>
      <c r="AQ134" s="1" t="s">
        <v>118</v>
      </c>
      <c r="AR134" s="1">
        <f>COUNTIFS($B$2:$B$1431, "W", $AE$2:$AE$1431, "YOR", $AF$2:$AF$1431, "", $AO$2:$AO$1431, "&lt;2")</f>
        <v>7</v>
      </c>
      <c r="AS134" s="1">
        <f>COUNTIFS($B$2:$B$1431, "W", $AE$2:$AE$1431, "YOR_Lumin", $AF$2:$AF$1431, "", $AO$2:$AO$1431, "&lt;2")</f>
        <v>10</v>
      </c>
      <c r="AT134" s="1">
        <f>COUNTIFS($B$2:$B$1431, "W", $AF$2:$AF$1431, "", $AO$2:$AO$1431, "&lt;2")-SUM(AR134:AS134)</f>
        <v>187</v>
      </c>
      <c r="AU134" s="1">
        <f>SUM(AR134:AS134)</f>
        <v>17</v>
      </c>
    </row>
    <row r="135" spans="1:47" x14ac:dyDescent="0.4">
      <c r="A135" s="1">
        <v>1</v>
      </c>
      <c r="B135" s="1">
        <v>1</v>
      </c>
      <c r="C135" s="1" t="s">
        <v>41</v>
      </c>
      <c r="D135" s="2">
        <v>38952</v>
      </c>
      <c r="E135" s="1">
        <v>235</v>
      </c>
      <c r="F135" s="1">
        <v>6.5</v>
      </c>
      <c r="G135" s="3">
        <v>0.61417824074074068</v>
      </c>
      <c r="H135" s="3">
        <v>0.61422453703703705</v>
      </c>
      <c r="I135" s="3">
        <v>4.6296296296377548E-5</v>
      </c>
      <c r="J135" s="3">
        <v>4.6296296296377548E-5</v>
      </c>
      <c r="K135" s="5">
        <f t="shared" si="61"/>
        <v>4</v>
      </c>
      <c r="L135" s="3">
        <v>8.4953703703702921E-3</v>
      </c>
      <c r="N135" s="1" t="s">
        <v>251</v>
      </c>
      <c r="O135" s="1" t="s">
        <v>286</v>
      </c>
      <c r="P135" s="1" t="s">
        <v>44</v>
      </c>
      <c r="Q135" s="1" t="s">
        <v>91</v>
      </c>
      <c r="S135" s="1" t="s">
        <v>46</v>
      </c>
      <c r="T135" s="1" t="s">
        <v>47</v>
      </c>
      <c r="U135" s="1" t="s">
        <v>156</v>
      </c>
      <c r="AB135" s="1" t="s">
        <v>93</v>
      </c>
      <c r="AC135" s="1">
        <v>1</v>
      </c>
      <c r="AG135" s="1" t="s">
        <v>380</v>
      </c>
      <c r="AI135" s="1" t="s">
        <v>255</v>
      </c>
      <c r="AK135" s="1" t="s">
        <v>86</v>
      </c>
      <c r="AL135" s="1" t="s">
        <v>87</v>
      </c>
      <c r="AM135" s="1">
        <v>2</v>
      </c>
      <c r="AN135" s="1">
        <v>0</v>
      </c>
      <c r="AO135" s="1">
        <f t="shared" si="63"/>
        <v>2</v>
      </c>
      <c r="AQ135" s="1" t="s">
        <v>183</v>
      </c>
    </row>
    <row r="136" spans="1:47" x14ac:dyDescent="0.4">
      <c r="A136" s="1">
        <v>1</v>
      </c>
      <c r="B136" s="1">
        <v>1</v>
      </c>
      <c r="C136" s="1" t="s">
        <v>41</v>
      </c>
      <c r="D136" s="2">
        <v>38952</v>
      </c>
      <c r="E136" s="1">
        <v>235</v>
      </c>
      <c r="F136" s="1">
        <v>7</v>
      </c>
      <c r="G136" s="3">
        <v>0.62271990740740735</v>
      </c>
      <c r="H136" s="3">
        <v>0.63655092592592599</v>
      </c>
      <c r="I136" s="3">
        <v>1.3831018518518645E-2</v>
      </c>
      <c r="J136" s="3">
        <v>1.1226851851853237E-3</v>
      </c>
      <c r="K136" s="5">
        <f t="shared" si="61"/>
        <v>97</v>
      </c>
      <c r="L136" s="3">
        <v>9.0624999999999734E-3</v>
      </c>
      <c r="N136" s="1" t="s">
        <v>251</v>
      </c>
      <c r="O136" s="1" t="s">
        <v>286</v>
      </c>
      <c r="P136" s="1" t="s">
        <v>44</v>
      </c>
      <c r="Q136" s="1" t="s">
        <v>191</v>
      </c>
      <c r="S136" s="1" t="s">
        <v>46</v>
      </c>
      <c r="T136" s="1" t="s">
        <v>47</v>
      </c>
      <c r="U136" s="1" t="s">
        <v>66</v>
      </c>
      <c r="V136" s="1" t="s">
        <v>102</v>
      </c>
      <c r="W136" s="1" t="s">
        <v>103</v>
      </c>
      <c r="X136" s="1" t="s">
        <v>96</v>
      </c>
      <c r="AB136" s="1" t="s">
        <v>104</v>
      </c>
      <c r="AC136" s="1">
        <v>0</v>
      </c>
      <c r="AD136" s="1" t="s">
        <v>105</v>
      </c>
      <c r="AE136" s="1" t="s">
        <v>70</v>
      </c>
      <c r="AG136" s="1" t="s">
        <v>380</v>
      </c>
      <c r="AH136" s="1" t="s">
        <v>157</v>
      </c>
      <c r="AI136" s="1" t="s">
        <v>257</v>
      </c>
      <c r="AK136" s="1" t="s">
        <v>381</v>
      </c>
      <c r="AL136" s="1" t="s">
        <v>382</v>
      </c>
      <c r="AM136" s="1">
        <v>2</v>
      </c>
      <c r="AN136" s="1">
        <v>0</v>
      </c>
      <c r="AO136" s="1">
        <f t="shared" si="63"/>
        <v>2</v>
      </c>
      <c r="AQ136" s="1" t="s">
        <v>73</v>
      </c>
      <c r="AR136" s="4">
        <f>AR129/COUNTIFS($AF$2:$AF$1431, "", $AO$2:$AO$1431, "&lt;2")</f>
        <v>7.2555205047318619E-2</v>
      </c>
      <c r="AS136" s="4">
        <f t="shared" ref="AS136" si="64">AS129/COUNTIFS($AF$2:$AF$1431, "", $AO$2:$AO$1431, "&lt;2")</f>
        <v>7.4132492113564666E-2</v>
      </c>
      <c r="AT136" s="4">
        <f>AT129/COUNTIFS($AF$2:$AF$1431, "", $AO$2:$AO$1431, "&lt;2")</f>
        <v>0.85331230283911674</v>
      </c>
      <c r="AU136" s="4">
        <f>AU129/COUNTIFS($AF$2:$AF$1431, "", $AO$2:$AO$1431, "&lt;2")</f>
        <v>0.14668769716088328</v>
      </c>
    </row>
    <row r="137" spans="1:47" x14ac:dyDescent="0.4">
      <c r="A137" s="1">
        <v>1</v>
      </c>
      <c r="B137" s="1">
        <v>1</v>
      </c>
      <c r="C137" s="1" t="s">
        <v>41</v>
      </c>
      <c r="D137" s="2">
        <v>38952</v>
      </c>
      <c r="E137" s="1">
        <v>235</v>
      </c>
      <c r="F137" s="1">
        <v>7.5</v>
      </c>
      <c r="G137" s="3">
        <v>0.64561342592592597</v>
      </c>
      <c r="H137" s="3">
        <v>0.64581018518518518</v>
      </c>
      <c r="I137" s="3">
        <v>1.96759259259216E-4</v>
      </c>
      <c r="J137" s="3">
        <v>1.96759259259216E-4</v>
      </c>
      <c r="K137" s="5">
        <f t="shared" si="61"/>
        <v>17</v>
      </c>
      <c r="L137" s="3">
        <v>1.6087962962962887E-3</v>
      </c>
      <c r="N137" s="1" t="s">
        <v>251</v>
      </c>
      <c r="O137" s="1" t="s">
        <v>286</v>
      </c>
      <c r="P137" s="1" t="s">
        <v>44</v>
      </c>
      <c r="Q137" s="1" t="s">
        <v>76</v>
      </c>
      <c r="S137" s="1" t="s">
        <v>46</v>
      </c>
      <c r="T137" s="1" t="s">
        <v>76</v>
      </c>
      <c r="U137" s="1" t="s">
        <v>48</v>
      </c>
      <c r="AB137" s="1" t="s">
        <v>93</v>
      </c>
      <c r="AC137" s="1">
        <v>1</v>
      </c>
      <c r="AI137" s="1" t="s">
        <v>379</v>
      </c>
      <c r="AK137" s="1" t="s">
        <v>61</v>
      </c>
      <c r="AL137" s="1" t="s">
        <v>72</v>
      </c>
      <c r="AN137" s="1">
        <v>1</v>
      </c>
      <c r="AO137" s="1">
        <f t="shared" si="63"/>
        <v>1</v>
      </c>
      <c r="AQ137" s="1" t="s">
        <v>88</v>
      </c>
      <c r="AR137" s="4">
        <f>AR130/COUNTIFS($AF$2:$AF$1431, "", $AO$2:$AO$1431, "&lt;2", $B$2:$B$1431, "1")</f>
        <v>8.247422680412371E-2</v>
      </c>
      <c r="AS137" s="4">
        <f>AS130/COUNTIFS($AF$2:$AF$1431, "", $AO$2:$AO$1431, "&lt;2", $B$2:$B$1431, "1")</f>
        <v>0.12371134020618557</v>
      </c>
      <c r="AT137" s="4">
        <f>AT130/COUNTIFS($AF$2:$AF$1431, "", $AO$2:$AO$1431, "&lt;2", $B$2:$B$1431, "1")</f>
        <v>0.79381443298969068</v>
      </c>
      <c r="AU137" s="4">
        <f>AU130/COUNTIFS($AF$2:$AF$1431, "", $AO$2:$AO$1431, "&lt;2", $B$2:$B$1431, "1")</f>
        <v>0.20618556701030927</v>
      </c>
    </row>
    <row r="138" spans="1:47" x14ac:dyDescent="0.4">
      <c r="A138" s="1">
        <v>1</v>
      </c>
      <c r="B138" s="1">
        <v>1</v>
      </c>
      <c r="C138" s="1" t="s">
        <v>41</v>
      </c>
      <c r="D138" s="2">
        <v>38952</v>
      </c>
      <c r="E138" s="1">
        <v>235</v>
      </c>
      <c r="F138" s="1">
        <v>8</v>
      </c>
      <c r="G138" s="3">
        <v>0.64741898148148147</v>
      </c>
      <c r="H138" s="3">
        <v>0.65039351851851845</v>
      </c>
      <c r="I138" s="3">
        <v>2.9745370370369839E-3</v>
      </c>
      <c r="J138" s="3">
        <v>2.9745370370369839E-3</v>
      </c>
      <c r="K138" s="5">
        <f t="shared" si="61"/>
        <v>257</v>
      </c>
      <c r="L138" s="3">
        <v>1.9710648148148158E-2</v>
      </c>
      <c r="N138" s="1" t="s">
        <v>251</v>
      </c>
      <c r="O138" s="1" t="s">
        <v>286</v>
      </c>
      <c r="P138" s="1" t="s">
        <v>44</v>
      </c>
      <c r="Q138" s="1" t="s">
        <v>76</v>
      </c>
      <c r="S138" s="1" t="s">
        <v>46</v>
      </c>
      <c r="T138" s="1" t="s">
        <v>47</v>
      </c>
      <c r="U138" s="1" t="s">
        <v>156</v>
      </c>
      <c r="V138" s="1" t="s">
        <v>49</v>
      </c>
      <c r="W138" s="1" t="s">
        <v>383</v>
      </c>
      <c r="X138" s="1" t="s">
        <v>384</v>
      </c>
      <c r="Y138" s="1" t="s">
        <v>385</v>
      </c>
      <c r="Z138" s="1" t="s">
        <v>386</v>
      </c>
      <c r="AB138" s="1" t="s">
        <v>387</v>
      </c>
      <c r="AC138" s="1">
        <v>0</v>
      </c>
      <c r="AD138" s="1" t="s">
        <v>105</v>
      </c>
      <c r="AE138" s="1" t="s">
        <v>181</v>
      </c>
      <c r="AF138" s="1" t="s">
        <v>113</v>
      </c>
      <c r="AG138" s="1" t="s">
        <v>388</v>
      </c>
      <c r="AH138" s="1" t="s">
        <v>157</v>
      </c>
      <c r="AI138" s="1" t="s">
        <v>255</v>
      </c>
      <c r="AK138" s="1" t="s">
        <v>86</v>
      </c>
      <c r="AL138" s="1" t="s">
        <v>133</v>
      </c>
      <c r="AM138" s="1">
        <v>1</v>
      </c>
      <c r="AN138" s="1">
        <v>0</v>
      </c>
      <c r="AO138" s="1">
        <f t="shared" si="63"/>
        <v>1</v>
      </c>
      <c r="AQ138" s="1" t="s">
        <v>94</v>
      </c>
      <c r="AR138" s="4">
        <f>AR131/COUNTIFS($AF$2:$AF$1431, "", $AO$2:$AO$1431, "&lt;2", $B$2:$B$1431, "2")</f>
        <v>8.0808080808080815E-2</v>
      </c>
      <c r="AS138" s="4">
        <f>AS131/COUNTIFS($AF$2:$AF$1431, "", $AO$2:$AO$1431, "&lt;2", $B$2:$B$1431, "2")</f>
        <v>7.0707070707070704E-2</v>
      </c>
      <c r="AT138" s="4">
        <f>AT131/COUNTIFS($AF$2:$AF$1431, "", $AO$2:$AO$1431, "&lt;2", $B$2:$B$1431, "2")</f>
        <v>0.84848484848484851</v>
      </c>
      <c r="AU138" s="4">
        <f>AU131/COUNTIFS($AF$2:$AF$1431, "", $AO$2:$AO$1431, "&lt;2", $B$2:$B$1431, "2")</f>
        <v>0.15151515151515152</v>
      </c>
    </row>
    <row r="139" spans="1:47" x14ac:dyDescent="0.4">
      <c r="A139" s="1">
        <v>1</v>
      </c>
      <c r="B139" s="1">
        <v>1</v>
      </c>
      <c r="C139" s="1" t="s">
        <v>41</v>
      </c>
      <c r="D139" s="2">
        <v>38952</v>
      </c>
      <c r="E139" s="1">
        <v>235</v>
      </c>
      <c r="F139" s="1">
        <v>9</v>
      </c>
      <c r="G139" s="3">
        <v>0.67010416666666661</v>
      </c>
      <c r="H139" s="3">
        <v>0.6708101851851852</v>
      </c>
      <c r="I139" s="3">
        <v>7.0601851851859188E-4</v>
      </c>
      <c r="J139" s="3">
        <v>7.0601851851859188E-4</v>
      </c>
      <c r="K139" s="5">
        <f t="shared" si="61"/>
        <v>61</v>
      </c>
      <c r="L139" s="3">
        <v>2.1249999999999991E-2</v>
      </c>
      <c r="N139" s="1" t="s">
        <v>251</v>
      </c>
      <c r="O139" s="1" t="s">
        <v>286</v>
      </c>
      <c r="P139" s="1" t="s">
        <v>44</v>
      </c>
      <c r="Q139" s="1" t="s">
        <v>45</v>
      </c>
      <c r="S139" s="1" t="s">
        <v>46</v>
      </c>
      <c r="T139" s="1" t="s">
        <v>76</v>
      </c>
      <c r="U139" s="1" t="s">
        <v>92</v>
      </c>
      <c r="V139" s="1" t="s">
        <v>102</v>
      </c>
      <c r="W139" s="1" t="s">
        <v>103</v>
      </c>
      <c r="X139" s="1" t="s">
        <v>96</v>
      </c>
      <c r="AB139" s="1" t="s">
        <v>104</v>
      </c>
      <c r="AC139" s="1">
        <v>0</v>
      </c>
      <c r="AD139" s="1" t="s">
        <v>105</v>
      </c>
      <c r="AE139" s="1" t="s">
        <v>70</v>
      </c>
      <c r="AH139" s="1" t="s">
        <v>157</v>
      </c>
      <c r="AI139" s="1" t="s">
        <v>253</v>
      </c>
      <c r="AK139" s="1" t="s">
        <v>86</v>
      </c>
      <c r="AL139" s="1" t="s">
        <v>86</v>
      </c>
      <c r="AN139" s="1">
        <v>1</v>
      </c>
      <c r="AO139" s="1">
        <f t="shared" si="63"/>
        <v>1</v>
      </c>
      <c r="AQ139" s="1" t="s">
        <v>100</v>
      </c>
      <c r="AR139" s="4">
        <f>AR132/COUNTIFS($AF$2:$AF$1431, "", $AO$2:$AO$1431, "&lt;2", $B$2:$B$1431, "3")</f>
        <v>0.1164021164021164</v>
      </c>
      <c r="AS139" s="4">
        <f>AS132/COUNTIFS($AF$2:$AF$1431, "", $AO$2:$AO$1431, "&lt;2", $B$2:$B$1431, "3")</f>
        <v>7.407407407407407E-2</v>
      </c>
      <c r="AT139" s="4">
        <f>AT132/COUNTIFS($AF$2:$AF$1431, "", $AO$2:$AO$1431, "&lt;2", $B$2:$B$1431, "3")</f>
        <v>0.80952380952380953</v>
      </c>
      <c r="AU139" s="4">
        <f>AU132/COUNTIFS($AF$2:$AF$1431, "", $AO$2:$AO$1431, "&lt;2", $B$2:$B$1431, "3")</f>
        <v>0.19047619047619047</v>
      </c>
    </row>
    <row r="140" spans="1:47" x14ac:dyDescent="0.4">
      <c r="A140" s="1">
        <v>1</v>
      </c>
      <c r="B140" s="1">
        <v>1</v>
      </c>
      <c r="C140" s="1" t="s">
        <v>41</v>
      </c>
      <c r="D140" s="2">
        <v>38952</v>
      </c>
      <c r="E140" s="1">
        <v>235</v>
      </c>
      <c r="F140" s="1">
        <v>10</v>
      </c>
      <c r="G140" s="3">
        <v>0.69206018518518519</v>
      </c>
      <c r="H140" s="3">
        <v>0.69262731481481488</v>
      </c>
      <c r="I140" s="3">
        <v>5.6712962962968128E-4</v>
      </c>
      <c r="J140" s="3">
        <v>5.6712962962968128E-4</v>
      </c>
      <c r="K140" s="5">
        <f t="shared" si="61"/>
        <v>49</v>
      </c>
      <c r="L140" s="3">
        <v>1.1006944444444278E-2</v>
      </c>
      <c r="N140" s="1" t="s">
        <v>251</v>
      </c>
      <c r="O140" s="1" t="s">
        <v>286</v>
      </c>
      <c r="P140" s="1" t="s">
        <v>44</v>
      </c>
      <c r="Q140" s="1" t="s">
        <v>191</v>
      </c>
      <c r="S140" s="1" t="s">
        <v>46</v>
      </c>
      <c r="T140" s="1" t="s">
        <v>76</v>
      </c>
      <c r="U140" s="1" t="s">
        <v>66</v>
      </c>
      <c r="V140" s="1" t="s">
        <v>102</v>
      </c>
      <c r="W140" s="1" t="s">
        <v>103</v>
      </c>
      <c r="X140" s="1" t="s">
        <v>96</v>
      </c>
      <c r="AB140" s="1" t="s">
        <v>104</v>
      </c>
      <c r="AC140" s="1">
        <v>0</v>
      </c>
      <c r="AD140" s="1" t="s">
        <v>105</v>
      </c>
      <c r="AE140" s="1" t="s">
        <v>70</v>
      </c>
      <c r="AH140" s="1" t="s">
        <v>157</v>
      </c>
      <c r="AI140" s="1" t="s">
        <v>257</v>
      </c>
      <c r="AK140" s="1" t="s">
        <v>61</v>
      </c>
      <c r="AL140" s="1" t="s">
        <v>133</v>
      </c>
      <c r="AN140" s="1">
        <v>1</v>
      </c>
      <c r="AO140" s="1">
        <f t="shared" si="63"/>
        <v>1</v>
      </c>
      <c r="AQ140" s="1" t="s">
        <v>107</v>
      </c>
      <c r="AR140" s="4">
        <f>AR133/COUNTIFS($AF$2:$AF$1431, "", $AO$2:$AO$1431, "&lt;2", $B$2:$B$1431, "S")</f>
        <v>2.2222222222222223E-2</v>
      </c>
      <c r="AS140" s="4">
        <f>AS133/COUNTIFS($AF$2:$AF$1431, "", $AO$2:$AO$1431, "&lt;2", $B$2:$B$1431, "S")</f>
        <v>8.8888888888888892E-2</v>
      </c>
      <c r="AT140" s="4">
        <f>AT133/COUNTIFS($AF$2:$AF$1431, "", $AO$2:$AO$1431, "&lt;2", $B$2:$B$1431, "S")</f>
        <v>0.88888888888888884</v>
      </c>
      <c r="AU140" s="4">
        <f>AU133/COUNTIFS($AF$2:$AF$1431, "", $AO$2:$AO$1431, "&lt;2", $B$2:$B$1431, "S")</f>
        <v>0.1111111111111111</v>
      </c>
    </row>
    <row r="141" spans="1:47" x14ac:dyDescent="0.4">
      <c r="A141" s="1">
        <v>1</v>
      </c>
      <c r="B141" s="1">
        <v>1</v>
      </c>
      <c r="C141" s="1" t="s">
        <v>41</v>
      </c>
      <c r="D141" s="2">
        <v>38952</v>
      </c>
      <c r="E141" s="1">
        <v>235</v>
      </c>
      <c r="F141" s="1">
        <v>11</v>
      </c>
      <c r="G141" s="3">
        <v>0.70363425925925915</v>
      </c>
      <c r="H141" s="3">
        <v>0.7041898148148148</v>
      </c>
      <c r="I141" s="3">
        <v>5.555555555556424E-4</v>
      </c>
      <c r="J141" s="3">
        <v>5.555555555556424E-4</v>
      </c>
      <c r="K141" s="5">
        <f t="shared" si="61"/>
        <v>48</v>
      </c>
      <c r="L141" s="3" t="s">
        <v>120</v>
      </c>
      <c r="N141" s="1" t="s">
        <v>251</v>
      </c>
      <c r="O141" s="1" t="s">
        <v>286</v>
      </c>
      <c r="P141" s="1" t="s">
        <v>44</v>
      </c>
      <c r="Q141" s="1" t="s">
        <v>191</v>
      </c>
      <c r="S141" s="1" t="s">
        <v>46</v>
      </c>
      <c r="T141" s="1" t="s">
        <v>45</v>
      </c>
      <c r="U141" s="1" t="s">
        <v>66</v>
      </c>
      <c r="V141" s="1" t="s">
        <v>102</v>
      </c>
      <c r="W141" s="1" t="s">
        <v>103</v>
      </c>
      <c r="X141" s="1" t="s">
        <v>96</v>
      </c>
      <c r="AB141" s="1" t="s">
        <v>104</v>
      </c>
      <c r="AC141" s="1">
        <v>0</v>
      </c>
      <c r="AD141" s="1" t="s">
        <v>105</v>
      </c>
      <c r="AE141" s="1" t="s">
        <v>70</v>
      </c>
      <c r="AH141" s="1" t="s">
        <v>157</v>
      </c>
      <c r="AI141" s="1" t="s">
        <v>257</v>
      </c>
      <c r="AK141" s="1" t="s">
        <v>61</v>
      </c>
      <c r="AL141" s="1" t="s">
        <v>72</v>
      </c>
      <c r="AN141" s="1">
        <v>1</v>
      </c>
      <c r="AO141" s="1">
        <f t="shared" si="63"/>
        <v>1</v>
      </c>
      <c r="AQ141" s="1" t="s">
        <v>118</v>
      </c>
      <c r="AR141" s="4">
        <f>AR134/COUNTIFS($AF$2:$AF$1431, "", $AO$2:$AO$1431, "&lt;2", $B$2:$B$1431, "W")</f>
        <v>3.4313725490196081E-2</v>
      </c>
      <c r="AS141" s="4">
        <f>AS134/COUNTIFS($AF$2:$AF$1431, "", $AO$2:$AO$1431, "&lt;2", $B$2:$B$1431, "W")</f>
        <v>4.9019607843137254E-2</v>
      </c>
      <c r="AT141" s="4">
        <f>AT134/COUNTIFS($AF$2:$AF$1431, "", $AO$2:$AO$1431, "&lt;2", $B$2:$B$1431, "W")</f>
        <v>0.91666666666666663</v>
      </c>
      <c r="AU141" s="4">
        <f>AU134/COUNTIFS($AF$2:$AF$1431, "", $AO$2:$AO$1431, "&lt;2", $B$2:$B$1431, "W")</f>
        <v>8.3333333333333329E-2</v>
      </c>
    </row>
    <row r="142" spans="1:47" x14ac:dyDescent="0.4">
      <c r="A142" s="1">
        <v>1</v>
      </c>
      <c r="B142" s="1">
        <v>1</v>
      </c>
      <c r="C142" s="1" t="s">
        <v>41</v>
      </c>
      <c r="D142" s="2">
        <v>38967</v>
      </c>
      <c r="E142" s="1">
        <v>250</v>
      </c>
      <c r="F142" s="1">
        <v>1</v>
      </c>
      <c r="G142" s="3">
        <v>0.45124999999999998</v>
      </c>
      <c r="H142" s="3">
        <v>0.45165509259259262</v>
      </c>
      <c r="I142" s="3">
        <v>4.0509259259263741E-4</v>
      </c>
      <c r="J142" s="3">
        <v>4.0509259259263741E-4</v>
      </c>
      <c r="K142" s="5">
        <f t="shared" si="61"/>
        <v>35</v>
      </c>
      <c r="L142" s="3">
        <v>9.0347222222222245E-2</v>
      </c>
      <c r="N142" s="1" t="s">
        <v>42</v>
      </c>
      <c r="O142" s="1" t="s">
        <v>286</v>
      </c>
      <c r="P142" s="1" t="s">
        <v>44</v>
      </c>
      <c r="Q142" s="1" t="s">
        <v>76</v>
      </c>
      <c r="S142" s="1" t="s">
        <v>46</v>
      </c>
      <c r="T142" s="1" t="s">
        <v>47</v>
      </c>
      <c r="U142" s="1" t="s">
        <v>92</v>
      </c>
      <c r="V142" s="1" t="s">
        <v>102</v>
      </c>
      <c r="W142" s="1" t="s">
        <v>231</v>
      </c>
      <c r="X142" s="1" t="s">
        <v>389</v>
      </c>
      <c r="AB142" s="1" t="s">
        <v>104</v>
      </c>
      <c r="AC142" s="1">
        <v>0</v>
      </c>
      <c r="AD142" s="1" t="s">
        <v>105</v>
      </c>
      <c r="AE142" s="1" t="s">
        <v>181</v>
      </c>
      <c r="AG142" s="1" t="s">
        <v>390</v>
      </c>
      <c r="AH142" s="1" t="s">
        <v>157</v>
      </c>
      <c r="AI142" s="1" t="s">
        <v>75</v>
      </c>
      <c r="AK142" s="1" t="s">
        <v>86</v>
      </c>
      <c r="AL142" s="1" t="s">
        <v>133</v>
      </c>
      <c r="AM142" s="1">
        <v>1</v>
      </c>
      <c r="AN142" s="1">
        <v>0</v>
      </c>
      <c r="AO142" s="1">
        <f t="shared" si="63"/>
        <v>1</v>
      </c>
      <c r="AQ142" s="1" t="s">
        <v>188</v>
      </c>
      <c r="AR142" s="4">
        <f>AVERAGE(AR137:AR141)</f>
        <v>6.7244074345347835E-2</v>
      </c>
      <c r="AS142" s="4">
        <f t="shared" ref="AS142" si="65">AVERAGE(AS137:AS141)</f>
        <v>8.1280196343871305E-2</v>
      </c>
      <c r="AT142" s="4">
        <f>AVERAGE(AT137:AT141)</f>
        <v>0.85147572931078075</v>
      </c>
      <c r="AU142" s="4">
        <f>AVERAGE(AU137:AU141)</f>
        <v>0.14852427068921917</v>
      </c>
    </row>
    <row r="143" spans="1:47" x14ac:dyDescent="0.4">
      <c r="A143" s="1">
        <v>1</v>
      </c>
      <c r="B143" s="1">
        <v>1</v>
      </c>
      <c r="C143" s="1" t="s">
        <v>41</v>
      </c>
      <c r="D143" s="2">
        <v>38967</v>
      </c>
      <c r="E143" s="1">
        <v>250</v>
      </c>
      <c r="F143" s="1">
        <v>2</v>
      </c>
      <c r="G143" s="3">
        <v>0.54200231481481487</v>
      </c>
      <c r="H143" s="3">
        <v>0.57780092592592591</v>
      </c>
      <c r="I143" s="3">
        <v>3.5798611111111045E-2</v>
      </c>
      <c r="J143" s="3">
        <v>7.7546296296293615E-3</v>
      </c>
      <c r="K143" s="5">
        <f t="shared" si="61"/>
        <v>670</v>
      </c>
      <c r="L143" s="3">
        <v>5.0289351851851904E-2</v>
      </c>
      <c r="N143" s="1" t="s">
        <v>42</v>
      </c>
      <c r="O143" s="1" t="s">
        <v>286</v>
      </c>
      <c r="P143" s="1" t="s">
        <v>44</v>
      </c>
      <c r="Q143" s="1" t="s">
        <v>76</v>
      </c>
      <c r="S143" s="1" t="s">
        <v>46</v>
      </c>
      <c r="T143" s="1" t="s">
        <v>124</v>
      </c>
      <c r="U143" s="1" t="s">
        <v>92</v>
      </c>
      <c r="V143" s="1" t="s">
        <v>49</v>
      </c>
      <c r="W143" s="1" t="s">
        <v>200</v>
      </c>
      <c r="X143" s="1" t="s">
        <v>201</v>
      </c>
      <c r="Y143" s="1" t="s">
        <v>126</v>
      </c>
      <c r="Z143" s="1" t="s">
        <v>202</v>
      </c>
      <c r="AA143" s="1" t="s">
        <v>203</v>
      </c>
      <c r="AB143" s="1" t="s">
        <v>204</v>
      </c>
      <c r="AC143" s="1">
        <v>0</v>
      </c>
      <c r="AD143" s="1" t="s">
        <v>56</v>
      </c>
      <c r="AE143" s="1" t="s">
        <v>83</v>
      </c>
      <c r="AF143" s="1" t="s">
        <v>113</v>
      </c>
      <c r="AG143" s="1" t="s">
        <v>391</v>
      </c>
      <c r="AH143" s="1" t="s">
        <v>206</v>
      </c>
      <c r="AI143" s="1" t="s">
        <v>75</v>
      </c>
      <c r="AK143" s="1" t="s">
        <v>61</v>
      </c>
      <c r="AL143" s="1" t="s">
        <v>61</v>
      </c>
      <c r="AM143" s="1">
        <v>2</v>
      </c>
      <c r="AN143" s="1">
        <v>0</v>
      </c>
      <c r="AO143" s="1">
        <f t="shared" si="63"/>
        <v>2</v>
      </c>
      <c r="AQ143" s="1" t="s">
        <v>189</v>
      </c>
      <c r="AR143" s="6">
        <f>STDEV(AR137:AR141)</f>
        <v>3.8548112659416392E-2</v>
      </c>
      <c r="AS143" s="6">
        <f t="shared" ref="AS143:AU143" si="66">STDEV(AS137:AS141)</f>
        <v>2.7671099210284138E-2</v>
      </c>
      <c r="AT143" s="6">
        <f t="shared" si="66"/>
        <v>5.1825034631710495E-2</v>
      </c>
      <c r="AU143" s="6">
        <f t="shared" si="66"/>
        <v>5.1825034631710433E-2</v>
      </c>
    </row>
    <row r="144" spans="1:47" x14ac:dyDescent="0.4">
      <c r="A144" s="1">
        <v>1</v>
      </c>
      <c r="B144" s="1">
        <v>1</v>
      </c>
      <c r="C144" s="1" t="s">
        <v>41</v>
      </c>
      <c r="D144" s="2">
        <v>38967</v>
      </c>
      <c r="E144" s="1">
        <v>250</v>
      </c>
      <c r="F144" s="1">
        <v>3</v>
      </c>
      <c r="G144" s="3">
        <v>0.62809027777777782</v>
      </c>
      <c r="H144" s="3">
        <v>0.64116898148148149</v>
      </c>
      <c r="I144" s="3">
        <v>1.3078703703703676E-2</v>
      </c>
      <c r="J144" s="3">
        <v>1.1053240740740655E-2</v>
      </c>
      <c r="K144" s="5">
        <f t="shared" si="61"/>
        <v>955</v>
      </c>
      <c r="L144" s="3" t="s">
        <v>120</v>
      </c>
      <c r="N144" s="1" t="s">
        <v>42</v>
      </c>
      <c r="O144" s="1" t="s">
        <v>286</v>
      </c>
      <c r="P144" s="1" t="s">
        <v>44</v>
      </c>
      <c r="Q144" s="1" t="s">
        <v>76</v>
      </c>
      <c r="S144" s="1" t="s">
        <v>46</v>
      </c>
      <c r="T144" s="1" t="s">
        <v>47</v>
      </c>
      <c r="U144" s="1" t="s">
        <v>66</v>
      </c>
      <c r="V144" s="1" t="s">
        <v>49</v>
      </c>
      <c r="W144" s="1" t="s">
        <v>77</v>
      </c>
      <c r="X144" s="1" t="s">
        <v>375</v>
      </c>
      <c r="Y144" s="1" t="s">
        <v>376</v>
      </c>
      <c r="Z144" s="1">
        <v>2</v>
      </c>
      <c r="AB144" s="1" t="s">
        <v>377</v>
      </c>
      <c r="AC144" s="1">
        <v>0</v>
      </c>
      <c r="AD144" s="1" t="s">
        <v>56</v>
      </c>
      <c r="AE144" s="1" t="s">
        <v>83</v>
      </c>
      <c r="AF144" s="1" t="s">
        <v>153</v>
      </c>
      <c r="AG144" s="1" t="s">
        <v>392</v>
      </c>
      <c r="AH144" s="1" t="s">
        <v>59</v>
      </c>
      <c r="AI144" s="1" t="s">
        <v>71</v>
      </c>
      <c r="AK144" s="1" t="s">
        <v>116</v>
      </c>
      <c r="AL144" s="1" t="s">
        <v>117</v>
      </c>
      <c r="AM144" s="1">
        <v>2</v>
      </c>
      <c r="AN144" s="1">
        <v>0</v>
      </c>
      <c r="AO144" s="1">
        <f t="shared" si="63"/>
        <v>2</v>
      </c>
    </row>
    <row r="145" spans="1:48" x14ac:dyDescent="0.4">
      <c r="A145" s="1">
        <v>1</v>
      </c>
      <c r="B145" s="1">
        <v>1</v>
      </c>
      <c r="C145" s="1" t="s">
        <v>41</v>
      </c>
      <c r="D145" s="2">
        <v>38981</v>
      </c>
      <c r="E145" s="1">
        <v>264</v>
      </c>
      <c r="F145" s="1">
        <v>0.25</v>
      </c>
      <c r="G145" s="3">
        <v>0.38032407407407409</v>
      </c>
      <c r="H145" s="3">
        <v>0.38035879629629626</v>
      </c>
      <c r="I145" s="3">
        <v>3.4722222222172139E-5</v>
      </c>
      <c r="J145" s="3">
        <v>3.4722222222172139E-5</v>
      </c>
      <c r="K145" s="5">
        <f t="shared" si="61"/>
        <v>3</v>
      </c>
      <c r="L145" s="3">
        <v>5.3935185185185475E-3</v>
      </c>
      <c r="N145" s="1" t="s">
        <v>75</v>
      </c>
      <c r="O145" s="1" t="s">
        <v>286</v>
      </c>
      <c r="P145" s="1" t="s">
        <v>44</v>
      </c>
      <c r="Q145" s="1" t="s">
        <v>76</v>
      </c>
      <c r="S145" s="1" t="s">
        <v>46</v>
      </c>
      <c r="T145" s="1" t="s">
        <v>47</v>
      </c>
      <c r="U145" s="1" t="s">
        <v>66</v>
      </c>
      <c r="AB145" s="1" t="s">
        <v>93</v>
      </c>
      <c r="AC145" s="1">
        <v>1</v>
      </c>
      <c r="AI145" s="1" t="s">
        <v>75</v>
      </c>
      <c r="AK145" s="1" t="s">
        <v>86</v>
      </c>
      <c r="AL145" s="1" t="s">
        <v>133</v>
      </c>
      <c r="AN145" s="1">
        <v>1</v>
      </c>
      <c r="AO145" s="1">
        <f t="shared" si="63"/>
        <v>1</v>
      </c>
      <c r="AR145" s="5"/>
      <c r="AS145" s="5"/>
      <c r="AT145" s="5"/>
    </row>
    <row r="146" spans="1:48" x14ac:dyDescent="0.4">
      <c r="A146" s="1">
        <v>1</v>
      </c>
      <c r="B146" s="1">
        <v>1</v>
      </c>
      <c r="C146" s="1" t="s">
        <v>41</v>
      </c>
      <c r="D146" s="2">
        <v>38981</v>
      </c>
      <c r="E146" s="1">
        <v>264</v>
      </c>
      <c r="F146" s="1">
        <v>0.3</v>
      </c>
      <c r="G146" s="3">
        <v>0.38575231481481481</v>
      </c>
      <c r="H146" s="3">
        <v>0.38583333333333331</v>
      </c>
      <c r="I146" s="3">
        <v>8.1018518518494176E-5</v>
      </c>
      <c r="J146" s="3">
        <v>8.1018518518494176E-5</v>
      </c>
      <c r="K146" s="5">
        <f t="shared" si="61"/>
        <v>7</v>
      </c>
      <c r="L146" s="3">
        <v>1.6898148148148939E-3</v>
      </c>
      <c r="N146" s="1" t="s">
        <v>75</v>
      </c>
      <c r="O146" s="1" t="s">
        <v>286</v>
      </c>
      <c r="P146" s="1" t="s">
        <v>44</v>
      </c>
      <c r="Q146" s="1" t="s">
        <v>76</v>
      </c>
      <c r="S146" s="1" t="s">
        <v>46</v>
      </c>
      <c r="AB146" s="1" t="s">
        <v>93</v>
      </c>
      <c r="AC146" s="1">
        <v>1</v>
      </c>
      <c r="AK146" s="1" t="s">
        <v>61</v>
      </c>
      <c r="AL146" s="1" t="s">
        <v>133</v>
      </c>
      <c r="AN146" s="1">
        <v>1</v>
      </c>
      <c r="AO146" s="1">
        <f t="shared" si="63"/>
        <v>1</v>
      </c>
      <c r="AQ146" s="1" t="s">
        <v>393</v>
      </c>
      <c r="AT146" s="5"/>
      <c r="AU146" s="1" t="s">
        <v>394</v>
      </c>
    </row>
    <row r="147" spans="1:48" x14ac:dyDescent="0.4">
      <c r="A147" s="1">
        <v>1</v>
      </c>
      <c r="B147" s="1">
        <v>1</v>
      </c>
      <c r="C147" s="1" t="s">
        <v>41</v>
      </c>
      <c r="D147" s="2">
        <v>38981</v>
      </c>
      <c r="E147" s="1">
        <v>264</v>
      </c>
      <c r="F147" s="1">
        <v>0.4</v>
      </c>
      <c r="G147" s="3">
        <v>0.3875231481481482</v>
      </c>
      <c r="H147" s="3">
        <v>0.38753472222222224</v>
      </c>
      <c r="I147" s="3">
        <v>1.1574074074038876E-5</v>
      </c>
      <c r="J147" s="3">
        <v>1.1574074074038876E-5</v>
      </c>
      <c r="K147" s="5">
        <f t="shared" si="61"/>
        <v>1</v>
      </c>
      <c r="L147" s="3">
        <v>8.9120370370370239E-3</v>
      </c>
      <c r="N147" s="1" t="s">
        <v>75</v>
      </c>
      <c r="O147" s="1" t="s">
        <v>286</v>
      </c>
      <c r="P147" s="1" t="s">
        <v>44</v>
      </c>
      <c r="Q147" s="1" t="s">
        <v>76</v>
      </c>
      <c r="S147" s="1" t="s">
        <v>46</v>
      </c>
      <c r="AB147" s="1" t="s">
        <v>93</v>
      </c>
      <c r="AC147" s="1">
        <v>1</v>
      </c>
      <c r="AK147" s="1" t="s">
        <v>61</v>
      </c>
      <c r="AL147" s="1" t="s">
        <v>133</v>
      </c>
      <c r="AN147" s="1">
        <v>1</v>
      </c>
      <c r="AO147" s="1">
        <f t="shared" si="63"/>
        <v>1</v>
      </c>
      <c r="AQ147" s="1" t="s">
        <v>166</v>
      </c>
      <c r="AT147" s="5"/>
      <c r="AU147" s="1" t="s">
        <v>166</v>
      </c>
    </row>
    <row r="148" spans="1:48" x14ac:dyDescent="0.4">
      <c r="A148" s="1">
        <v>1</v>
      </c>
      <c r="B148" s="1">
        <v>1</v>
      </c>
      <c r="C148" s="1" t="s">
        <v>41</v>
      </c>
      <c r="D148" s="2">
        <v>38981</v>
      </c>
      <c r="E148" s="1">
        <v>264</v>
      </c>
      <c r="F148" s="1">
        <v>0.5</v>
      </c>
      <c r="G148" s="3">
        <v>0.39644675925925926</v>
      </c>
      <c r="H148" s="3">
        <v>0.39678240740740739</v>
      </c>
      <c r="I148" s="3">
        <v>3.356481481481266E-4</v>
      </c>
      <c r="J148" s="3">
        <v>3.356481481481266E-4</v>
      </c>
      <c r="K148" s="5">
        <f t="shared" si="61"/>
        <v>29</v>
      </c>
      <c r="L148" s="3" t="s">
        <v>120</v>
      </c>
      <c r="N148" s="1" t="s">
        <v>75</v>
      </c>
      <c r="O148" s="1" t="s">
        <v>286</v>
      </c>
      <c r="P148" s="1" t="s">
        <v>44</v>
      </c>
      <c r="Q148" s="1" t="s">
        <v>76</v>
      </c>
      <c r="S148" s="1" t="s">
        <v>46</v>
      </c>
      <c r="T148" s="1" t="s">
        <v>45</v>
      </c>
      <c r="AB148" s="1" t="s">
        <v>93</v>
      </c>
      <c r="AC148" s="1">
        <v>1</v>
      </c>
      <c r="AK148" s="1" t="s">
        <v>86</v>
      </c>
      <c r="AL148" s="1" t="s">
        <v>133</v>
      </c>
      <c r="AN148" s="1">
        <v>1</v>
      </c>
      <c r="AO148" s="1">
        <f t="shared" si="63"/>
        <v>1</v>
      </c>
      <c r="AQ148" s="1" t="s">
        <v>73</v>
      </c>
      <c r="AR148" s="1">
        <f>SUM(COUNTIFS($AE$2:$AE$1431, "YOR", $AF$2:$AF$1431, "", $AO$2:$AO$1431, "&lt;2", $U$2:$U$1431, "Full Shade"), COUNTIFS($AE$2:$AE$1431, "YOR", $AF$2:$AF$1431, "", $AO$2:$AO$1431, "&lt;2", $U$2:$U$1431, "Prt Shade"), COUNTIFS($AE$2:$AE$1431, "YOR_Lumin", $AF$2:$AF$1431, "", $AO$2:$AO$1431, "&lt;2", $U$2:$U$1431, "Full Shade"), COUNTIFS($AE$2:$AE$1431, "YOR_Lumin", $AF$2:$AF$1431, "", $AO$2:$AO$1431, "&lt;2", $U$2:$U$1431, "Prt Shade"))</f>
        <v>51</v>
      </c>
      <c r="AT148" s="5"/>
      <c r="AU148" s="1" t="s">
        <v>73</v>
      </c>
      <c r="AV148" s="1">
        <f>SUM(COUNTIFS($AE$2:$AE$1431, "YOR", $AF$2:$AF$1431, "", $AO$2:$AO$1431, "&lt;2", $AI$2:$AI$1431, "Cloud"), COUNTIFS($AE$2:$AE$1431, "YOR_Lumin", $AF$2:$AF$1431, "", $AO$2:$AO$1431, "&lt;2", $AI$2:$AI$1431, "Cloud"))</f>
        <v>45</v>
      </c>
    </row>
    <row r="149" spans="1:48" x14ac:dyDescent="0.4">
      <c r="A149" s="1">
        <v>1</v>
      </c>
      <c r="B149" s="1">
        <v>1</v>
      </c>
      <c r="C149" s="1" t="s">
        <v>41</v>
      </c>
      <c r="D149" s="2">
        <v>38986</v>
      </c>
      <c r="E149" s="1">
        <v>269</v>
      </c>
      <c r="F149" s="1">
        <v>3.5</v>
      </c>
      <c r="G149" s="3">
        <v>0.44718750000000002</v>
      </c>
      <c r="H149" s="3">
        <v>0.44739583333333338</v>
      </c>
      <c r="I149" s="3">
        <v>2.083333333333659E-4</v>
      </c>
      <c r="J149" s="3">
        <v>1.273148148147607E-4</v>
      </c>
      <c r="K149" s="5">
        <f t="shared" si="61"/>
        <v>11</v>
      </c>
      <c r="L149" s="3">
        <v>1.7118055555555511E-2</v>
      </c>
      <c r="N149" s="1" t="s">
        <v>251</v>
      </c>
      <c r="O149" s="1" t="s">
        <v>286</v>
      </c>
      <c r="P149" s="1" t="s">
        <v>44</v>
      </c>
      <c r="Q149" s="1" t="s">
        <v>76</v>
      </c>
      <c r="S149" s="1" t="s">
        <v>46</v>
      </c>
      <c r="T149" s="1" t="s">
        <v>47</v>
      </c>
      <c r="U149" s="1" t="s">
        <v>156</v>
      </c>
      <c r="AB149" s="1" t="s">
        <v>93</v>
      </c>
      <c r="AC149" s="1">
        <v>1</v>
      </c>
      <c r="AG149" s="1" t="s">
        <v>395</v>
      </c>
      <c r="AI149" s="1" t="s">
        <v>255</v>
      </c>
      <c r="AK149" s="1" t="s">
        <v>86</v>
      </c>
      <c r="AL149" s="1" t="s">
        <v>133</v>
      </c>
      <c r="AM149" s="1">
        <v>2</v>
      </c>
      <c r="AN149" s="1">
        <v>0</v>
      </c>
      <c r="AO149" s="1">
        <f t="shared" si="63"/>
        <v>2</v>
      </c>
      <c r="AQ149" s="1" t="s">
        <v>88</v>
      </c>
      <c r="AR149" s="1">
        <f>SUM(COUNTIFS($B$2:$B$1431, "1", $AE$2:$AE$1431, "YOR", $AF$2:$AF$1431, "", $AO$2:$AO$1431, "&lt;2", $U$2:$U$1431, "Full Shade"), COUNTIFS($B$2:$B$1431, "1", $AE$2:$AE$1431, "YOR", $AF$2:$AF$1431, "", $AO$2:$AO$1431, "&lt;2", $U$2:$U$1431, "Prt Shade"), COUNTIFS($B$2:$B$1431, "1", $AE$2:$AE$1431, "YOR_Lumin", $AF$2:$AF$1431, "", $AO$2:$AO$1431, "&lt;2", $U$2:$U$1431, "Full Shade"), COUNTIFS($B$2:$B$1431, "1", $AE$2:$AE$1431, "YOR_Lumin", $AF$2:$AF$1431, "", $AO$2:$AO$1431, "&lt;2", $U$2:$U$1431, "Prt Shade"))</f>
        <v>8</v>
      </c>
      <c r="AT149" s="5"/>
      <c r="AU149" s="1" t="s">
        <v>88</v>
      </c>
      <c r="AV149" s="1">
        <f>SUM(COUNTIFS($B$2:$B$1431, "1", $AE$2:$AE$1431, "YOR", $AF$2:$AF$1431, "", $AO$2:$AO$1431, "&lt;2", $AI$2:$AI$1431, "Cloud"), COUNTIFS($B$2:$B$1431, "1", $AE$2:$AE$1431, "YOR_Lumin", $AF$2:$AF$1431, "", $AO$2:$AO$1431, "&lt;2", $AI$2:$AI$1431, "Cloud"))</f>
        <v>14</v>
      </c>
    </row>
    <row r="150" spans="1:48" x14ac:dyDescent="0.4">
      <c r="A150" s="1">
        <v>1</v>
      </c>
      <c r="B150" s="1">
        <v>1</v>
      </c>
      <c r="C150" s="1" t="s">
        <v>41</v>
      </c>
      <c r="D150" s="2">
        <v>38986</v>
      </c>
      <c r="E150" s="1">
        <v>269</v>
      </c>
      <c r="F150" s="1">
        <v>3.55</v>
      </c>
      <c r="G150" s="3">
        <v>0.46451388888888889</v>
      </c>
      <c r="H150" s="3">
        <v>0.46457175925925925</v>
      </c>
      <c r="I150" s="3">
        <v>5.7870370370360913E-5</v>
      </c>
      <c r="J150" s="3">
        <v>5.7870370370360913E-5</v>
      </c>
      <c r="K150" s="5">
        <f t="shared" si="61"/>
        <v>5</v>
      </c>
      <c r="L150" s="3">
        <v>3.6574074074074425E-3</v>
      </c>
      <c r="N150" s="1" t="s">
        <v>251</v>
      </c>
      <c r="O150" s="1" t="s">
        <v>286</v>
      </c>
      <c r="P150" s="1" t="s">
        <v>44</v>
      </c>
      <c r="Q150" s="1" t="s">
        <v>45</v>
      </c>
      <c r="S150" s="1" t="s">
        <v>46</v>
      </c>
      <c r="T150" s="1" t="s">
        <v>47</v>
      </c>
      <c r="U150" s="1" t="s">
        <v>156</v>
      </c>
      <c r="AB150" s="1" t="s">
        <v>93</v>
      </c>
      <c r="AC150" s="1">
        <v>1</v>
      </c>
      <c r="AG150" s="1" t="s">
        <v>395</v>
      </c>
      <c r="AI150" s="1" t="s">
        <v>255</v>
      </c>
      <c r="AK150" s="1" t="s">
        <v>86</v>
      </c>
      <c r="AL150" s="1" t="s">
        <v>133</v>
      </c>
      <c r="AM150" s="1">
        <v>2</v>
      </c>
      <c r="AN150" s="1">
        <v>0</v>
      </c>
      <c r="AO150" s="1">
        <f t="shared" si="63"/>
        <v>2</v>
      </c>
      <c r="AQ150" s="1" t="s">
        <v>94</v>
      </c>
      <c r="AR150" s="1">
        <f>SUM(COUNTIFS($B$2:$B$1431, "2", $AE$2:$AE$1431, "YOR", $AF$2:$AF$1431, "", $AO$2:$AO$1431, "&lt;2", $U$2:$U$1431, "Full Shade"), COUNTIFS($B$2:$B$1431, "2", $AE$2:$AE$1431, "YOR", $AF$2:$AF$1431, "", $AO$2:$AO$1431, "&lt;2", $U$2:$U$1431, "Prt Shade"), COUNTIFS($B$2:$B$1431, "2", $AE$2:$AE$1431, "YOR_Lumin", $AF$2:$AF$1431, "", $AO$2:$AO$1431, "&lt;2", $U$2:$U$1431, "Full Shade"), COUNTIFS($B$2:$B$1431, "2", $AE$2:$AE$1431, "YOR_Lumin", $AF$2:$AF$1431, "", $AO$2:$AO$1431, "&lt;2", $U$2:$U$1431, "Prt Shade"))</f>
        <v>7</v>
      </c>
      <c r="AT150" s="5"/>
      <c r="AU150" s="1" t="s">
        <v>94</v>
      </c>
      <c r="AV150" s="1">
        <f>SUM(COUNTIFS($B$2:$B$1431, "2", $AE$2:$AE$1431, "YOR", $AF$2:$AF$1431, "", $AO$2:$AO$1431, "&lt;2", $AI$2:$AI$1431, "Cloud"), COUNTIFS($B$2:$B$1431, "2", $AE$2:$AE$1431, "YOR_Lumin", $AF$2:$AF$1431, "", $AO$2:$AO$1431, "&lt;2", $AI$2:$AI$1431, "Cloud"))</f>
        <v>6</v>
      </c>
    </row>
    <row r="151" spans="1:48" x14ac:dyDescent="0.4">
      <c r="A151" s="1">
        <v>1</v>
      </c>
      <c r="B151" s="1">
        <v>1</v>
      </c>
      <c r="C151" s="1" t="s">
        <v>41</v>
      </c>
      <c r="D151" s="2">
        <v>38986</v>
      </c>
      <c r="E151" s="1">
        <v>269</v>
      </c>
      <c r="F151" s="1">
        <v>3.6</v>
      </c>
      <c r="G151" s="3">
        <v>0.4682291666666667</v>
      </c>
      <c r="H151" s="3">
        <v>0.46863425925925922</v>
      </c>
      <c r="I151" s="3">
        <v>4.0509259259252639E-4</v>
      </c>
      <c r="J151" s="3">
        <v>3.0092592592589895E-4</v>
      </c>
      <c r="K151" s="5">
        <f t="shared" si="61"/>
        <v>26</v>
      </c>
      <c r="L151" s="3">
        <v>5.028935185185196E-2</v>
      </c>
      <c r="N151" s="1" t="s">
        <v>251</v>
      </c>
      <c r="O151" s="1" t="s">
        <v>286</v>
      </c>
      <c r="P151" s="1" t="s">
        <v>44</v>
      </c>
      <c r="Q151" s="1" t="s">
        <v>191</v>
      </c>
      <c r="S151" s="1" t="s">
        <v>46</v>
      </c>
      <c r="AB151" s="1" t="s">
        <v>93</v>
      </c>
      <c r="AC151" s="1">
        <v>1</v>
      </c>
      <c r="AK151" s="1" t="s">
        <v>61</v>
      </c>
      <c r="AL151" s="1" t="s">
        <v>133</v>
      </c>
      <c r="AN151" s="1">
        <v>1</v>
      </c>
      <c r="AO151" s="1">
        <f t="shared" si="63"/>
        <v>1</v>
      </c>
      <c r="AQ151" s="1" t="s">
        <v>100</v>
      </c>
      <c r="AR151" s="1">
        <f>SUM(COUNTIFS($B$2:$B$1431, "3", $AE$2:$AE$1431, "YOR", $AF$2:$AF$1431, "", $AO$2:$AO$1431, "&lt;2", $U$2:$U$1431, "Full Shade"), COUNTIFS($B$2:$B$1431, "3", $AE$2:$AE$1431, "YOR", $AF$2:$AF$1431, "", $AO$2:$AO$1431, "&lt;2", $U$2:$U$1431, "Prt Shade"), COUNTIFS($B$2:$B$1431, "3", $AE$2:$AE$1431, "YOR_Lumin", $AF$2:$AF$1431, "", $AO$2:$AO$1431, "&lt;2", $U$2:$U$1431, "Full Shade"), COUNTIFS($B$2:$B$1431, "3", $AE$2:$AE$1431, "YOR_Lumin", $AF$2:$AF$1431, "", $AO$2:$AO$1431, "&lt;2", $U$2:$U$1431, "Prt Shade"))</f>
        <v>23</v>
      </c>
      <c r="AS151" s="5"/>
      <c r="AT151" s="5"/>
      <c r="AU151" s="1" t="s">
        <v>100</v>
      </c>
      <c r="AV151" s="1">
        <f>SUM(COUNTIFS($B$2:$B$1431, "3", $AE$2:$AE$1431, "YOR", $AF$2:$AF$1431, "", $AO$2:$AO$1431, "&lt;2", $AI$2:$AI$1431, "Cloud"), COUNTIFS($B$2:$B$1431, "3", $AE$2:$AE$1431, "YOR_Lumin", $AF$2:$AF$1431, "", $AO$2:$AO$1431, "&lt;2", $AI$2:$AI$1431, "Cloud"))</f>
        <v>12</v>
      </c>
    </row>
    <row r="152" spans="1:48" x14ac:dyDescent="0.4">
      <c r="A152" s="1">
        <v>1</v>
      </c>
      <c r="B152" s="1">
        <v>1</v>
      </c>
      <c r="C152" s="1" t="s">
        <v>41</v>
      </c>
      <c r="D152" s="2">
        <v>38986</v>
      </c>
      <c r="E152" s="1">
        <v>269</v>
      </c>
      <c r="F152" s="1">
        <v>4</v>
      </c>
      <c r="G152" s="3">
        <v>0.51892361111111118</v>
      </c>
      <c r="H152" s="3">
        <v>0.53675925925925927</v>
      </c>
      <c r="I152" s="3">
        <v>1.7835648148148087E-2</v>
      </c>
      <c r="J152" s="3">
        <v>1.4282407407407383E-2</v>
      </c>
      <c r="K152" s="5">
        <f t="shared" si="61"/>
        <v>1234</v>
      </c>
      <c r="L152" s="3">
        <v>4.1666666666666519E-3</v>
      </c>
      <c r="N152" s="1" t="s">
        <v>251</v>
      </c>
      <c r="O152" s="1" t="s">
        <v>286</v>
      </c>
      <c r="P152" s="1" t="s">
        <v>44</v>
      </c>
      <c r="Q152" s="1" t="s">
        <v>76</v>
      </c>
      <c r="S152" s="1" t="s">
        <v>46</v>
      </c>
      <c r="T152" s="1" t="s">
        <v>47</v>
      </c>
      <c r="U152" s="1" t="s">
        <v>156</v>
      </c>
      <c r="V152" s="1" t="s">
        <v>49</v>
      </c>
      <c r="W152" s="1" t="s">
        <v>200</v>
      </c>
      <c r="X152" s="1" t="s">
        <v>396</v>
      </c>
      <c r="Y152" s="1" t="s">
        <v>126</v>
      </c>
      <c r="Z152" s="1" t="s">
        <v>202</v>
      </c>
      <c r="AA152" s="1" t="s">
        <v>397</v>
      </c>
      <c r="AB152" s="1" t="s">
        <v>398</v>
      </c>
      <c r="AC152" s="1">
        <v>0</v>
      </c>
      <c r="AD152" s="1" t="s">
        <v>399</v>
      </c>
      <c r="AE152" s="1" t="s">
        <v>83</v>
      </c>
      <c r="AF152" s="1" t="s">
        <v>84</v>
      </c>
      <c r="AG152" s="1" t="s">
        <v>400</v>
      </c>
      <c r="AH152" s="1" t="s">
        <v>206</v>
      </c>
      <c r="AI152" s="1" t="s">
        <v>255</v>
      </c>
      <c r="AK152" s="1" t="s">
        <v>61</v>
      </c>
      <c r="AL152" s="1" t="s">
        <v>61</v>
      </c>
      <c r="AM152" s="1">
        <v>1</v>
      </c>
      <c r="AN152" s="1">
        <v>0</v>
      </c>
      <c r="AO152" s="1">
        <f t="shared" si="63"/>
        <v>1</v>
      </c>
      <c r="AQ152" s="1" t="s">
        <v>107</v>
      </c>
      <c r="AR152" s="1">
        <f>SUM(COUNTIFS($B$2:$B$1431, "S", $AE$2:$AE$1431, "YOR", $AF$2:$AF$1431, "", $AO$2:$AO$1431, "&lt;2", $U$2:$U$1431, "Full Shade"), COUNTIFS($B$2:$B$1431, "S", $AE$2:$AE$1431, "YOR", $AF$2:$AF$1431, "", $AO$2:$AO$1431, "&lt;2", $U$2:$U$1431, "Prt Shade"), COUNTIFS($B$2:$B$1431, "S", $AE$2:$AE$1431, "YOR_Lumin", $AF$2:$AF$1431, "", $AO$2:$AO$1431, "&lt;2", $U$2:$U$1431, "Full Shade"), COUNTIFS($B$2:$B$1431, "S", $AE$2:$AE$1431, "YOR_Lumin", $AF$2:$AF$1431, "", $AO$2:$AO$1431, "&lt;2", $U$2:$U$1431, "Prt Shade"))</f>
        <v>3</v>
      </c>
      <c r="AS152" s="4"/>
      <c r="AT152" s="4"/>
      <c r="AU152" s="1" t="s">
        <v>107</v>
      </c>
      <c r="AV152" s="1">
        <f>SUM(COUNTIFS($B$2:$B$1431, "S", $AE$2:$AE$1431, "YOR", $AF$2:$AF$1431, "", $AO$2:$AO$1431, "&lt;2", $AI$2:$AI$1431, "Cloud"), COUNTIFS($B$2:$B$1431, "S", $AE$2:$AE$1431, "YOR_Lumin", $AF$2:$AF$1431, "", $AO$2:$AO$1431, "&lt;2", $AI$2:$AI$1431, "Cloud"))</f>
        <v>3</v>
      </c>
    </row>
    <row r="153" spans="1:48" x14ac:dyDescent="0.4">
      <c r="A153" s="1">
        <v>1</v>
      </c>
      <c r="B153" s="1">
        <v>1</v>
      </c>
      <c r="C153" s="1" t="s">
        <v>41</v>
      </c>
      <c r="D153" s="2">
        <v>38986</v>
      </c>
      <c r="E153" s="1">
        <v>269</v>
      </c>
      <c r="F153" s="1">
        <v>5</v>
      </c>
      <c r="G153" s="3">
        <v>0.54092592592592592</v>
      </c>
      <c r="H153" s="3">
        <v>0.5564930555555555</v>
      </c>
      <c r="I153" s="3">
        <v>1.5567129629629584E-2</v>
      </c>
      <c r="J153" s="3">
        <v>9.3634259259257613E-3</v>
      </c>
      <c r="K153" s="5">
        <f t="shared" si="61"/>
        <v>809</v>
      </c>
      <c r="L153" s="3">
        <v>4.5023148148148229E-2</v>
      </c>
      <c r="N153" s="1" t="s">
        <v>251</v>
      </c>
      <c r="O153" s="1" t="s">
        <v>286</v>
      </c>
      <c r="P153" s="1" t="s">
        <v>44</v>
      </c>
      <c r="Q153" s="1" t="s">
        <v>45</v>
      </c>
      <c r="S153" s="1" t="s">
        <v>46</v>
      </c>
      <c r="T153" s="1" t="s">
        <v>45</v>
      </c>
      <c r="U153" s="1" t="s">
        <v>156</v>
      </c>
      <c r="V153" s="1" t="s">
        <v>49</v>
      </c>
      <c r="W153" s="1" t="s">
        <v>233</v>
      </c>
      <c r="X153" s="1" t="s">
        <v>234</v>
      </c>
      <c r="Y153" s="1" t="s">
        <v>235</v>
      </c>
      <c r="Z153" s="1" t="s">
        <v>236</v>
      </c>
      <c r="AA153" s="1" t="s">
        <v>221</v>
      </c>
      <c r="AB153" s="1" t="s">
        <v>237</v>
      </c>
      <c r="AC153" s="1">
        <v>0</v>
      </c>
      <c r="AD153" s="1" t="s">
        <v>56</v>
      </c>
      <c r="AE153" s="1" t="s">
        <v>83</v>
      </c>
      <c r="AG153" s="1" t="s">
        <v>401</v>
      </c>
      <c r="AH153" s="1" t="s">
        <v>206</v>
      </c>
      <c r="AI153" s="1" t="s">
        <v>255</v>
      </c>
      <c r="AK153" s="1" t="s">
        <v>86</v>
      </c>
      <c r="AL153" s="1" t="s">
        <v>187</v>
      </c>
      <c r="AM153" s="1">
        <v>2</v>
      </c>
      <c r="AN153" s="1">
        <v>0</v>
      </c>
      <c r="AO153" s="1">
        <f t="shared" si="63"/>
        <v>2</v>
      </c>
      <c r="AQ153" s="1" t="s">
        <v>118</v>
      </c>
      <c r="AR153" s="1">
        <f>SUM(COUNTIFS($B$2:$B$1431, "W", $AE$2:$AE$1431, "YOR", $AF$2:$AF$1431, "", $AO$2:$AO$1431, "&lt;2", $U$2:$U$1431, "Full Shade"), COUNTIFS($B$2:$B$1431, "W", $AE$2:$AE$1431, "YOR", $AF$2:$AF$1431, "", $AO$2:$AO$1431, "&lt;2", $U$2:$U$1431, "Prt Shade"), COUNTIFS($B$2:$B$1431, "W", $AE$2:$AE$1431, "YOR_Lumin", $AF$2:$AF$1431, "", $AO$2:$AO$1431, "&lt;2", $U$2:$U$1431, "Full Shade"), COUNTIFS($B$2:$B$1431, "W", $AE$2:$AE$1431, "YOR_Lumin", $AF$2:$AF$1431, "", $AO$2:$AO$1431, "&lt;2", $U$2:$U$1431, "Prt Shade"))</f>
        <v>10</v>
      </c>
      <c r="AS153" s="4"/>
      <c r="AT153" s="4"/>
      <c r="AU153" s="1" t="s">
        <v>118</v>
      </c>
      <c r="AV153" s="1">
        <f>SUM(COUNTIFS($B$2:$B$1431, "W", $AE$2:$AE$1431, "YOR", $AF$2:$AF$1431, "", $AO$2:$AO$1431, "&lt;2", $AI$2:$AI$1431, "Cloud"), COUNTIFS($B$2:$B$1431, "W", $AE$2:$AE$1431, "YOR_Lumin", $AF$2:$AF$1431, "", $AO$2:$AO$1431, "&lt;2", $AI$2:$AI$1431, "Cloud"))</f>
        <v>10</v>
      </c>
    </row>
    <row r="154" spans="1:48" x14ac:dyDescent="0.4">
      <c r="A154" s="1">
        <v>1</v>
      </c>
      <c r="B154" s="1">
        <v>1</v>
      </c>
      <c r="C154" s="1" t="s">
        <v>41</v>
      </c>
      <c r="D154" s="2">
        <v>38986</v>
      </c>
      <c r="E154" s="1">
        <v>269</v>
      </c>
      <c r="F154" s="1">
        <v>5.75</v>
      </c>
      <c r="G154" s="3">
        <v>0.60151620370370373</v>
      </c>
      <c r="H154" s="3">
        <v>0.60159722222222223</v>
      </c>
      <c r="I154" s="3">
        <v>8.1018518518494176E-5</v>
      </c>
      <c r="J154" s="3">
        <v>8.1018518518494176E-5</v>
      </c>
      <c r="K154" s="5">
        <f t="shared" si="61"/>
        <v>7</v>
      </c>
      <c r="L154" s="3">
        <v>1.2152777777777457E-3</v>
      </c>
      <c r="N154" s="1" t="s">
        <v>42</v>
      </c>
      <c r="O154" s="1" t="s">
        <v>286</v>
      </c>
      <c r="P154" s="1" t="s">
        <v>44</v>
      </c>
      <c r="Q154" s="1" t="s">
        <v>76</v>
      </c>
      <c r="S154" s="1" t="s">
        <v>46</v>
      </c>
      <c r="T154" s="1" t="s">
        <v>45</v>
      </c>
      <c r="U154" s="1" t="s">
        <v>92</v>
      </c>
      <c r="AB154" s="1" t="s">
        <v>93</v>
      </c>
      <c r="AC154" s="1">
        <v>1</v>
      </c>
      <c r="AI154" s="1" t="s">
        <v>75</v>
      </c>
      <c r="AK154" s="1" t="s">
        <v>86</v>
      </c>
      <c r="AL154" s="1" t="s">
        <v>133</v>
      </c>
      <c r="AN154" s="1">
        <v>1</v>
      </c>
      <c r="AO154" s="1">
        <f t="shared" si="63"/>
        <v>1</v>
      </c>
      <c r="AQ154" s="1" t="s">
        <v>183</v>
      </c>
      <c r="AR154" s="4"/>
      <c r="AS154" s="4"/>
      <c r="AT154" s="4"/>
      <c r="AU154" s="1" t="s">
        <v>183</v>
      </c>
      <c r="AV154" s="4"/>
    </row>
    <row r="155" spans="1:48" x14ac:dyDescent="0.4">
      <c r="A155" s="1">
        <v>1</v>
      </c>
      <c r="B155" s="1">
        <v>1</v>
      </c>
      <c r="C155" s="1" t="s">
        <v>41</v>
      </c>
      <c r="D155" s="2">
        <v>38986</v>
      </c>
      <c r="E155" s="1">
        <v>269</v>
      </c>
      <c r="F155" s="1">
        <v>6</v>
      </c>
      <c r="G155" s="3">
        <v>0.60281249999999997</v>
      </c>
      <c r="H155" s="3">
        <v>0.61079861111111111</v>
      </c>
      <c r="I155" s="3">
        <v>7.9861111111111382E-3</v>
      </c>
      <c r="J155" s="3">
        <v>6.4930555555555713E-3</v>
      </c>
      <c r="K155" s="5">
        <f t="shared" si="61"/>
        <v>561</v>
      </c>
      <c r="L155" s="3">
        <v>7.972222222222225E-2</v>
      </c>
      <c r="N155" s="1" t="s">
        <v>42</v>
      </c>
      <c r="O155" s="1" t="s">
        <v>286</v>
      </c>
      <c r="P155" s="1" t="s">
        <v>44</v>
      </c>
      <c r="Q155" s="1" t="s">
        <v>132</v>
      </c>
      <c r="S155" s="1" t="s">
        <v>46</v>
      </c>
      <c r="T155" s="1" t="s">
        <v>45</v>
      </c>
      <c r="U155" s="1" t="s">
        <v>156</v>
      </c>
      <c r="V155" s="1" t="s">
        <v>102</v>
      </c>
      <c r="W155" s="1" t="s">
        <v>103</v>
      </c>
      <c r="X155" s="1" t="s">
        <v>96</v>
      </c>
      <c r="Y155" s="1" t="s">
        <v>52</v>
      </c>
      <c r="Z155" s="1">
        <v>1</v>
      </c>
      <c r="AB155" s="1" t="s">
        <v>402</v>
      </c>
      <c r="AC155" s="1">
        <v>0</v>
      </c>
      <c r="AD155" s="1" t="s">
        <v>105</v>
      </c>
      <c r="AE155" s="1" t="s">
        <v>70</v>
      </c>
      <c r="AG155" s="1" t="s">
        <v>403</v>
      </c>
      <c r="AI155" s="1" t="s">
        <v>75</v>
      </c>
      <c r="AK155" s="1" t="s">
        <v>86</v>
      </c>
      <c r="AL155" s="1" t="s">
        <v>87</v>
      </c>
      <c r="AM155" s="1">
        <v>1</v>
      </c>
      <c r="AN155" s="1">
        <v>0</v>
      </c>
      <c r="AO155" s="1">
        <f t="shared" si="63"/>
        <v>1</v>
      </c>
      <c r="AQ155" s="1" t="s">
        <v>73</v>
      </c>
      <c r="AR155" s="4">
        <f>AR148/AT3</f>
        <v>0.54838709677419351</v>
      </c>
      <c r="AS155" s="4"/>
      <c r="AT155" s="4"/>
      <c r="AU155" s="1" t="s">
        <v>73</v>
      </c>
      <c r="AV155" s="4">
        <f>AV148/AT3</f>
        <v>0.4838709677419355</v>
      </c>
    </row>
    <row r="156" spans="1:48" x14ac:dyDescent="0.4">
      <c r="A156" s="1">
        <v>1</v>
      </c>
      <c r="B156" s="1">
        <v>1</v>
      </c>
      <c r="C156" s="1" t="s">
        <v>41</v>
      </c>
      <c r="D156" s="2">
        <v>38986</v>
      </c>
      <c r="E156" s="1">
        <v>269</v>
      </c>
      <c r="F156" s="1">
        <v>7</v>
      </c>
      <c r="G156" s="3">
        <v>0.69052083333333336</v>
      </c>
      <c r="H156" s="3">
        <v>0.70489583333333339</v>
      </c>
      <c r="I156" s="3">
        <v>1.4375000000000027E-2</v>
      </c>
      <c r="J156" s="3">
        <v>7.2916666666665853E-3</v>
      </c>
      <c r="K156" s="5">
        <f t="shared" si="61"/>
        <v>630</v>
      </c>
      <c r="L156" s="3" t="s">
        <v>120</v>
      </c>
      <c r="N156" s="1" t="s">
        <v>42</v>
      </c>
      <c r="O156" s="1" t="s">
        <v>286</v>
      </c>
      <c r="P156" s="1" t="s">
        <v>44</v>
      </c>
      <c r="Q156" s="1" t="s">
        <v>76</v>
      </c>
      <c r="S156" s="1" t="s">
        <v>46</v>
      </c>
      <c r="T156" s="1" t="s">
        <v>47</v>
      </c>
      <c r="U156" s="1" t="s">
        <v>156</v>
      </c>
      <c r="V156" s="1" t="s">
        <v>49</v>
      </c>
      <c r="W156" s="1" t="s">
        <v>268</v>
      </c>
      <c r="X156" s="1" t="s">
        <v>316</v>
      </c>
      <c r="Y156" s="1" t="s">
        <v>270</v>
      </c>
      <c r="Z156" s="1" t="s">
        <v>271</v>
      </c>
      <c r="AA156" s="1" t="s">
        <v>363</v>
      </c>
      <c r="AB156" s="1" t="s">
        <v>364</v>
      </c>
      <c r="AC156" s="1">
        <v>0</v>
      </c>
      <c r="AD156" s="1" t="s">
        <v>56</v>
      </c>
      <c r="AE156" s="1" t="s">
        <v>70</v>
      </c>
      <c r="AF156" s="1" t="s">
        <v>153</v>
      </c>
      <c r="AG156" s="1" t="s">
        <v>365</v>
      </c>
      <c r="AH156" s="1" t="s">
        <v>59</v>
      </c>
      <c r="AI156" s="1" t="s">
        <v>75</v>
      </c>
      <c r="AK156" s="1" t="s">
        <v>116</v>
      </c>
      <c r="AL156" s="1" t="s">
        <v>117</v>
      </c>
      <c r="AM156" s="1">
        <v>4</v>
      </c>
      <c r="AN156" s="1">
        <v>0</v>
      </c>
      <c r="AO156" s="1">
        <f t="shared" si="63"/>
        <v>4</v>
      </c>
      <c r="AQ156" s="1" t="s">
        <v>88</v>
      </c>
      <c r="AR156" s="4">
        <f>AR149/AT4</f>
        <v>0.4</v>
      </c>
      <c r="AS156" s="4"/>
      <c r="AT156" s="4"/>
      <c r="AU156" s="1" t="s">
        <v>88</v>
      </c>
      <c r="AV156" s="4">
        <f t="shared" ref="AV156:AV159" si="67">AV149/AT4</f>
        <v>0.7</v>
      </c>
    </row>
    <row r="157" spans="1:48" x14ac:dyDescent="0.4">
      <c r="A157" s="1">
        <v>1</v>
      </c>
      <c r="B157" s="1">
        <v>1</v>
      </c>
      <c r="C157" s="1" t="s">
        <v>41</v>
      </c>
      <c r="D157" s="2">
        <v>38993</v>
      </c>
      <c r="E157" s="1">
        <v>276</v>
      </c>
      <c r="F157" s="1">
        <v>1</v>
      </c>
      <c r="G157" s="3">
        <v>0.28268518518518521</v>
      </c>
      <c r="H157" s="3">
        <v>0.28449074074074071</v>
      </c>
      <c r="I157" s="3">
        <v>1.8055555555555047E-3</v>
      </c>
      <c r="J157" s="3">
        <v>1.8055555555555047E-3</v>
      </c>
      <c r="K157" s="5">
        <f t="shared" si="61"/>
        <v>156</v>
      </c>
      <c r="L157" s="3">
        <v>3.1238425925925961E-2</v>
      </c>
      <c r="N157" s="1" t="s">
        <v>42</v>
      </c>
      <c r="O157" s="1" t="s">
        <v>286</v>
      </c>
      <c r="P157" s="1" t="s">
        <v>44</v>
      </c>
      <c r="Q157" s="1" t="s">
        <v>76</v>
      </c>
      <c r="S157" s="1" t="s">
        <v>46</v>
      </c>
      <c r="T157" s="1" t="s">
        <v>124</v>
      </c>
      <c r="U157" s="1" t="s">
        <v>66</v>
      </c>
      <c r="V157" s="1" t="s">
        <v>49</v>
      </c>
      <c r="W157" s="1" t="s">
        <v>268</v>
      </c>
      <c r="X157" s="1" t="s">
        <v>316</v>
      </c>
      <c r="Y157" s="1" t="s">
        <v>52</v>
      </c>
      <c r="Z157" s="1" t="s">
        <v>317</v>
      </c>
      <c r="AA157" s="1">
        <v>1</v>
      </c>
      <c r="AB157" s="1" t="s">
        <v>318</v>
      </c>
      <c r="AC157" s="1">
        <v>0</v>
      </c>
      <c r="AD157" s="1" t="s">
        <v>105</v>
      </c>
      <c r="AE157" s="1" t="s">
        <v>57</v>
      </c>
      <c r="AF157" s="1" t="s">
        <v>113</v>
      </c>
      <c r="AG157" s="1" t="s">
        <v>404</v>
      </c>
      <c r="AH157" s="1" t="s">
        <v>165</v>
      </c>
      <c r="AI157" s="1" t="s">
        <v>71</v>
      </c>
      <c r="AK157" s="1" t="s">
        <v>116</v>
      </c>
      <c r="AL157" s="1" t="s">
        <v>117</v>
      </c>
      <c r="AM157" s="1">
        <v>1</v>
      </c>
      <c r="AN157" s="1">
        <v>0</v>
      </c>
      <c r="AO157" s="1">
        <f t="shared" si="63"/>
        <v>1</v>
      </c>
      <c r="AQ157" s="1" t="s">
        <v>94</v>
      </c>
      <c r="AR157" s="4">
        <f t="shared" ref="AR157:AR160" si="68">AR150/AT5</f>
        <v>0.46666666666666667</v>
      </c>
      <c r="AS157" s="4"/>
      <c r="AT157" s="4"/>
      <c r="AU157" s="1" t="s">
        <v>94</v>
      </c>
      <c r="AV157" s="4">
        <f t="shared" si="67"/>
        <v>0.4</v>
      </c>
    </row>
    <row r="158" spans="1:48" x14ac:dyDescent="0.4">
      <c r="A158" s="1">
        <v>1</v>
      </c>
      <c r="B158" s="1">
        <v>1</v>
      </c>
      <c r="C158" s="1" t="s">
        <v>41</v>
      </c>
      <c r="D158" s="2">
        <v>38993</v>
      </c>
      <c r="E158" s="1">
        <v>276</v>
      </c>
      <c r="F158" s="1">
        <v>2</v>
      </c>
      <c r="G158" s="3">
        <v>0.31572916666666667</v>
      </c>
      <c r="H158" s="3">
        <v>0.31866898148148148</v>
      </c>
      <c r="I158" s="3">
        <v>2.9398148148148118E-3</v>
      </c>
      <c r="J158" s="3">
        <v>2.6504629629629517E-3</v>
      </c>
      <c r="K158" s="5">
        <f t="shared" si="61"/>
        <v>229</v>
      </c>
      <c r="L158" s="3">
        <v>4.0949074074074054E-2</v>
      </c>
      <c r="N158" s="1" t="s">
        <v>42</v>
      </c>
      <c r="O158" s="1" t="s">
        <v>286</v>
      </c>
      <c r="P158" s="1" t="s">
        <v>44</v>
      </c>
      <c r="Q158" s="1" t="s">
        <v>132</v>
      </c>
      <c r="S158" s="1" t="s">
        <v>46</v>
      </c>
      <c r="T158" s="1" t="s">
        <v>47</v>
      </c>
      <c r="U158" s="1" t="s">
        <v>48</v>
      </c>
      <c r="V158" s="1" t="s">
        <v>49</v>
      </c>
      <c r="W158" s="1" t="s">
        <v>50</v>
      </c>
      <c r="X158" s="1" t="s">
        <v>405</v>
      </c>
      <c r="Y158" s="1" t="s">
        <v>406</v>
      </c>
      <c r="Z158" s="1" t="s">
        <v>407</v>
      </c>
      <c r="AA158" s="1" t="s">
        <v>408</v>
      </c>
      <c r="AB158" s="1" t="s">
        <v>409</v>
      </c>
      <c r="AC158" s="1">
        <v>0</v>
      </c>
      <c r="AD158" s="1" t="s">
        <v>105</v>
      </c>
      <c r="AE158" s="1" t="s">
        <v>181</v>
      </c>
      <c r="AG158" s="1" t="s">
        <v>410</v>
      </c>
      <c r="AH158" s="1" t="s">
        <v>59</v>
      </c>
      <c r="AI158" s="1" t="s">
        <v>60</v>
      </c>
      <c r="AK158" s="1" t="s">
        <v>86</v>
      </c>
      <c r="AL158" s="1" t="s">
        <v>133</v>
      </c>
      <c r="AM158" s="1">
        <v>1</v>
      </c>
      <c r="AN158" s="1">
        <v>0</v>
      </c>
      <c r="AO158" s="1">
        <f t="shared" si="63"/>
        <v>1</v>
      </c>
      <c r="AQ158" s="1" t="s">
        <v>100</v>
      </c>
      <c r="AR158" s="4">
        <f t="shared" si="68"/>
        <v>0.63888888888888884</v>
      </c>
      <c r="AS158" s="4"/>
      <c r="AT158" s="4"/>
      <c r="AU158" s="1" t="s">
        <v>100</v>
      </c>
      <c r="AV158" s="4">
        <f t="shared" si="67"/>
        <v>0.33333333333333331</v>
      </c>
    </row>
    <row r="159" spans="1:48" x14ac:dyDescent="0.4">
      <c r="A159" s="1">
        <v>1</v>
      </c>
      <c r="B159" s="1">
        <v>1</v>
      </c>
      <c r="C159" s="1" t="s">
        <v>41</v>
      </c>
      <c r="D159" s="2">
        <v>38993</v>
      </c>
      <c r="E159" s="1">
        <v>276</v>
      </c>
      <c r="F159" s="1">
        <v>2.5</v>
      </c>
      <c r="G159" s="3">
        <v>0.35961805555555554</v>
      </c>
      <c r="H159" s="3">
        <v>0.35962962962962958</v>
      </c>
      <c r="I159" s="3">
        <v>1.1574074074038876E-5</v>
      </c>
      <c r="J159" s="3">
        <v>1.1574074074038876E-5</v>
      </c>
      <c r="K159" s="5">
        <f t="shared" si="61"/>
        <v>1</v>
      </c>
      <c r="L159" s="3">
        <v>1.9351851851851953E-2</v>
      </c>
      <c r="N159" s="1" t="s">
        <v>251</v>
      </c>
      <c r="O159" s="1" t="s">
        <v>286</v>
      </c>
      <c r="P159" s="1" t="s">
        <v>44</v>
      </c>
      <c r="Q159" s="1" t="s">
        <v>76</v>
      </c>
      <c r="S159" s="1" t="s">
        <v>46</v>
      </c>
      <c r="T159" s="1" t="s">
        <v>47</v>
      </c>
      <c r="U159" s="1" t="s">
        <v>156</v>
      </c>
      <c r="AB159" s="1" t="s">
        <v>93</v>
      </c>
      <c r="AC159" s="1">
        <v>1</v>
      </c>
      <c r="AG159" s="1" t="s">
        <v>411</v>
      </c>
      <c r="AI159" s="1" t="s">
        <v>255</v>
      </c>
      <c r="AK159" s="1" t="s">
        <v>86</v>
      </c>
      <c r="AL159" s="1" t="s">
        <v>133</v>
      </c>
      <c r="AM159" s="1">
        <v>1</v>
      </c>
      <c r="AN159" s="1">
        <v>0</v>
      </c>
      <c r="AO159" s="1">
        <f t="shared" si="63"/>
        <v>1</v>
      </c>
      <c r="AQ159" s="1" t="s">
        <v>107</v>
      </c>
      <c r="AR159" s="4">
        <f t="shared" si="68"/>
        <v>0.6</v>
      </c>
      <c r="AS159" s="4"/>
      <c r="AT159" s="4"/>
      <c r="AU159" s="1" t="s">
        <v>107</v>
      </c>
      <c r="AV159" s="4">
        <f t="shared" si="67"/>
        <v>0.6</v>
      </c>
    </row>
    <row r="160" spans="1:48" x14ac:dyDescent="0.4">
      <c r="A160" s="1">
        <v>1</v>
      </c>
      <c r="B160" s="1">
        <v>1</v>
      </c>
      <c r="C160" s="1" t="s">
        <v>41</v>
      </c>
      <c r="D160" s="2">
        <v>38993</v>
      </c>
      <c r="E160" s="1">
        <v>276</v>
      </c>
      <c r="F160" s="1">
        <v>3</v>
      </c>
      <c r="G160" s="3">
        <v>0.37898148148148153</v>
      </c>
      <c r="H160" s="3">
        <v>0.39042824074074073</v>
      </c>
      <c r="I160" s="3">
        <v>1.1446759259259198E-2</v>
      </c>
      <c r="J160" s="3">
        <v>1.0208333333333208E-2</v>
      </c>
      <c r="K160" s="5">
        <f t="shared" si="61"/>
        <v>882</v>
      </c>
      <c r="L160" s="3">
        <v>1.2094907407407429E-2</v>
      </c>
      <c r="N160" s="1" t="s">
        <v>251</v>
      </c>
      <c r="O160" s="1" t="s">
        <v>286</v>
      </c>
      <c r="P160" s="1" t="s">
        <v>44</v>
      </c>
      <c r="Q160" s="1" t="s">
        <v>132</v>
      </c>
      <c r="S160" s="1" t="s">
        <v>46</v>
      </c>
      <c r="T160" s="1" t="s">
        <v>45</v>
      </c>
      <c r="U160" s="1" t="s">
        <v>156</v>
      </c>
      <c r="V160" s="1" t="s">
        <v>49</v>
      </c>
      <c r="W160" s="1" t="s">
        <v>233</v>
      </c>
      <c r="X160" s="1" t="s">
        <v>234</v>
      </c>
      <c r="Y160" s="1" t="s">
        <v>235</v>
      </c>
      <c r="Z160" s="1" t="s">
        <v>236</v>
      </c>
      <c r="AA160" s="1" t="s">
        <v>221</v>
      </c>
      <c r="AB160" s="1" t="s">
        <v>237</v>
      </c>
      <c r="AC160" s="1">
        <v>0</v>
      </c>
      <c r="AD160" s="1" t="s">
        <v>56</v>
      </c>
      <c r="AE160" s="1" t="s">
        <v>83</v>
      </c>
      <c r="AG160" s="1" t="s">
        <v>401</v>
      </c>
      <c r="AH160" s="1" t="s">
        <v>206</v>
      </c>
      <c r="AI160" s="1" t="s">
        <v>255</v>
      </c>
      <c r="AK160" s="1" t="s">
        <v>86</v>
      </c>
      <c r="AL160" s="1" t="s">
        <v>86</v>
      </c>
      <c r="AM160" s="1">
        <v>2</v>
      </c>
      <c r="AN160" s="1">
        <v>0</v>
      </c>
      <c r="AO160" s="1">
        <f t="shared" si="63"/>
        <v>2</v>
      </c>
      <c r="AQ160" s="1" t="s">
        <v>118</v>
      </c>
      <c r="AR160" s="4">
        <f t="shared" si="68"/>
        <v>0.58823529411764708</v>
      </c>
      <c r="AU160" s="1" t="s">
        <v>118</v>
      </c>
      <c r="AV160" s="4">
        <f>AV153/AT8</f>
        <v>0.58823529411764708</v>
      </c>
    </row>
    <row r="161" spans="1:49" x14ac:dyDescent="0.4">
      <c r="A161" s="1">
        <v>1</v>
      </c>
      <c r="B161" s="1">
        <v>1</v>
      </c>
      <c r="C161" s="1" t="s">
        <v>41</v>
      </c>
      <c r="D161" s="2">
        <v>38993</v>
      </c>
      <c r="E161" s="1">
        <v>276</v>
      </c>
      <c r="F161" s="1">
        <v>3.5</v>
      </c>
      <c r="G161" s="3">
        <v>0.40252314814814816</v>
      </c>
      <c r="H161" s="3">
        <v>0.40269675925925924</v>
      </c>
      <c r="I161" s="3">
        <v>1.7361111111108274E-4</v>
      </c>
      <c r="J161" s="3">
        <v>1.7361111111108274E-4</v>
      </c>
      <c r="K161" s="5">
        <f t="shared" si="61"/>
        <v>15</v>
      </c>
      <c r="L161" s="3">
        <v>5.1273148148148762E-3</v>
      </c>
      <c r="N161" s="1" t="s">
        <v>75</v>
      </c>
      <c r="O161" s="1" t="s">
        <v>286</v>
      </c>
      <c r="P161" s="1" t="s">
        <v>44</v>
      </c>
      <c r="Q161" s="1" t="s">
        <v>45</v>
      </c>
      <c r="S161" s="1" t="s">
        <v>46</v>
      </c>
      <c r="T161" s="1" t="s">
        <v>47</v>
      </c>
      <c r="U161" s="1" t="s">
        <v>66</v>
      </c>
      <c r="AB161" s="1" t="s">
        <v>93</v>
      </c>
      <c r="AC161" s="1">
        <v>1</v>
      </c>
      <c r="AG161" s="1" t="s">
        <v>412</v>
      </c>
      <c r="AI161" s="1" t="s">
        <v>75</v>
      </c>
      <c r="AK161" s="1" t="s">
        <v>86</v>
      </c>
      <c r="AL161" s="1" t="s">
        <v>133</v>
      </c>
      <c r="AM161" s="1">
        <v>1</v>
      </c>
      <c r="AN161" s="1">
        <v>0</v>
      </c>
      <c r="AO161" s="1">
        <f t="shared" si="63"/>
        <v>1</v>
      </c>
      <c r="AQ161" s="1" t="s">
        <v>188</v>
      </c>
      <c r="AR161" s="4">
        <f>AVERAGE(AR156:AR160)</f>
        <v>0.53875816993464054</v>
      </c>
      <c r="AS161" s="1">
        <v>0.53875816993464098</v>
      </c>
      <c r="AU161" s="1" t="s">
        <v>188</v>
      </c>
      <c r="AV161" s="4">
        <f>AVERAGE(AV156:AV160)</f>
        <v>0.52431372549019606</v>
      </c>
      <c r="AW161" s="1">
        <v>0.52431372549019595</v>
      </c>
    </row>
    <row r="162" spans="1:49" x14ac:dyDescent="0.4">
      <c r="A162" s="1">
        <v>1</v>
      </c>
      <c r="B162" s="1">
        <v>1</v>
      </c>
      <c r="C162" s="1" t="s">
        <v>41</v>
      </c>
      <c r="D162" s="2">
        <v>38993</v>
      </c>
      <c r="E162" s="1">
        <v>276</v>
      </c>
      <c r="F162" s="1">
        <v>4</v>
      </c>
      <c r="G162" s="3">
        <v>0.40782407407407412</v>
      </c>
      <c r="H162" s="3">
        <v>0.42015046296296293</v>
      </c>
      <c r="I162" s="3">
        <v>1.2326388888888817E-2</v>
      </c>
      <c r="J162" s="3">
        <v>1.2326388888888817E-2</v>
      </c>
      <c r="K162" s="5">
        <f t="shared" si="61"/>
        <v>1065</v>
      </c>
      <c r="L162" s="3">
        <v>2.2685185185185031E-3</v>
      </c>
      <c r="N162" s="1" t="s">
        <v>75</v>
      </c>
      <c r="O162" s="1" t="s">
        <v>286</v>
      </c>
      <c r="P162" s="1" t="s">
        <v>44</v>
      </c>
      <c r="Q162" s="1" t="s">
        <v>76</v>
      </c>
      <c r="S162" s="1" t="s">
        <v>46</v>
      </c>
      <c r="T162" s="1" t="s">
        <v>47</v>
      </c>
      <c r="U162" s="1" t="s">
        <v>66</v>
      </c>
      <c r="V162" s="1" t="s">
        <v>49</v>
      </c>
      <c r="W162" s="1" t="s">
        <v>268</v>
      </c>
      <c r="X162" s="1" t="s">
        <v>316</v>
      </c>
      <c r="Y162" s="1" t="s">
        <v>270</v>
      </c>
      <c r="Z162" s="1" t="s">
        <v>271</v>
      </c>
      <c r="AA162" s="1" t="s">
        <v>363</v>
      </c>
      <c r="AB162" s="1" t="s">
        <v>364</v>
      </c>
      <c r="AC162" s="1">
        <v>0</v>
      </c>
      <c r="AD162" s="1" t="s">
        <v>56</v>
      </c>
      <c r="AE162" s="1" t="s">
        <v>70</v>
      </c>
      <c r="AF162" s="1" t="s">
        <v>153</v>
      </c>
      <c r="AG162" s="1" t="s">
        <v>365</v>
      </c>
      <c r="AH162" s="1" t="s">
        <v>59</v>
      </c>
      <c r="AI162" s="1" t="s">
        <v>75</v>
      </c>
      <c r="AK162" s="1" t="s">
        <v>116</v>
      </c>
      <c r="AL162" s="1" t="s">
        <v>174</v>
      </c>
      <c r="AM162" s="1">
        <v>4</v>
      </c>
      <c r="AN162" s="1">
        <v>0</v>
      </c>
      <c r="AO162" s="1">
        <f t="shared" si="63"/>
        <v>4</v>
      </c>
      <c r="AQ162" s="1" t="s">
        <v>189</v>
      </c>
      <c r="AR162" s="4">
        <f>STDEV(AR156:AR160)</f>
        <v>0.10084111638180668</v>
      </c>
      <c r="AS162" s="1">
        <v>0.100841116381807</v>
      </c>
      <c r="AU162" s="1" t="s">
        <v>189</v>
      </c>
      <c r="AV162" s="4">
        <f>STDEV(AV156:AV160)</f>
        <v>0.15215736810104061</v>
      </c>
      <c r="AW162" s="1">
        <v>0.152157368101041</v>
      </c>
    </row>
    <row r="163" spans="1:49" x14ac:dyDescent="0.4">
      <c r="A163" s="1">
        <v>1</v>
      </c>
      <c r="B163" s="1">
        <v>1</v>
      </c>
      <c r="C163" s="1" t="s">
        <v>41</v>
      </c>
      <c r="D163" s="2">
        <v>38993</v>
      </c>
      <c r="E163" s="1">
        <v>276</v>
      </c>
      <c r="F163" s="1">
        <v>5</v>
      </c>
      <c r="G163" s="3">
        <v>0.42241898148148144</v>
      </c>
      <c r="H163" s="3">
        <v>0.43310185185185185</v>
      </c>
      <c r="I163" s="3">
        <v>1.0682870370370412E-2</v>
      </c>
      <c r="J163" s="3">
        <v>7.2916666666667518E-3</v>
      </c>
      <c r="K163" s="5">
        <f t="shared" si="61"/>
        <v>630</v>
      </c>
      <c r="L163" s="3">
        <v>8.4328703703703656E-2</v>
      </c>
      <c r="N163" s="1" t="s">
        <v>75</v>
      </c>
      <c r="O163" s="1" t="s">
        <v>286</v>
      </c>
      <c r="P163" s="1" t="s">
        <v>44</v>
      </c>
      <c r="Q163" s="1" t="s">
        <v>45</v>
      </c>
      <c r="S163" s="1" t="s">
        <v>46</v>
      </c>
      <c r="T163" s="1" t="s">
        <v>47</v>
      </c>
      <c r="U163" s="1" t="s">
        <v>66</v>
      </c>
      <c r="V163" s="1" t="s">
        <v>49</v>
      </c>
      <c r="W163" s="1" t="s">
        <v>50</v>
      </c>
      <c r="X163" s="1" t="s">
        <v>96</v>
      </c>
      <c r="Y163" s="1" t="s">
        <v>52</v>
      </c>
      <c r="Z163" s="1" t="s">
        <v>53</v>
      </c>
      <c r="AA163" s="1">
        <v>20</v>
      </c>
      <c r="AB163" s="1" t="s">
        <v>413</v>
      </c>
      <c r="AC163" s="1">
        <v>0</v>
      </c>
      <c r="AD163" s="1" t="s">
        <v>56</v>
      </c>
      <c r="AE163" s="1" t="s">
        <v>70</v>
      </c>
      <c r="AF163" s="1" t="s">
        <v>84</v>
      </c>
      <c r="AG163" s="1" t="s">
        <v>414</v>
      </c>
      <c r="AH163" s="1" t="s">
        <v>59</v>
      </c>
      <c r="AI163" s="1" t="s">
        <v>75</v>
      </c>
      <c r="AK163" s="1" t="s">
        <v>86</v>
      </c>
      <c r="AL163" s="1" t="s">
        <v>87</v>
      </c>
      <c r="AM163" s="1">
        <v>1</v>
      </c>
      <c r="AN163" s="1">
        <v>0</v>
      </c>
      <c r="AO163" s="1">
        <f t="shared" si="63"/>
        <v>1</v>
      </c>
    </row>
    <row r="164" spans="1:49" x14ac:dyDescent="0.4">
      <c r="A164" s="1">
        <v>1</v>
      </c>
      <c r="B164" s="1">
        <v>1</v>
      </c>
      <c r="C164" s="1" t="s">
        <v>41</v>
      </c>
      <c r="D164" s="2">
        <v>38993</v>
      </c>
      <c r="E164" s="1">
        <v>276</v>
      </c>
      <c r="F164" s="1">
        <v>6</v>
      </c>
      <c r="G164" s="3">
        <v>0.5174305555555555</v>
      </c>
      <c r="H164" s="3">
        <v>0.51876157407407408</v>
      </c>
      <c r="I164" s="3">
        <v>1.3310185185185786E-3</v>
      </c>
      <c r="J164" s="3">
        <v>1.3310185185185786E-3</v>
      </c>
      <c r="K164" s="5">
        <f t="shared" si="61"/>
        <v>115</v>
      </c>
      <c r="L164" s="3">
        <v>4.4675925925925508E-3</v>
      </c>
      <c r="N164" s="1" t="s">
        <v>42</v>
      </c>
      <c r="O164" s="1" t="s">
        <v>286</v>
      </c>
      <c r="P164" s="1" t="s">
        <v>44</v>
      </c>
      <c r="Q164" s="1" t="s">
        <v>45</v>
      </c>
      <c r="S164" s="1" t="s">
        <v>46</v>
      </c>
      <c r="T164" s="1" t="s">
        <v>45</v>
      </c>
      <c r="U164" s="1" t="s">
        <v>156</v>
      </c>
      <c r="V164" s="1" t="s">
        <v>102</v>
      </c>
      <c r="W164" s="1" t="s">
        <v>184</v>
      </c>
      <c r="X164" s="1" t="s">
        <v>96</v>
      </c>
      <c r="Y164" s="1" t="s">
        <v>415</v>
      </c>
      <c r="Z164" s="1" t="s">
        <v>416</v>
      </c>
      <c r="AA164" s="1">
        <v>44</v>
      </c>
      <c r="AB164" s="1" t="s">
        <v>417</v>
      </c>
      <c r="AC164" s="1">
        <v>0</v>
      </c>
      <c r="AD164" s="1" t="s">
        <v>105</v>
      </c>
      <c r="AE164" s="1" t="s">
        <v>70</v>
      </c>
      <c r="AH164" s="1" t="s">
        <v>157</v>
      </c>
      <c r="AI164" s="1" t="s">
        <v>75</v>
      </c>
      <c r="AK164" s="1" t="s">
        <v>86</v>
      </c>
      <c r="AL164" s="1" t="s">
        <v>87</v>
      </c>
      <c r="AN164" s="1">
        <v>1</v>
      </c>
      <c r="AO164" s="1">
        <f t="shared" si="63"/>
        <v>1</v>
      </c>
    </row>
    <row r="165" spans="1:49" x14ac:dyDescent="0.4">
      <c r="A165" s="1">
        <v>1</v>
      </c>
      <c r="B165" s="1">
        <v>1</v>
      </c>
      <c r="C165" s="1" t="s">
        <v>41</v>
      </c>
      <c r="D165" s="2">
        <v>38993</v>
      </c>
      <c r="E165" s="1">
        <v>276</v>
      </c>
      <c r="F165" s="1">
        <v>6.5</v>
      </c>
      <c r="G165" s="3">
        <v>0.52322916666666663</v>
      </c>
      <c r="H165" s="3">
        <v>0.52663194444444439</v>
      </c>
      <c r="I165" s="3">
        <v>3.4027777777777546E-3</v>
      </c>
      <c r="J165" s="3">
        <v>2.4305555555548253E-4</v>
      </c>
      <c r="K165" s="5">
        <f t="shared" si="61"/>
        <v>21</v>
      </c>
      <c r="L165" s="3">
        <v>5.1504629629630649E-3</v>
      </c>
      <c r="N165" s="1" t="s">
        <v>42</v>
      </c>
      <c r="O165" s="1" t="s">
        <v>286</v>
      </c>
      <c r="P165" s="1" t="s">
        <v>44</v>
      </c>
      <c r="Q165" s="1" t="s">
        <v>132</v>
      </c>
      <c r="S165" s="1" t="s">
        <v>46</v>
      </c>
      <c r="T165" s="1" t="s">
        <v>47</v>
      </c>
      <c r="U165" s="1" t="s">
        <v>156</v>
      </c>
      <c r="AB165" s="1" t="s">
        <v>93</v>
      </c>
      <c r="AC165" s="1">
        <v>1</v>
      </c>
      <c r="AG165" s="1" t="s">
        <v>418</v>
      </c>
      <c r="AI165" s="1" t="s">
        <v>75</v>
      </c>
      <c r="AK165" s="1" t="s">
        <v>86</v>
      </c>
      <c r="AL165" s="1" t="s">
        <v>133</v>
      </c>
      <c r="AM165" s="1">
        <v>1</v>
      </c>
      <c r="AN165" s="1">
        <v>0</v>
      </c>
      <c r="AO165" s="1">
        <f t="shared" si="63"/>
        <v>1</v>
      </c>
    </row>
    <row r="166" spans="1:49" x14ac:dyDescent="0.4">
      <c r="A166" s="1">
        <v>1</v>
      </c>
      <c r="B166" s="1">
        <v>1</v>
      </c>
      <c r="C166" s="1" t="s">
        <v>41</v>
      </c>
      <c r="D166" s="2">
        <v>38993</v>
      </c>
      <c r="E166" s="1">
        <v>276</v>
      </c>
      <c r="F166" s="1">
        <v>7</v>
      </c>
      <c r="G166" s="3">
        <v>0.53178240740740745</v>
      </c>
      <c r="H166" s="3">
        <v>0.53623842592592597</v>
      </c>
      <c r="I166" s="3">
        <v>4.4560185185185119E-3</v>
      </c>
      <c r="J166" s="3">
        <v>4.4560185185185119E-3</v>
      </c>
      <c r="K166" s="5">
        <f t="shared" si="61"/>
        <v>385</v>
      </c>
      <c r="L166" s="3">
        <v>5.335648148148131E-3</v>
      </c>
      <c r="N166" s="1" t="s">
        <v>42</v>
      </c>
      <c r="O166" s="1" t="s">
        <v>286</v>
      </c>
      <c r="P166" s="1" t="s">
        <v>44</v>
      </c>
      <c r="Q166" s="1" t="s">
        <v>132</v>
      </c>
      <c r="S166" s="1" t="s">
        <v>46</v>
      </c>
      <c r="T166" s="1" t="s">
        <v>47</v>
      </c>
      <c r="U166" s="1" t="s">
        <v>156</v>
      </c>
      <c r="V166" s="1" t="s">
        <v>49</v>
      </c>
      <c r="W166" s="1" t="s">
        <v>233</v>
      </c>
      <c r="X166" s="1" t="s">
        <v>234</v>
      </c>
      <c r="Y166" s="1" t="s">
        <v>235</v>
      </c>
      <c r="Z166" s="1" t="s">
        <v>236</v>
      </c>
      <c r="AA166" s="1" t="s">
        <v>221</v>
      </c>
      <c r="AB166" s="1" t="s">
        <v>237</v>
      </c>
      <c r="AC166" s="1">
        <v>0</v>
      </c>
      <c r="AD166" s="1" t="s">
        <v>56</v>
      </c>
      <c r="AE166" s="1" t="s">
        <v>83</v>
      </c>
      <c r="AG166" s="1" t="s">
        <v>419</v>
      </c>
      <c r="AH166" s="1" t="s">
        <v>206</v>
      </c>
      <c r="AI166" s="1" t="s">
        <v>75</v>
      </c>
      <c r="AK166" s="1" t="s">
        <v>86</v>
      </c>
      <c r="AL166" s="1" t="s">
        <v>133</v>
      </c>
      <c r="AM166" s="1">
        <v>1</v>
      </c>
      <c r="AN166" s="1">
        <v>0</v>
      </c>
      <c r="AO166" s="1">
        <f t="shared" si="63"/>
        <v>1</v>
      </c>
    </row>
    <row r="167" spans="1:49" x14ac:dyDescent="0.4">
      <c r="A167" s="1">
        <v>1</v>
      </c>
      <c r="B167" s="1">
        <v>1</v>
      </c>
      <c r="C167" s="1" t="s">
        <v>41</v>
      </c>
      <c r="D167" s="2">
        <v>38993</v>
      </c>
      <c r="E167" s="1">
        <v>276</v>
      </c>
      <c r="F167" s="1">
        <v>8</v>
      </c>
      <c r="G167" s="3">
        <v>0.5415740740740741</v>
      </c>
      <c r="H167" s="3">
        <v>0.54520833333333341</v>
      </c>
      <c r="I167" s="3">
        <v>3.6342592592593093E-3</v>
      </c>
      <c r="J167" s="3">
        <v>1.5162037037036447E-3</v>
      </c>
      <c r="K167" s="5">
        <f t="shared" si="61"/>
        <v>131</v>
      </c>
      <c r="L167" s="3" t="s">
        <v>120</v>
      </c>
      <c r="N167" s="1" t="s">
        <v>42</v>
      </c>
      <c r="O167" s="1" t="s">
        <v>286</v>
      </c>
      <c r="P167" s="1" t="s">
        <v>44</v>
      </c>
      <c r="Q167" s="1" t="s">
        <v>45</v>
      </c>
      <c r="S167" s="1" t="s">
        <v>46</v>
      </c>
      <c r="T167" s="1" t="s">
        <v>47</v>
      </c>
      <c r="U167" s="1" t="s">
        <v>156</v>
      </c>
      <c r="X167" s="1" t="s">
        <v>313</v>
      </c>
      <c r="AB167" s="1" t="s">
        <v>93</v>
      </c>
      <c r="AC167" s="1">
        <v>1</v>
      </c>
      <c r="AD167" s="1" t="s">
        <v>105</v>
      </c>
      <c r="AG167" s="1" t="s">
        <v>391</v>
      </c>
      <c r="AH167" s="1" t="s">
        <v>157</v>
      </c>
      <c r="AI167" s="1" t="s">
        <v>75</v>
      </c>
      <c r="AK167" s="1" t="s">
        <v>86</v>
      </c>
      <c r="AL167" s="1" t="s">
        <v>133</v>
      </c>
      <c r="AM167" s="1">
        <v>2</v>
      </c>
      <c r="AN167" s="1">
        <v>0</v>
      </c>
      <c r="AO167" s="1">
        <f t="shared" si="63"/>
        <v>2</v>
      </c>
    </row>
    <row r="168" spans="1:49" x14ac:dyDescent="0.4">
      <c r="A168" s="1">
        <v>1</v>
      </c>
      <c r="B168" s="1">
        <v>1</v>
      </c>
      <c r="C168" s="1" t="s">
        <v>119</v>
      </c>
      <c r="D168" s="2">
        <v>38796</v>
      </c>
      <c r="E168" s="1">
        <v>79</v>
      </c>
      <c r="F168" s="1">
        <v>1</v>
      </c>
      <c r="G168" s="3">
        <v>0.42184027777777783</v>
      </c>
      <c r="H168" s="3">
        <v>0.42770833333333336</v>
      </c>
      <c r="I168" s="3">
        <v>5.8680555555555292E-3</v>
      </c>
      <c r="J168" s="3">
        <v>5.3472222222222254E-3</v>
      </c>
      <c r="K168" s="5">
        <f t="shared" si="61"/>
        <v>462</v>
      </c>
      <c r="L168" s="3">
        <v>6.8842592592592566E-2</v>
      </c>
      <c r="N168" s="1" t="s">
        <v>42</v>
      </c>
      <c r="O168" s="1" t="s">
        <v>43</v>
      </c>
      <c r="P168" s="1" t="s">
        <v>172</v>
      </c>
      <c r="Q168" s="1" t="s">
        <v>45</v>
      </c>
      <c r="R168" s="1" t="s">
        <v>45</v>
      </c>
      <c r="S168" s="1" t="s">
        <v>46</v>
      </c>
      <c r="T168" s="1" t="s">
        <v>124</v>
      </c>
      <c r="U168" s="1" t="s">
        <v>66</v>
      </c>
      <c r="V168" s="1" t="s">
        <v>49</v>
      </c>
      <c r="W168" s="1" t="s">
        <v>50</v>
      </c>
      <c r="X168" s="1" t="s">
        <v>158</v>
      </c>
      <c r="Y168" s="1" t="s">
        <v>159</v>
      </c>
      <c r="Z168" s="1" t="s">
        <v>160</v>
      </c>
      <c r="AA168" s="1" t="s">
        <v>161</v>
      </c>
      <c r="AB168" s="1" t="s">
        <v>162</v>
      </c>
      <c r="AC168" s="1">
        <v>0</v>
      </c>
      <c r="AD168" s="1" t="s">
        <v>56</v>
      </c>
      <c r="AE168" s="1" t="s">
        <v>83</v>
      </c>
      <c r="AG168" s="1" t="s">
        <v>420</v>
      </c>
      <c r="AH168" s="1" t="s">
        <v>165</v>
      </c>
      <c r="AI168" s="1" t="s">
        <v>71</v>
      </c>
      <c r="AK168" s="1" t="s">
        <v>86</v>
      </c>
      <c r="AL168" s="1" t="s">
        <v>133</v>
      </c>
      <c r="AM168" s="1">
        <v>1</v>
      </c>
      <c r="AN168" s="1">
        <v>0</v>
      </c>
      <c r="AO168" s="1">
        <f t="shared" si="63"/>
        <v>1</v>
      </c>
    </row>
    <row r="169" spans="1:49" x14ac:dyDescent="0.4">
      <c r="A169" s="1">
        <v>1</v>
      </c>
      <c r="B169" s="1">
        <v>1</v>
      </c>
      <c r="C169" s="1" t="s">
        <v>119</v>
      </c>
      <c r="D169" s="2">
        <v>38797</v>
      </c>
      <c r="E169" s="1">
        <v>80</v>
      </c>
      <c r="F169" s="1">
        <v>2.5</v>
      </c>
      <c r="G169" s="3">
        <v>0.37592592592592594</v>
      </c>
      <c r="H169" s="3">
        <v>0.37935185185185188</v>
      </c>
      <c r="I169" s="3">
        <v>3.4259259259259434E-3</v>
      </c>
      <c r="J169" s="3">
        <v>3.4259259259259434E-3</v>
      </c>
      <c r="K169" s="5">
        <f t="shared" si="61"/>
        <v>296</v>
      </c>
      <c r="L169" s="3">
        <v>2.4108796296296253E-2</v>
      </c>
      <c r="N169" s="1" t="s">
        <v>75</v>
      </c>
      <c r="O169" s="1" t="s">
        <v>43</v>
      </c>
      <c r="P169" s="1" t="s">
        <v>172</v>
      </c>
      <c r="Q169" s="1" t="s">
        <v>76</v>
      </c>
      <c r="R169" s="1" t="s">
        <v>76</v>
      </c>
      <c r="S169" s="1" t="s">
        <v>46</v>
      </c>
      <c r="T169" s="1" t="s">
        <v>47</v>
      </c>
      <c r="U169" s="1" t="s">
        <v>66</v>
      </c>
      <c r="V169" s="1" t="s">
        <v>102</v>
      </c>
      <c r="W169" s="1" t="s">
        <v>103</v>
      </c>
      <c r="X169" s="1" t="s">
        <v>96</v>
      </c>
      <c r="AB169" s="1" t="s">
        <v>104</v>
      </c>
      <c r="AC169" s="1">
        <v>0</v>
      </c>
      <c r="AD169" s="1" t="s">
        <v>105</v>
      </c>
      <c r="AE169" s="1" t="s">
        <v>70</v>
      </c>
      <c r="AG169" s="1" t="s">
        <v>146</v>
      </c>
      <c r="AH169" s="1" t="s">
        <v>157</v>
      </c>
      <c r="AI169" s="1" t="s">
        <v>75</v>
      </c>
      <c r="AK169" s="1" t="s">
        <v>86</v>
      </c>
      <c r="AL169" s="1" t="s">
        <v>87</v>
      </c>
      <c r="AM169" s="1">
        <v>5</v>
      </c>
      <c r="AN169" s="1">
        <v>0</v>
      </c>
      <c r="AO169" s="1">
        <f t="shared" si="63"/>
        <v>5</v>
      </c>
    </row>
    <row r="170" spans="1:49" x14ac:dyDescent="0.4">
      <c r="A170" s="1">
        <v>1</v>
      </c>
      <c r="B170" s="1">
        <v>1</v>
      </c>
      <c r="C170" s="1" t="s">
        <v>119</v>
      </c>
      <c r="D170" s="2">
        <v>38797</v>
      </c>
      <c r="E170" s="1">
        <v>80</v>
      </c>
      <c r="F170" s="1">
        <v>2.75</v>
      </c>
      <c r="G170" s="3">
        <v>0.40346064814814814</v>
      </c>
      <c r="H170" s="3">
        <v>0.40406249999999999</v>
      </c>
      <c r="I170" s="3">
        <v>6.0185185185185341E-4</v>
      </c>
      <c r="J170" s="3">
        <v>2.6620370370372681E-4</v>
      </c>
      <c r="K170" s="5">
        <f t="shared" si="61"/>
        <v>23</v>
      </c>
      <c r="L170" s="3">
        <v>7.1053240740740764E-2</v>
      </c>
      <c r="N170" s="1" t="s">
        <v>75</v>
      </c>
      <c r="O170" s="1" t="s">
        <v>43</v>
      </c>
      <c r="P170" s="1" t="s">
        <v>172</v>
      </c>
      <c r="Q170" s="1" t="s">
        <v>45</v>
      </c>
      <c r="R170" s="1" t="s">
        <v>76</v>
      </c>
      <c r="S170" s="1" t="s">
        <v>46</v>
      </c>
      <c r="T170" s="1" t="s">
        <v>47</v>
      </c>
      <c r="U170" s="1" t="s">
        <v>66</v>
      </c>
      <c r="V170" s="1" t="s">
        <v>67</v>
      </c>
      <c r="W170" s="1" t="s">
        <v>68</v>
      </c>
      <c r="Y170" s="1" t="s">
        <v>68</v>
      </c>
      <c r="AB170" s="1" t="s">
        <v>69</v>
      </c>
      <c r="AC170" s="1">
        <v>0</v>
      </c>
      <c r="AD170" s="1" t="s">
        <v>68</v>
      </c>
      <c r="AE170" s="1" t="s">
        <v>70</v>
      </c>
      <c r="AH170" s="1" t="s">
        <v>157</v>
      </c>
      <c r="AI170" s="1" t="s">
        <v>75</v>
      </c>
      <c r="AK170" s="1" t="s">
        <v>86</v>
      </c>
      <c r="AL170" s="1" t="s">
        <v>87</v>
      </c>
      <c r="AN170" s="1">
        <v>1</v>
      </c>
      <c r="AO170" s="1">
        <f t="shared" si="63"/>
        <v>1</v>
      </c>
    </row>
    <row r="171" spans="1:49" x14ac:dyDescent="0.4">
      <c r="A171" s="1">
        <v>1</v>
      </c>
      <c r="B171" s="1">
        <v>1</v>
      </c>
      <c r="C171" s="1" t="s">
        <v>119</v>
      </c>
      <c r="D171" s="2">
        <v>38797</v>
      </c>
      <c r="E171" s="1">
        <v>80</v>
      </c>
      <c r="F171" s="1">
        <v>5.5</v>
      </c>
      <c r="G171" s="3">
        <v>0.68436342592592592</v>
      </c>
      <c r="H171" s="3">
        <v>0.68442129629629633</v>
      </c>
      <c r="I171" s="3">
        <v>5.7870370370416424E-5</v>
      </c>
      <c r="J171" s="3">
        <v>5.7870370370416424E-5</v>
      </c>
      <c r="K171" s="5">
        <f t="shared" si="61"/>
        <v>5</v>
      </c>
      <c r="L171" s="3" t="s">
        <v>120</v>
      </c>
      <c r="N171" s="1" t="s">
        <v>42</v>
      </c>
      <c r="O171" s="1" t="s">
        <v>43</v>
      </c>
      <c r="P171" s="1" t="s">
        <v>172</v>
      </c>
      <c r="Q171" s="1" t="s">
        <v>76</v>
      </c>
      <c r="R171" s="1" t="s">
        <v>76</v>
      </c>
      <c r="S171" s="1" t="s">
        <v>46</v>
      </c>
      <c r="T171" s="1" t="s">
        <v>45</v>
      </c>
      <c r="U171" s="1" t="s">
        <v>66</v>
      </c>
      <c r="X171" s="1" t="s">
        <v>313</v>
      </c>
      <c r="AB171" s="1" t="s">
        <v>93</v>
      </c>
      <c r="AC171" s="1">
        <v>1</v>
      </c>
      <c r="AH171" s="1" t="s">
        <v>157</v>
      </c>
      <c r="AI171" s="1" t="s">
        <v>71</v>
      </c>
      <c r="AK171" s="1" t="s">
        <v>61</v>
      </c>
      <c r="AL171" s="1" t="s">
        <v>133</v>
      </c>
      <c r="AN171" s="1">
        <v>1</v>
      </c>
      <c r="AO171" s="1">
        <f t="shared" si="63"/>
        <v>1</v>
      </c>
    </row>
    <row r="172" spans="1:49" x14ac:dyDescent="0.4">
      <c r="A172" s="1">
        <v>1</v>
      </c>
      <c r="B172" s="1">
        <v>1</v>
      </c>
      <c r="C172" s="1" t="s">
        <v>119</v>
      </c>
      <c r="D172" s="2">
        <v>38803</v>
      </c>
      <c r="E172" s="1">
        <v>86</v>
      </c>
      <c r="F172" s="1">
        <v>2.5</v>
      </c>
      <c r="G172" s="3">
        <v>0.62734953703703711</v>
      </c>
      <c r="H172" s="3">
        <v>0.63062499999999999</v>
      </c>
      <c r="I172" s="3">
        <v>3.2754629629628829E-3</v>
      </c>
      <c r="J172" s="3">
        <v>3.2754629629628829E-3</v>
      </c>
      <c r="K172" s="5">
        <f t="shared" si="61"/>
        <v>283</v>
      </c>
      <c r="L172" s="3">
        <v>1.5300925925925912E-2</v>
      </c>
      <c r="N172" s="1" t="s">
        <v>42</v>
      </c>
      <c r="O172" s="1" t="s">
        <v>43</v>
      </c>
      <c r="P172" s="1" t="s">
        <v>172</v>
      </c>
      <c r="Q172" s="1" t="s">
        <v>76</v>
      </c>
      <c r="R172" s="1" t="s">
        <v>76</v>
      </c>
      <c r="S172" s="1" t="s">
        <v>46</v>
      </c>
      <c r="T172" s="1" t="s">
        <v>124</v>
      </c>
      <c r="U172" s="1" t="s">
        <v>92</v>
      </c>
      <c r="V172" s="1" t="s">
        <v>67</v>
      </c>
      <c r="W172" s="1" t="s">
        <v>68</v>
      </c>
      <c r="X172" s="1" t="s">
        <v>389</v>
      </c>
      <c r="Y172" s="1" t="s">
        <v>421</v>
      </c>
      <c r="AB172" s="1" t="s">
        <v>422</v>
      </c>
      <c r="AC172" s="1">
        <v>0</v>
      </c>
      <c r="AD172" s="1" t="s">
        <v>67</v>
      </c>
      <c r="AE172" s="1" t="s">
        <v>70</v>
      </c>
      <c r="AG172" s="1" t="s">
        <v>423</v>
      </c>
      <c r="AH172" s="1" t="s">
        <v>157</v>
      </c>
      <c r="AI172" s="1" t="s">
        <v>75</v>
      </c>
      <c r="AK172" s="1" t="s">
        <v>86</v>
      </c>
      <c r="AL172" s="1" t="s">
        <v>133</v>
      </c>
      <c r="AM172" s="1">
        <v>1</v>
      </c>
      <c r="AN172" s="1">
        <v>0</v>
      </c>
      <c r="AO172" s="1">
        <f t="shared" si="63"/>
        <v>1</v>
      </c>
    </row>
    <row r="173" spans="1:49" x14ac:dyDescent="0.4">
      <c r="A173" s="1">
        <v>1</v>
      </c>
      <c r="B173" s="1">
        <v>1</v>
      </c>
      <c r="C173" s="1" t="s">
        <v>119</v>
      </c>
      <c r="D173" s="2">
        <v>38803</v>
      </c>
      <c r="E173" s="1">
        <v>86</v>
      </c>
      <c r="F173" s="1">
        <v>2.75</v>
      </c>
      <c r="G173" s="3">
        <v>0.6459259259259259</v>
      </c>
      <c r="H173" s="3">
        <v>0.66059027777777779</v>
      </c>
      <c r="I173" s="3">
        <v>1.4664351851851887E-2</v>
      </c>
      <c r="J173" s="3">
        <v>1.4664351851851887E-2</v>
      </c>
      <c r="K173" s="5">
        <f t="shared" si="61"/>
        <v>1267</v>
      </c>
      <c r="L173" s="3">
        <v>5.3125000000000533E-3</v>
      </c>
      <c r="N173" s="1" t="s">
        <v>42</v>
      </c>
      <c r="O173" s="1" t="s">
        <v>43</v>
      </c>
      <c r="P173" s="1" t="s">
        <v>172</v>
      </c>
      <c r="Q173" s="1" t="s">
        <v>76</v>
      </c>
      <c r="R173" s="1" t="s">
        <v>76</v>
      </c>
      <c r="S173" s="1" t="s">
        <v>46</v>
      </c>
      <c r="T173" s="1" t="s">
        <v>124</v>
      </c>
      <c r="V173" s="1" t="s">
        <v>102</v>
      </c>
      <c r="W173" s="1" t="s">
        <v>103</v>
      </c>
      <c r="X173" s="1" t="s">
        <v>96</v>
      </c>
      <c r="AB173" s="1" t="s">
        <v>104</v>
      </c>
      <c r="AC173" s="1">
        <v>0</v>
      </c>
      <c r="AD173" s="1" t="s">
        <v>105</v>
      </c>
      <c r="AE173" s="1" t="s">
        <v>70</v>
      </c>
      <c r="AG173" s="1" t="s">
        <v>146</v>
      </c>
      <c r="AH173" s="1" t="s">
        <v>157</v>
      </c>
      <c r="AK173" s="1" t="s">
        <v>116</v>
      </c>
      <c r="AL173" s="1" t="s">
        <v>117</v>
      </c>
      <c r="AM173" s="1">
        <v>5</v>
      </c>
      <c r="AN173" s="1">
        <v>0</v>
      </c>
      <c r="AO173" s="1">
        <f t="shared" si="63"/>
        <v>5</v>
      </c>
    </row>
    <row r="174" spans="1:49" x14ac:dyDescent="0.4">
      <c r="A174" s="1">
        <v>1</v>
      </c>
      <c r="B174" s="1">
        <v>1</v>
      </c>
      <c r="C174" s="1" t="s">
        <v>119</v>
      </c>
      <c r="D174" s="2">
        <v>38814</v>
      </c>
      <c r="E174" s="1">
        <v>97</v>
      </c>
      <c r="F174" s="1">
        <v>2.5</v>
      </c>
      <c r="G174" s="3">
        <v>0.56655092592592593</v>
      </c>
      <c r="H174" s="3">
        <v>0.56726851851851856</v>
      </c>
      <c r="I174" s="3">
        <v>7.1759259259263075E-4</v>
      </c>
      <c r="J174" s="3">
        <v>7.1759259259263075E-4</v>
      </c>
      <c r="K174" s="5">
        <f t="shared" si="61"/>
        <v>62</v>
      </c>
      <c r="L174" s="3">
        <v>1.2476851851851878E-2</v>
      </c>
      <c r="N174" s="1" t="s">
        <v>75</v>
      </c>
      <c r="O174" s="1" t="s">
        <v>43</v>
      </c>
      <c r="P174" s="1" t="s">
        <v>210</v>
      </c>
      <c r="Q174" s="1" t="s">
        <v>45</v>
      </c>
      <c r="R174" s="1" t="s">
        <v>45</v>
      </c>
      <c r="S174" s="1" t="s">
        <v>46</v>
      </c>
      <c r="T174" s="1" t="s">
        <v>47</v>
      </c>
      <c r="U174" s="1" t="s">
        <v>66</v>
      </c>
      <c r="V174" s="1" t="s">
        <v>67</v>
      </c>
      <c r="W174" s="1" t="s">
        <v>68</v>
      </c>
      <c r="X174" s="1" t="s">
        <v>96</v>
      </c>
      <c r="Y174" s="1" t="s">
        <v>424</v>
      </c>
      <c r="AB174" s="1" t="s">
        <v>425</v>
      </c>
      <c r="AC174" s="1">
        <v>0</v>
      </c>
      <c r="AD174" s="1" t="s">
        <v>68</v>
      </c>
      <c r="AE174" s="1" t="s">
        <v>70</v>
      </c>
      <c r="AH174" s="1" t="s">
        <v>157</v>
      </c>
      <c r="AI174" s="1" t="s">
        <v>75</v>
      </c>
      <c r="AK174" s="1" t="s">
        <v>86</v>
      </c>
      <c r="AL174" s="1" t="s">
        <v>87</v>
      </c>
      <c r="AN174" s="1">
        <v>1</v>
      </c>
      <c r="AO174" s="1">
        <f t="shared" si="63"/>
        <v>1</v>
      </c>
    </row>
    <row r="175" spans="1:49" x14ac:dyDescent="0.4">
      <c r="A175" s="1">
        <v>1</v>
      </c>
      <c r="B175" s="1">
        <v>1</v>
      </c>
      <c r="C175" s="1" t="s">
        <v>119</v>
      </c>
      <c r="D175" s="2">
        <v>38825</v>
      </c>
      <c r="E175" s="1">
        <v>108</v>
      </c>
      <c r="F175" s="1">
        <v>3</v>
      </c>
      <c r="G175" s="3">
        <v>0.33836805555555555</v>
      </c>
      <c r="H175" s="3">
        <v>0.34519675925925924</v>
      </c>
      <c r="I175" s="3">
        <v>6.8287037037036979E-3</v>
      </c>
      <c r="J175" s="3">
        <v>6.8287037037036979E-3</v>
      </c>
      <c r="K175" s="5">
        <f t="shared" si="61"/>
        <v>590</v>
      </c>
      <c r="L175" s="3">
        <v>0.23293981481481479</v>
      </c>
      <c r="N175" s="1" t="s">
        <v>42</v>
      </c>
      <c r="O175" s="1" t="s">
        <v>43</v>
      </c>
      <c r="P175" s="1" t="s">
        <v>227</v>
      </c>
      <c r="Q175" s="1" t="s">
        <v>45</v>
      </c>
      <c r="R175" s="1" t="s">
        <v>45</v>
      </c>
      <c r="S175" s="1" t="s">
        <v>46</v>
      </c>
      <c r="T175" s="1" t="s">
        <v>45</v>
      </c>
      <c r="U175" s="1" t="s">
        <v>92</v>
      </c>
      <c r="V175" s="1" t="s">
        <v>49</v>
      </c>
      <c r="W175" s="1" t="s">
        <v>77</v>
      </c>
      <c r="X175" s="1" t="s">
        <v>194</v>
      </c>
      <c r="Y175" s="1" t="s">
        <v>79</v>
      </c>
      <c r="Z175" s="1" t="s">
        <v>195</v>
      </c>
      <c r="AA175" s="1" t="s">
        <v>196</v>
      </c>
      <c r="AB175" s="1" t="s">
        <v>197</v>
      </c>
      <c r="AC175" s="1">
        <v>0</v>
      </c>
      <c r="AD175" s="1" t="s">
        <v>56</v>
      </c>
      <c r="AE175" s="1" t="s">
        <v>83</v>
      </c>
      <c r="AG175" s="1" t="s">
        <v>426</v>
      </c>
      <c r="AH175" s="1" t="s">
        <v>115</v>
      </c>
      <c r="AI175" s="1" t="s">
        <v>75</v>
      </c>
      <c r="AK175" s="1" t="s">
        <v>116</v>
      </c>
      <c r="AL175" s="1" t="s">
        <v>174</v>
      </c>
      <c r="AM175" s="1">
        <v>1</v>
      </c>
      <c r="AN175" s="1">
        <v>0</v>
      </c>
      <c r="AO175" s="1">
        <f t="shared" si="63"/>
        <v>1</v>
      </c>
    </row>
    <row r="176" spans="1:49" x14ac:dyDescent="0.4">
      <c r="A176" s="1">
        <v>1</v>
      </c>
      <c r="B176" s="1">
        <v>1</v>
      </c>
      <c r="C176" s="1" t="s">
        <v>119</v>
      </c>
      <c r="D176" s="2">
        <v>38825</v>
      </c>
      <c r="E176" s="1">
        <v>108</v>
      </c>
      <c r="F176" s="1">
        <v>3.5</v>
      </c>
      <c r="G176" s="3">
        <v>0.57813657407407404</v>
      </c>
      <c r="H176" s="3">
        <v>0.57818287037037031</v>
      </c>
      <c r="I176" s="3">
        <v>4.6296296296266526E-5</v>
      </c>
      <c r="J176" s="3">
        <v>4.6296296296266526E-5</v>
      </c>
      <c r="K176" s="5">
        <f t="shared" si="61"/>
        <v>4</v>
      </c>
      <c r="L176" s="3">
        <v>1.1076388888888955E-2</v>
      </c>
      <c r="N176" s="1" t="s">
        <v>42</v>
      </c>
      <c r="O176" s="1" t="s">
        <v>43</v>
      </c>
      <c r="P176" s="1" t="s">
        <v>227</v>
      </c>
      <c r="Q176" s="1" t="s">
        <v>76</v>
      </c>
      <c r="R176" s="1" t="s">
        <v>76</v>
      </c>
      <c r="S176" s="1" t="s">
        <v>46</v>
      </c>
      <c r="AB176" s="1" t="s">
        <v>93</v>
      </c>
      <c r="AC176" s="1">
        <v>1</v>
      </c>
      <c r="AK176" s="1" t="s">
        <v>61</v>
      </c>
      <c r="AL176" s="1" t="s">
        <v>72</v>
      </c>
      <c r="AN176" s="1">
        <v>1</v>
      </c>
      <c r="AO176" s="1">
        <f t="shared" si="63"/>
        <v>1</v>
      </c>
    </row>
    <row r="177" spans="1:41" x14ac:dyDescent="0.4">
      <c r="A177" s="1">
        <v>1</v>
      </c>
      <c r="B177" s="1">
        <v>1</v>
      </c>
      <c r="C177" s="1" t="s">
        <v>119</v>
      </c>
      <c r="D177" s="2">
        <v>38835</v>
      </c>
      <c r="E177" s="1">
        <v>118</v>
      </c>
      <c r="F177" s="1">
        <v>2</v>
      </c>
      <c r="G177" s="3">
        <v>0.33831018518518513</v>
      </c>
      <c r="H177" s="3">
        <v>0.34221064814814817</v>
      </c>
      <c r="I177" s="3">
        <v>3.9004629629630361E-3</v>
      </c>
      <c r="J177" s="3">
        <v>3.1944444444444997E-3</v>
      </c>
      <c r="K177" s="5">
        <f t="shared" si="61"/>
        <v>276</v>
      </c>
      <c r="L177" s="3">
        <v>6.7442129629629644E-2</v>
      </c>
      <c r="N177" s="1" t="s">
        <v>42</v>
      </c>
      <c r="O177" s="1" t="s">
        <v>43</v>
      </c>
      <c r="P177" s="1" t="s">
        <v>227</v>
      </c>
      <c r="Q177" s="1" t="s">
        <v>76</v>
      </c>
      <c r="R177" s="1" t="s">
        <v>76</v>
      </c>
      <c r="S177" s="1" t="s">
        <v>46</v>
      </c>
      <c r="T177" s="1" t="s">
        <v>45</v>
      </c>
      <c r="U177" s="1" t="s">
        <v>156</v>
      </c>
      <c r="V177" s="1" t="s">
        <v>49</v>
      </c>
      <c r="W177" s="1" t="s">
        <v>140</v>
      </c>
      <c r="X177" s="1" t="s">
        <v>177</v>
      </c>
      <c r="Y177" s="1" t="s">
        <v>239</v>
      </c>
      <c r="Z177" s="1" t="s">
        <v>240</v>
      </c>
      <c r="AA177" s="1" t="s">
        <v>241</v>
      </c>
      <c r="AB177" s="1" t="s">
        <v>242</v>
      </c>
      <c r="AC177" s="1">
        <v>0</v>
      </c>
      <c r="AD177" s="1" t="s">
        <v>105</v>
      </c>
      <c r="AE177" s="1" t="s">
        <v>181</v>
      </c>
      <c r="AG177" s="1" t="s">
        <v>427</v>
      </c>
      <c r="AH177" s="1" t="s">
        <v>115</v>
      </c>
      <c r="AI177" s="1" t="s">
        <v>75</v>
      </c>
      <c r="AK177" s="1" t="s">
        <v>86</v>
      </c>
      <c r="AL177" s="1" t="s">
        <v>87</v>
      </c>
      <c r="AM177" s="1">
        <v>1</v>
      </c>
      <c r="AN177" s="1">
        <v>0</v>
      </c>
      <c r="AO177" s="1">
        <f t="shared" si="63"/>
        <v>1</v>
      </c>
    </row>
    <row r="178" spans="1:41" x14ac:dyDescent="0.4">
      <c r="A178" s="1">
        <v>1</v>
      </c>
      <c r="B178" s="1">
        <v>1</v>
      </c>
      <c r="C178" s="1" t="s">
        <v>119</v>
      </c>
      <c r="D178" s="2">
        <v>38835</v>
      </c>
      <c r="E178" s="1">
        <v>118</v>
      </c>
      <c r="F178" s="1">
        <v>5</v>
      </c>
      <c r="G178" s="3">
        <v>0.43506944444444445</v>
      </c>
      <c r="H178" s="3">
        <v>0.43844907407407407</v>
      </c>
      <c r="I178" s="3">
        <v>3.3796296296296213E-3</v>
      </c>
      <c r="J178" s="3">
        <v>3.3796296296296213E-3</v>
      </c>
      <c r="K178" s="5">
        <f t="shared" si="61"/>
        <v>292</v>
      </c>
      <c r="L178" s="3">
        <v>7.0162037037037051E-2</v>
      </c>
      <c r="N178" s="1" t="s">
        <v>251</v>
      </c>
      <c r="O178" s="1" t="s">
        <v>43</v>
      </c>
      <c r="P178" s="1" t="s">
        <v>227</v>
      </c>
      <c r="Q178" s="1" t="s">
        <v>76</v>
      </c>
      <c r="S178" s="1" t="s">
        <v>46</v>
      </c>
      <c r="T178" s="1" t="s">
        <v>45</v>
      </c>
      <c r="U178" s="1" t="s">
        <v>66</v>
      </c>
      <c r="V178" s="1" t="s">
        <v>102</v>
      </c>
      <c r="W178" s="1" t="s">
        <v>184</v>
      </c>
      <c r="X178" s="1" t="s">
        <v>96</v>
      </c>
      <c r="Y178" s="1" t="s">
        <v>415</v>
      </c>
      <c r="Z178" s="1" t="s">
        <v>416</v>
      </c>
      <c r="AA178" s="1">
        <v>44</v>
      </c>
      <c r="AB178" s="1" t="s">
        <v>417</v>
      </c>
      <c r="AC178" s="1">
        <v>0</v>
      </c>
      <c r="AD178" s="1" t="s">
        <v>105</v>
      </c>
      <c r="AE178" s="1" t="s">
        <v>70</v>
      </c>
      <c r="AG178" s="1" t="s">
        <v>428</v>
      </c>
      <c r="AH178" s="1" t="s">
        <v>157</v>
      </c>
      <c r="AI178" s="1" t="s">
        <v>257</v>
      </c>
      <c r="AK178" s="1" t="s">
        <v>86</v>
      </c>
      <c r="AL178" s="1" t="s">
        <v>87</v>
      </c>
      <c r="AM178" s="1">
        <v>1</v>
      </c>
      <c r="AN178" s="1">
        <v>0</v>
      </c>
      <c r="AO178" s="1">
        <f t="shared" si="63"/>
        <v>1</v>
      </c>
    </row>
    <row r="179" spans="1:41" x14ac:dyDescent="0.4">
      <c r="A179" s="1">
        <v>1</v>
      </c>
      <c r="B179" s="1">
        <v>1</v>
      </c>
      <c r="C179" s="1" t="s">
        <v>119</v>
      </c>
      <c r="D179" s="2">
        <v>38835</v>
      </c>
      <c r="E179" s="1">
        <v>118</v>
      </c>
      <c r="F179" s="1">
        <v>7</v>
      </c>
      <c r="G179" s="3">
        <v>0.50861111111111112</v>
      </c>
      <c r="H179" s="3">
        <v>0.51717592592592598</v>
      </c>
      <c r="I179" s="3">
        <v>8.5648148148148584E-3</v>
      </c>
      <c r="J179" s="3">
        <v>8.5648148148148584E-3</v>
      </c>
      <c r="K179" s="5">
        <f t="shared" si="61"/>
        <v>740</v>
      </c>
      <c r="L179" s="3">
        <v>2.0520833333333321E-2</v>
      </c>
      <c r="N179" s="1" t="s">
        <v>251</v>
      </c>
      <c r="O179" s="1" t="s">
        <v>43</v>
      </c>
      <c r="P179" s="1" t="s">
        <v>227</v>
      </c>
      <c r="Q179" s="1" t="s">
        <v>132</v>
      </c>
      <c r="R179" s="1" t="s">
        <v>132</v>
      </c>
      <c r="S179" s="1" t="s">
        <v>46</v>
      </c>
      <c r="T179" s="1" t="s">
        <v>47</v>
      </c>
      <c r="U179" s="1" t="s">
        <v>156</v>
      </c>
      <c r="V179" s="1" t="s">
        <v>102</v>
      </c>
      <c r="W179" s="1" t="s">
        <v>184</v>
      </c>
      <c r="X179" s="1" t="s">
        <v>96</v>
      </c>
      <c r="Y179" s="1" t="s">
        <v>415</v>
      </c>
      <c r="Z179" s="1" t="s">
        <v>416</v>
      </c>
      <c r="AA179" s="1">
        <v>44</v>
      </c>
      <c r="AB179" s="1" t="s">
        <v>417</v>
      </c>
      <c r="AC179" s="1">
        <v>0</v>
      </c>
      <c r="AD179" s="1" t="s">
        <v>105</v>
      </c>
      <c r="AE179" s="1" t="s">
        <v>70</v>
      </c>
      <c r="AG179" s="1" t="s">
        <v>429</v>
      </c>
      <c r="AH179" s="1" t="s">
        <v>157</v>
      </c>
      <c r="AI179" s="1" t="s">
        <v>255</v>
      </c>
      <c r="AK179" s="1" t="s">
        <v>86</v>
      </c>
      <c r="AL179" s="1" t="s">
        <v>87</v>
      </c>
      <c r="AM179" s="1">
        <v>1</v>
      </c>
      <c r="AN179" s="1">
        <v>0</v>
      </c>
      <c r="AO179" s="1">
        <f t="shared" si="63"/>
        <v>1</v>
      </c>
    </row>
    <row r="180" spans="1:41" x14ac:dyDescent="0.4">
      <c r="A180" s="1">
        <v>1</v>
      </c>
      <c r="B180" s="1">
        <v>1</v>
      </c>
      <c r="C180" s="1" t="s">
        <v>119</v>
      </c>
      <c r="D180" s="2">
        <v>38835</v>
      </c>
      <c r="E180" s="1">
        <v>118</v>
      </c>
      <c r="F180" s="1">
        <v>9</v>
      </c>
      <c r="G180" s="3">
        <v>0.57168981481481485</v>
      </c>
      <c r="H180" s="3">
        <v>0.57305555555555554</v>
      </c>
      <c r="I180" s="3">
        <v>1.3657407407406952E-3</v>
      </c>
      <c r="J180" s="3">
        <v>1.3657407407406952E-3</v>
      </c>
      <c r="K180" s="5">
        <f t="shared" si="61"/>
        <v>118</v>
      </c>
      <c r="L180" s="3">
        <v>1.6249999999999987E-2</v>
      </c>
      <c r="N180" s="1" t="s">
        <v>42</v>
      </c>
      <c r="O180" s="1" t="s">
        <v>43</v>
      </c>
      <c r="P180" s="1" t="s">
        <v>227</v>
      </c>
      <c r="Q180" s="1" t="s">
        <v>76</v>
      </c>
      <c r="R180" s="1" t="s">
        <v>76</v>
      </c>
      <c r="S180" s="1" t="s">
        <v>46</v>
      </c>
      <c r="T180" s="1" t="s">
        <v>47</v>
      </c>
      <c r="U180" s="1" t="s">
        <v>156</v>
      </c>
      <c r="V180" s="1" t="s">
        <v>297</v>
      </c>
      <c r="W180" s="1" t="s">
        <v>167</v>
      </c>
      <c r="X180" s="1" t="s">
        <v>430</v>
      </c>
      <c r="Y180" s="1" t="s">
        <v>52</v>
      </c>
      <c r="Z180" s="1">
        <v>16</v>
      </c>
      <c r="AB180" s="1" t="s">
        <v>431</v>
      </c>
      <c r="AC180" s="1">
        <v>0</v>
      </c>
      <c r="AD180" s="1" t="s">
        <v>105</v>
      </c>
      <c r="AE180" s="1" t="s">
        <v>181</v>
      </c>
      <c r="AG180" s="1" t="s">
        <v>432</v>
      </c>
      <c r="AH180" s="1" t="s">
        <v>157</v>
      </c>
      <c r="AI180" s="1" t="s">
        <v>75</v>
      </c>
      <c r="AK180" s="1" t="s">
        <v>86</v>
      </c>
      <c r="AL180" s="1" t="s">
        <v>133</v>
      </c>
      <c r="AM180" s="1">
        <v>1</v>
      </c>
      <c r="AN180" s="1">
        <v>0</v>
      </c>
      <c r="AO180" s="1">
        <f t="shared" si="63"/>
        <v>1</v>
      </c>
    </row>
    <row r="181" spans="1:41" x14ac:dyDescent="0.4">
      <c r="A181" s="1">
        <v>1</v>
      </c>
      <c r="B181" s="1">
        <v>1</v>
      </c>
      <c r="C181" s="1" t="s">
        <v>119</v>
      </c>
      <c r="D181" s="2">
        <v>38835</v>
      </c>
      <c r="E181" s="1">
        <v>118</v>
      </c>
      <c r="F181" s="1">
        <v>12</v>
      </c>
      <c r="G181" s="3">
        <v>0.62349537037037039</v>
      </c>
      <c r="H181" s="3">
        <v>0.62952546296296297</v>
      </c>
      <c r="I181" s="3">
        <v>6.030092592592573E-3</v>
      </c>
      <c r="J181" s="3">
        <v>6.030092592592573E-3</v>
      </c>
      <c r="K181" s="5">
        <f t="shared" si="61"/>
        <v>521</v>
      </c>
      <c r="L181" s="3" t="s">
        <v>120</v>
      </c>
      <c r="N181" s="1" t="s">
        <v>42</v>
      </c>
      <c r="O181" s="1" t="s">
        <v>43</v>
      </c>
      <c r="P181" s="1" t="s">
        <v>227</v>
      </c>
      <c r="Q181" s="1" t="s">
        <v>45</v>
      </c>
      <c r="R181" s="1" t="s">
        <v>45</v>
      </c>
      <c r="S181" s="1" t="s">
        <v>46</v>
      </c>
      <c r="T181" s="1" t="s">
        <v>47</v>
      </c>
      <c r="U181" s="1" t="s">
        <v>156</v>
      </c>
      <c r="V181" s="1" t="s">
        <v>49</v>
      </c>
      <c r="W181" s="1" t="s">
        <v>77</v>
      </c>
      <c r="X181" s="1" t="s">
        <v>177</v>
      </c>
      <c r="Y181" s="1" t="s">
        <v>239</v>
      </c>
      <c r="Z181" s="1" t="s">
        <v>240</v>
      </c>
      <c r="AA181" s="1" t="s">
        <v>241</v>
      </c>
      <c r="AB181" s="1" t="s">
        <v>242</v>
      </c>
      <c r="AC181" s="1">
        <v>0</v>
      </c>
      <c r="AD181" s="1" t="s">
        <v>105</v>
      </c>
      <c r="AE181" s="1" t="s">
        <v>181</v>
      </c>
      <c r="AG181" s="1" t="s">
        <v>284</v>
      </c>
      <c r="AH181" s="1" t="s">
        <v>115</v>
      </c>
      <c r="AI181" s="1" t="s">
        <v>75</v>
      </c>
      <c r="AK181" s="1" t="s">
        <v>86</v>
      </c>
      <c r="AL181" s="1" t="s">
        <v>87</v>
      </c>
      <c r="AM181" s="1">
        <v>2</v>
      </c>
      <c r="AN181" s="1">
        <v>0</v>
      </c>
      <c r="AO181" s="1">
        <f t="shared" si="63"/>
        <v>2</v>
      </c>
    </row>
    <row r="182" spans="1:41" x14ac:dyDescent="0.4">
      <c r="A182" s="1">
        <v>1</v>
      </c>
      <c r="B182" s="1">
        <v>1</v>
      </c>
      <c r="C182" s="1" t="s">
        <v>119</v>
      </c>
      <c r="D182" s="2">
        <v>38852</v>
      </c>
      <c r="E182" s="1">
        <v>135</v>
      </c>
      <c r="F182" s="1">
        <v>2</v>
      </c>
      <c r="G182" s="3">
        <v>0.36349537037037033</v>
      </c>
      <c r="H182" s="3">
        <v>0.36525462962962968</v>
      </c>
      <c r="I182" s="3">
        <v>1.7592592592593492E-3</v>
      </c>
      <c r="J182" s="3">
        <v>1.7592592592593492E-3</v>
      </c>
      <c r="K182" s="5">
        <f t="shared" si="61"/>
        <v>152</v>
      </c>
      <c r="L182" s="3">
        <v>7.2245370370370321E-2</v>
      </c>
      <c r="N182" s="1" t="s">
        <v>42</v>
      </c>
      <c r="O182" s="1" t="s">
        <v>286</v>
      </c>
      <c r="P182" s="1" t="s">
        <v>227</v>
      </c>
      <c r="Q182" s="1" t="s">
        <v>45</v>
      </c>
      <c r="R182" s="1" t="s">
        <v>76</v>
      </c>
      <c r="S182" s="1" t="s">
        <v>46</v>
      </c>
      <c r="T182" s="1" t="s">
        <v>45</v>
      </c>
      <c r="U182" s="1" t="s">
        <v>66</v>
      </c>
      <c r="V182" s="1" t="s">
        <v>102</v>
      </c>
      <c r="W182" s="1" t="s">
        <v>433</v>
      </c>
      <c r="X182" s="1" t="s">
        <v>434</v>
      </c>
      <c r="Y182" s="1" t="s">
        <v>435</v>
      </c>
      <c r="Z182" s="1" t="s">
        <v>436</v>
      </c>
      <c r="AA182" s="1">
        <v>71</v>
      </c>
      <c r="AB182" s="1" t="s">
        <v>437</v>
      </c>
      <c r="AC182" s="1">
        <v>0</v>
      </c>
      <c r="AD182" s="1" t="s">
        <v>56</v>
      </c>
      <c r="AE182" s="1" t="s">
        <v>70</v>
      </c>
      <c r="AG182" s="1" t="s">
        <v>438</v>
      </c>
      <c r="AH182" s="1" t="s">
        <v>157</v>
      </c>
      <c r="AI182" s="1" t="s">
        <v>71</v>
      </c>
      <c r="AK182" s="1" t="s">
        <v>61</v>
      </c>
      <c r="AL182" s="1" t="s">
        <v>61</v>
      </c>
      <c r="AM182" s="1">
        <v>1</v>
      </c>
      <c r="AN182" s="1">
        <v>0</v>
      </c>
      <c r="AO182" s="1">
        <f t="shared" si="63"/>
        <v>1</v>
      </c>
    </row>
    <row r="183" spans="1:41" x14ac:dyDescent="0.4">
      <c r="A183" s="1">
        <v>1</v>
      </c>
      <c r="B183" s="1">
        <v>1</v>
      </c>
      <c r="C183" s="1" t="s">
        <v>119</v>
      </c>
      <c r="D183" s="2">
        <v>38852</v>
      </c>
      <c r="E183" s="1">
        <v>135</v>
      </c>
      <c r="F183" s="1">
        <v>3</v>
      </c>
      <c r="G183" s="3">
        <v>0.4375</v>
      </c>
      <c r="H183" s="3">
        <v>0.44210648148148146</v>
      </c>
      <c r="I183" s="3">
        <v>4.6064814814814614E-3</v>
      </c>
      <c r="J183" s="3">
        <v>4.6064814814814614E-3</v>
      </c>
      <c r="K183" s="5">
        <f t="shared" si="61"/>
        <v>398</v>
      </c>
      <c r="L183" s="3">
        <v>2.4409722222222208E-2</v>
      </c>
      <c r="N183" s="1" t="s">
        <v>42</v>
      </c>
      <c r="O183" s="1" t="s">
        <v>286</v>
      </c>
      <c r="P183" s="1" t="s">
        <v>227</v>
      </c>
      <c r="Q183" s="1" t="s">
        <v>45</v>
      </c>
      <c r="R183" s="1" t="s">
        <v>76</v>
      </c>
      <c r="S183" s="1" t="s">
        <v>46</v>
      </c>
      <c r="T183" s="1" t="s">
        <v>47</v>
      </c>
      <c r="U183" s="1" t="s">
        <v>156</v>
      </c>
      <c r="V183" s="1" t="s">
        <v>49</v>
      </c>
      <c r="W183" s="1" t="s">
        <v>439</v>
      </c>
      <c r="X183" s="1" t="s">
        <v>440</v>
      </c>
      <c r="Y183" s="1" t="s">
        <v>441</v>
      </c>
      <c r="Z183" s="1" t="s">
        <v>442</v>
      </c>
      <c r="AA183" s="1" t="s">
        <v>443</v>
      </c>
      <c r="AB183" s="1" t="s">
        <v>444</v>
      </c>
      <c r="AC183" s="1">
        <v>0</v>
      </c>
      <c r="AD183" s="1" t="s">
        <v>56</v>
      </c>
      <c r="AE183" s="1" t="s">
        <v>83</v>
      </c>
      <c r="AG183" s="1" t="s">
        <v>445</v>
      </c>
      <c r="AH183" s="1" t="s">
        <v>115</v>
      </c>
      <c r="AI183" s="1" t="s">
        <v>75</v>
      </c>
      <c r="AK183" s="1" t="s">
        <v>86</v>
      </c>
      <c r="AL183" s="1" t="s">
        <v>86</v>
      </c>
      <c r="AM183" s="1">
        <v>1</v>
      </c>
      <c r="AN183" s="1">
        <v>0</v>
      </c>
      <c r="AO183" s="1">
        <f t="shared" si="63"/>
        <v>1</v>
      </c>
    </row>
    <row r="184" spans="1:41" x14ac:dyDescent="0.4">
      <c r="A184" s="1">
        <v>1</v>
      </c>
      <c r="B184" s="1">
        <v>1</v>
      </c>
      <c r="C184" s="1" t="s">
        <v>119</v>
      </c>
      <c r="D184" s="2">
        <v>38852</v>
      </c>
      <c r="E184" s="1">
        <v>135</v>
      </c>
      <c r="F184" s="1">
        <v>5</v>
      </c>
      <c r="G184" s="3">
        <v>0.46651620370370367</v>
      </c>
      <c r="H184" s="3">
        <v>0.47106481481481483</v>
      </c>
      <c r="I184" s="3">
        <v>4.548611111111156E-3</v>
      </c>
      <c r="J184" s="3">
        <v>4.548611111111156E-3</v>
      </c>
      <c r="K184" s="5">
        <f t="shared" si="61"/>
        <v>393</v>
      </c>
      <c r="L184" s="3">
        <v>0.12451388888888887</v>
      </c>
      <c r="N184" s="1" t="s">
        <v>251</v>
      </c>
      <c r="O184" s="1" t="s">
        <v>286</v>
      </c>
      <c r="P184" s="1" t="s">
        <v>227</v>
      </c>
      <c r="Q184" s="1" t="s">
        <v>76</v>
      </c>
      <c r="R184" s="1" t="s">
        <v>45</v>
      </c>
      <c r="S184" s="1" t="s">
        <v>46</v>
      </c>
      <c r="T184" s="1" t="s">
        <v>47</v>
      </c>
      <c r="U184" s="1" t="s">
        <v>156</v>
      </c>
      <c r="V184" s="1" t="s">
        <v>49</v>
      </c>
      <c r="W184" s="1" t="s">
        <v>77</v>
      </c>
      <c r="X184" s="1" t="s">
        <v>275</v>
      </c>
      <c r="Y184" s="1" t="s">
        <v>276</v>
      </c>
      <c r="Z184" s="1" t="s">
        <v>277</v>
      </c>
      <c r="AA184" s="1" t="s">
        <v>278</v>
      </c>
      <c r="AB184" s="1" t="s">
        <v>279</v>
      </c>
      <c r="AC184" s="1">
        <v>0</v>
      </c>
      <c r="AD184" s="1" t="s">
        <v>56</v>
      </c>
      <c r="AE184" s="1" t="s">
        <v>57</v>
      </c>
      <c r="AG184" s="1" t="s">
        <v>446</v>
      </c>
      <c r="AH184" s="1" t="s">
        <v>115</v>
      </c>
      <c r="AI184" s="1" t="s">
        <v>255</v>
      </c>
      <c r="AK184" s="1" t="s">
        <v>86</v>
      </c>
      <c r="AL184" s="1" t="s">
        <v>187</v>
      </c>
      <c r="AM184" s="1">
        <v>1</v>
      </c>
      <c r="AN184" s="1">
        <v>0</v>
      </c>
      <c r="AO184" s="1">
        <f t="shared" si="63"/>
        <v>1</v>
      </c>
    </row>
    <row r="185" spans="1:41" x14ac:dyDescent="0.4">
      <c r="A185" s="1">
        <v>1</v>
      </c>
      <c r="B185" s="1">
        <v>1</v>
      </c>
      <c r="C185" s="1" t="s">
        <v>119</v>
      </c>
      <c r="D185" s="2">
        <v>38924</v>
      </c>
      <c r="E185" s="1">
        <v>207</v>
      </c>
      <c r="F185" s="1">
        <v>3</v>
      </c>
      <c r="G185" s="3">
        <v>0.34839120370370374</v>
      </c>
      <c r="H185" s="3">
        <v>0.35291666666666671</v>
      </c>
      <c r="I185" s="3">
        <v>4.5254629629629672E-3</v>
      </c>
      <c r="J185" s="3">
        <v>3.8541666666666585E-3</v>
      </c>
      <c r="K185" s="5">
        <f t="shared" si="61"/>
        <v>333</v>
      </c>
      <c r="L185" s="3">
        <v>2.8599537037036993E-2</v>
      </c>
      <c r="N185" s="1" t="s">
        <v>42</v>
      </c>
      <c r="O185" s="1" t="s">
        <v>286</v>
      </c>
      <c r="P185" s="1" t="s">
        <v>227</v>
      </c>
      <c r="Q185" s="1" t="s">
        <v>76</v>
      </c>
      <c r="R185" s="1" t="s">
        <v>76</v>
      </c>
      <c r="S185" s="1" t="s">
        <v>46</v>
      </c>
      <c r="T185" s="1" t="s">
        <v>124</v>
      </c>
      <c r="U185" s="1" t="s">
        <v>66</v>
      </c>
      <c r="V185" s="1" t="s">
        <v>49</v>
      </c>
      <c r="W185" s="1" t="s">
        <v>268</v>
      </c>
      <c r="X185" s="1" t="s">
        <v>316</v>
      </c>
      <c r="Y185" s="1" t="s">
        <v>52</v>
      </c>
      <c r="Z185" s="1" t="s">
        <v>317</v>
      </c>
      <c r="AA185" s="1">
        <v>1</v>
      </c>
      <c r="AB185" s="1" t="s">
        <v>318</v>
      </c>
      <c r="AC185" s="1">
        <v>0</v>
      </c>
      <c r="AD185" s="1" t="s">
        <v>105</v>
      </c>
      <c r="AE185" s="1" t="s">
        <v>57</v>
      </c>
      <c r="AG185" s="1" t="s">
        <v>352</v>
      </c>
      <c r="AH185" s="1" t="s">
        <v>165</v>
      </c>
      <c r="AI185" s="1" t="s">
        <v>71</v>
      </c>
      <c r="AK185" s="1" t="s">
        <v>86</v>
      </c>
      <c r="AL185" s="1" t="s">
        <v>133</v>
      </c>
      <c r="AM185" s="1">
        <v>4</v>
      </c>
      <c r="AN185" s="1">
        <v>0</v>
      </c>
      <c r="AO185" s="1">
        <f t="shared" si="63"/>
        <v>4</v>
      </c>
    </row>
    <row r="186" spans="1:41" x14ac:dyDescent="0.4">
      <c r="A186" s="1">
        <v>1</v>
      </c>
      <c r="B186" s="1">
        <v>1</v>
      </c>
      <c r="C186" s="1" t="s">
        <v>119</v>
      </c>
      <c r="D186" s="2">
        <v>38924</v>
      </c>
      <c r="E186" s="1">
        <v>207</v>
      </c>
      <c r="F186" s="1">
        <v>4</v>
      </c>
      <c r="G186" s="3">
        <v>0.3815162037037037</v>
      </c>
      <c r="H186" s="3">
        <v>0.38378472222222221</v>
      </c>
      <c r="I186" s="3">
        <v>2.2685185185185031E-3</v>
      </c>
      <c r="J186" s="3">
        <v>2.2685185185185031E-3</v>
      </c>
      <c r="K186" s="5">
        <f t="shared" si="61"/>
        <v>196</v>
      </c>
      <c r="L186" s="3">
        <v>9.5300925925925983E-2</v>
      </c>
      <c r="N186" s="1" t="s">
        <v>42</v>
      </c>
      <c r="O186" s="1" t="s">
        <v>286</v>
      </c>
      <c r="P186" s="1" t="s">
        <v>227</v>
      </c>
      <c r="Q186" s="1" t="s">
        <v>45</v>
      </c>
      <c r="R186" s="1" t="s">
        <v>45</v>
      </c>
      <c r="S186" s="1" t="s">
        <v>46</v>
      </c>
      <c r="T186" s="1" t="s">
        <v>45</v>
      </c>
      <c r="U186" s="1" t="s">
        <v>48</v>
      </c>
      <c r="V186" s="1" t="s">
        <v>102</v>
      </c>
      <c r="W186" s="1" t="s">
        <v>184</v>
      </c>
      <c r="X186" s="1" t="s">
        <v>96</v>
      </c>
      <c r="Y186" s="1" t="s">
        <v>415</v>
      </c>
      <c r="Z186" s="1" t="s">
        <v>416</v>
      </c>
      <c r="AA186" s="1">
        <v>44</v>
      </c>
      <c r="AB186" s="1" t="s">
        <v>417</v>
      </c>
      <c r="AC186" s="1">
        <v>0</v>
      </c>
      <c r="AD186" s="1" t="s">
        <v>105</v>
      </c>
      <c r="AE186" s="1" t="s">
        <v>70</v>
      </c>
      <c r="AG186" s="1" t="s">
        <v>146</v>
      </c>
      <c r="AH186" s="1" t="s">
        <v>157</v>
      </c>
      <c r="AI186" s="1" t="s">
        <v>60</v>
      </c>
      <c r="AK186" s="1" t="s">
        <v>86</v>
      </c>
      <c r="AL186" s="1" t="s">
        <v>133</v>
      </c>
      <c r="AM186" s="1">
        <v>5</v>
      </c>
      <c r="AN186" s="1">
        <v>0</v>
      </c>
      <c r="AO186" s="1">
        <f t="shared" si="63"/>
        <v>5</v>
      </c>
    </row>
    <row r="187" spans="1:41" x14ac:dyDescent="0.4">
      <c r="A187" s="1">
        <v>1</v>
      </c>
      <c r="B187" s="1">
        <v>1</v>
      </c>
      <c r="C187" s="1" t="s">
        <v>119</v>
      </c>
      <c r="D187" s="2">
        <v>38924</v>
      </c>
      <c r="E187" s="1">
        <v>207</v>
      </c>
      <c r="F187" s="1">
        <v>9.5</v>
      </c>
      <c r="G187" s="3">
        <v>0.67596064814814805</v>
      </c>
      <c r="H187" s="3">
        <v>0.67626157407407417</v>
      </c>
      <c r="I187" s="3">
        <v>3.00925925926121E-4</v>
      </c>
      <c r="J187" s="3">
        <v>3.00925925926121E-4</v>
      </c>
      <c r="K187" s="5">
        <f t="shared" si="61"/>
        <v>26</v>
      </c>
      <c r="L187" s="3">
        <v>4.4560185185185119E-3</v>
      </c>
      <c r="N187" s="1" t="s">
        <v>42</v>
      </c>
      <c r="O187" s="1" t="s">
        <v>286</v>
      </c>
      <c r="P187" s="1" t="s">
        <v>227</v>
      </c>
      <c r="Q187" s="1" t="s">
        <v>76</v>
      </c>
      <c r="R187" s="1" t="s">
        <v>76</v>
      </c>
      <c r="S187" s="1" t="s">
        <v>46</v>
      </c>
      <c r="T187" s="1" t="s">
        <v>47</v>
      </c>
      <c r="U187" s="1" t="s">
        <v>156</v>
      </c>
      <c r="AB187" s="1" t="s">
        <v>93</v>
      </c>
      <c r="AC187" s="1">
        <v>1</v>
      </c>
      <c r="AG187" s="1" t="s">
        <v>330</v>
      </c>
      <c r="AI187" s="1" t="s">
        <v>75</v>
      </c>
      <c r="AK187" s="1" t="s">
        <v>86</v>
      </c>
      <c r="AL187" s="1" t="s">
        <v>133</v>
      </c>
      <c r="AM187" s="1">
        <v>2</v>
      </c>
      <c r="AN187" s="1">
        <v>0</v>
      </c>
      <c r="AO187" s="1">
        <f t="shared" si="63"/>
        <v>2</v>
      </c>
    </row>
    <row r="188" spans="1:41" x14ac:dyDescent="0.4">
      <c r="A188" s="1">
        <v>1</v>
      </c>
      <c r="B188" s="1">
        <v>1</v>
      </c>
      <c r="C188" s="1" t="s">
        <v>119</v>
      </c>
      <c r="D188" s="2">
        <v>38924</v>
      </c>
      <c r="E188" s="1">
        <v>207</v>
      </c>
      <c r="F188" s="1">
        <v>10</v>
      </c>
      <c r="G188" s="3">
        <v>0.68071759259259268</v>
      </c>
      <c r="H188" s="3">
        <v>0.6830208333333333</v>
      </c>
      <c r="I188" s="3">
        <v>2.3032407407406197E-3</v>
      </c>
      <c r="J188" s="3">
        <v>2.3032407407406197E-3</v>
      </c>
      <c r="K188" s="5">
        <f t="shared" si="61"/>
        <v>199</v>
      </c>
      <c r="L188" s="3" t="s">
        <v>120</v>
      </c>
      <c r="N188" s="1" t="s">
        <v>42</v>
      </c>
      <c r="O188" s="1" t="s">
        <v>286</v>
      </c>
      <c r="P188" s="1" t="s">
        <v>227</v>
      </c>
      <c r="Q188" s="1" t="s">
        <v>76</v>
      </c>
      <c r="R188" s="1" t="s">
        <v>76</v>
      </c>
      <c r="S188" s="1" t="s">
        <v>46</v>
      </c>
      <c r="T188" s="1" t="s">
        <v>47</v>
      </c>
      <c r="U188" s="1" t="s">
        <v>156</v>
      </c>
      <c r="V188" s="1" t="s">
        <v>49</v>
      </c>
      <c r="W188" s="1" t="s">
        <v>50</v>
      </c>
      <c r="X188" s="1" t="s">
        <v>405</v>
      </c>
      <c r="Y188" s="1" t="s">
        <v>406</v>
      </c>
      <c r="Z188" s="1" t="s">
        <v>407</v>
      </c>
      <c r="AA188" s="1" t="s">
        <v>408</v>
      </c>
      <c r="AB188" s="1" t="s">
        <v>409</v>
      </c>
      <c r="AC188" s="1">
        <v>0</v>
      </c>
      <c r="AD188" s="1" t="s">
        <v>105</v>
      </c>
      <c r="AE188" s="1" t="s">
        <v>181</v>
      </c>
      <c r="AG188" s="1" t="s">
        <v>447</v>
      </c>
      <c r="AH188" s="1" t="s">
        <v>59</v>
      </c>
      <c r="AI188" s="1" t="s">
        <v>75</v>
      </c>
      <c r="AK188" s="1" t="s">
        <v>86</v>
      </c>
      <c r="AL188" s="1" t="s">
        <v>87</v>
      </c>
      <c r="AM188" s="1">
        <v>1</v>
      </c>
      <c r="AN188" s="1">
        <v>0</v>
      </c>
      <c r="AO188" s="1">
        <f t="shared" si="63"/>
        <v>1</v>
      </c>
    </row>
    <row r="189" spans="1:41" x14ac:dyDescent="0.4">
      <c r="A189" s="1">
        <v>1</v>
      </c>
      <c r="B189" s="1">
        <v>1</v>
      </c>
      <c r="C189" s="1" t="s">
        <v>119</v>
      </c>
      <c r="D189" s="2">
        <v>38925</v>
      </c>
      <c r="E189" s="1">
        <v>208</v>
      </c>
      <c r="F189" s="1">
        <v>5</v>
      </c>
      <c r="G189" s="3">
        <v>0.36527777777777781</v>
      </c>
      <c r="H189" s="3">
        <v>0.36607638888888888</v>
      </c>
      <c r="I189" s="3">
        <v>7.9861111111106942E-4</v>
      </c>
      <c r="J189" s="3">
        <v>7.9861111111106942E-4</v>
      </c>
      <c r="K189" s="5">
        <f t="shared" si="61"/>
        <v>69</v>
      </c>
      <c r="L189" s="3">
        <v>0.21678240740740745</v>
      </c>
      <c r="N189" s="1" t="s">
        <v>42</v>
      </c>
      <c r="O189" s="1" t="s">
        <v>286</v>
      </c>
      <c r="P189" s="1" t="s">
        <v>227</v>
      </c>
      <c r="Q189" s="1" t="s">
        <v>76</v>
      </c>
      <c r="R189" s="1" t="s">
        <v>76</v>
      </c>
      <c r="S189" s="1" t="s">
        <v>46</v>
      </c>
      <c r="T189" s="1" t="s">
        <v>47</v>
      </c>
      <c r="U189" s="1" t="s">
        <v>48</v>
      </c>
      <c r="V189" s="1" t="s">
        <v>102</v>
      </c>
      <c r="W189" s="1" t="s">
        <v>231</v>
      </c>
      <c r="X189" s="1" t="s">
        <v>448</v>
      </c>
      <c r="Y189" s="1">
        <v>55</v>
      </c>
      <c r="AB189" s="1" t="s">
        <v>449</v>
      </c>
      <c r="AC189" s="1">
        <v>0</v>
      </c>
      <c r="AD189" s="1" t="s">
        <v>105</v>
      </c>
      <c r="AE189" s="1" t="s">
        <v>181</v>
      </c>
      <c r="AG189" s="1" t="s">
        <v>450</v>
      </c>
      <c r="AH189" s="1" t="s">
        <v>157</v>
      </c>
      <c r="AI189" s="1" t="s">
        <v>60</v>
      </c>
      <c r="AK189" s="1" t="s">
        <v>86</v>
      </c>
      <c r="AL189" s="1" t="s">
        <v>87</v>
      </c>
      <c r="AM189" s="1">
        <v>1</v>
      </c>
      <c r="AN189" s="1">
        <v>0</v>
      </c>
      <c r="AO189" s="1">
        <f t="shared" si="63"/>
        <v>1</v>
      </c>
    </row>
    <row r="190" spans="1:41" x14ac:dyDescent="0.4">
      <c r="A190" s="1">
        <v>1</v>
      </c>
      <c r="B190" s="1">
        <v>1</v>
      </c>
      <c r="C190" s="1" t="s">
        <v>119</v>
      </c>
      <c r="D190" s="2">
        <v>38952</v>
      </c>
      <c r="E190" s="1">
        <v>235</v>
      </c>
      <c r="F190" s="1">
        <v>6</v>
      </c>
      <c r="G190" s="3">
        <v>0.60466435185185186</v>
      </c>
      <c r="H190" s="3">
        <v>0.60537037037037034</v>
      </c>
      <c r="I190" s="3">
        <v>7.0601851851848085E-4</v>
      </c>
      <c r="J190" s="3">
        <v>7.0601851851848085E-4</v>
      </c>
      <c r="K190" s="5">
        <f t="shared" si="61"/>
        <v>61</v>
      </c>
      <c r="L190" s="3">
        <v>4.2453703703703716E-2</v>
      </c>
      <c r="N190" s="1" t="s">
        <v>251</v>
      </c>
      <c r="O190" s="1" t="s">
        <v>286</v>
      </c>
      <c r="P190" s="1" t="s">
        <v>44</v>
      </c>
      <c r="Q190" s="1" t="s">
        <v>45</v>
      </c>
      <c r="S190" s="1" t="s">
        <v>451</v>
      </c>
      <c r="T190" s="1" t="s">
        <v>47</v>
      </c>
      <c r="U190" s="1" t="s">
        <v>156</v>
      </c>
      <c r="V190" s="1" t="s">
        <v>49</v>
      </c>
      <c r="W190" s="1" t="s">
        <v>77</v>
      </c>
      <c r="X190" s="1" t="s">
        <v>96</v>
      </c>
      <c r="Y190" s="1" t="s">
        <v>376</v>
      </c>
      <c r="Z190" s="1">
        <v>3</v>
      </c>
      <c r="AB190" s="1" t="s">
        <v>452</v>
      </c>
      <c r="AC190" s="1">
        <v>0</v>
      </c>
      <c r="AD190" s="1" t="s">
        <v>56</v>
      </c>
      <c r="AE190" s="1" t="s">
        <v>70</v>
      </c>
      <c r="AG190" s="1" t="s">
        <v>453</v>
      </c>
      <c r="AH190" s="1" t="s">
        <v>59</v>
      </c>
      <c r="AI190" s="1" t="s">
        <v>255</v>
      </c>
      <c r="AK190" s="1" t="s">
        <v>61</v>
      </c>
      <c r="AL190" s="1" t="s">
        <v>61</v>
      </c>
      <c r="AM190" s="1">
        <v>1</v>
      </c>
      <c r="AN190" s="1">
        <v>0</v>
      </c>
      <c r="AO190" s="1">
        <f t="shared" si="63"/>
        <v>1</v>
      </c>
    </row>
    <row r="191" spans="1:41" x14ac:dyDescent="0.4">
      <c r="A191" s="1">
        <v>1</v>
      </c>
      <c r="B191" s="1">
        <v>1</v>
      </c>
      <c r="C191" s="1" t="s">
        <v>119</v>
      </c>
      <c r="D191" s="2">
        <v>38986</v>
      </c>
      <c r="E191" s="1">
        <v>269</v>
      </c>
      <c r="F191" s="1">
        <v>5.5</v>
      </c>
      <c r="G191" s="3">
        <v>0.59144675925925927</v>
      </c>
      <c r="H191" s="3">
        <v>0.5914814814814815</v>
      </c>
      <c r="I191" s="3">
        <v>3.472222222222765E-5</v>
      </c>
      <c r="J191" s="3">
        <v>3.472222222222765E-5</v>
      </c>
      <c r="K191" s="5">
        <f t="shared" si="61"/>
        <v>3</v>
      </c>
      <c r="L191" s="3">
        <v>8.1469907407407449E-2</v>
      </c>
      <c r="N191" s="1" t="s">
        <v>42</v>
      </c>
      <c r="O191" s="1" t="s">
        <v>286</v>
      </c>
      <c r="P191" s="1" t="s">
        <v>44</v>
      </c>
      <c r="Q191" s="1" t="s">
        <v>76</v>
      </c>
      <c r="S191" s="1" t="s">
        <v>451</v>
      </c>
      <c r="AB191" s="1" t="s">
        <v>93</v>
      </c>
      <c r="AC191" s="1">
        <v>1</v>
      </c>
      <c r="AK191" s="1" t="s">
        <v>86</v>
      </c>
      <c r="AL191" s="1" t="s">
        <v>133</v>
      </c>
      <c r="AN191" s="1">
        <v>1</v>
      </c>
      <c r="AO191" s="1">
        <f t="shared" si="63"/>
        <v>1</v>
      </c>
    </row>
    <row r="192" spans="1:41" x14ac:dyDescent="0.4">
      <c r="A192" s="1">
        <v>1</v>
      </c>
      <c r="B192" s="1">
        <v>1</v>
      </c>
      <c r="C192" s="1" t="s">
        <v>119</v>
      </c>
      <c r="D192" s="2">
        <v>38986</v>
      </c>
      <c r="E192" s="1">
        <v>269</v>
      </c>
      <c r="F192" s="1">
        <v>6.5</v>
      </c>
      <c r="G192" s="3">
        <v>0.67295138888888895</v>
      </c>
      <c r="H192" s="3">
        <v>0.68273148148148144</v>
      </c>
      <c r="I192" s="3">
        <v>9.7800925925924931E-3</v>
      </c>
      <c r="J192" s="3">
        <v>1.0532407407406463E-3</v>
      </c>
      <c r="K192" s="5">
        <f t="shared" si="61"/>
        <v>91</v>
      </c>
      <c r="L192" s="3">
        <v>7.615740740740895E-3</v>
      </c>
      <c r="N192" s="1" t="s">
        <v>42</v>
      </c>
      <c r="O192" s="1" t="s">
        <v>286</v>
      </c>
      <c r="P192" s="1" t="s">
        <v>44</v>
      </c>
      <c r="Q192" s="1" t="s">
        <v>191</v>
      </c>
      <c r="S192" s="1" t="s">
        <v>451</v>
      </c>
      <c r="T192" s="1" t="s">
        <v>47</v>
      </c>
      <c r="U192" s="1" t="s">
        <v>156</v>
      </c>
      <c r="V192" s="1" t="s">
        <v>49</v>
      </c>
      <c r="W192" s="1" t="s">
        <v>77</v>
      </c>
      <c r="X192" s="1" t="s">
        <v>375</v>
      </c>
      <c r="Y192" s="1" t="s">
        <v>376</v>
      </c>
      <c r="Z192" s="1">
        <v>2</v>
      </c>
      <c r="AB192" s="1" t="s">
        <v>377</v>
      </c>
      <c r="AC192" s="1">
        <v>0</v>
      </c>
      <c r="AD192" s="1" t="s">
        <v>56</v>
      </c>
      <c r="AE192" s="1" t="s">
        <v>83</v>
      </c>
      <c r="AG192" s="1" t="s">
        <v>392</v>
      </c>
      <c r="AH192" s="1" t="s">
        <v>59</v>
      </c>
      <c r="AI192" s="1" t="s">
        <v>75</v>
      </c>
      <c r="AK192" s="1" t="s">
        <v>61</v>
      </c>
      <c r="AL192" s="1" t="s">
        <v>61</v>
      </c>
      <c r="AM192" s="1">
        <v>2</v>
      </c>
      <c r="AN192" s="1">
        <v>0</v>
      </c>
      <c r="AO192" s="1">
        <f t="shared" si="63"/>
        <v>2</v>
      </c>
    </row>
    <row r="193" spans="1:41" x14ac:dyDescent="0.4">
      <c r="A193" s="1">
        <v>1</v>
      </c>
      <c r="B193" s="1">
        <v>1</v>
      </c>
      <c r="C193" s="1" t="s">
        <v>119</v>
      </c>
      <c r="D193" s="2">
        <v>38993</v>
      </c>
      <c r="E193" s="1">
        <v>276</v>
      </c>
      <c r="F193" s="1">
        <v>0.5</v>
      </c>
      <c r="G193" s="3">
        <v>0.27598379629629627</v>
      </c>
      <c r="H193" s="3">
        <v>0.27603009259259259</v>
      </c>
      <c r="I193" s="3">
        <v>4.6296296296322037E-5</v>
      </c>
      <c r="J193" s="3">
        <v>4.6296296296322037E-5</v>
      </c>
      <c r="K193" s="5">
        <f t="shared" si="61"/>
        <v>4</v>
      </c>
      <c r="L193" s="3">
        <v>6.7245370370370705E-3</v>
      </c>
      <c r="N193" s="1" t="s">
        <v>42</v>
      </c>
      <c r="O193" s="1" t="s">
        <v>286</v>
      </c>
      <c r="P193" s="1" t="s">
        <v>44</v>
      </c>
      <c r="Q193" s="1" t="s">
        <v>76</v>
      </c>
      <c r="S193" s="1" t="s">
        <v>451</v>
      </c>
      <c r="T193" s="1" t="s">
        <v>124</v>
      </c>
      <c r="U193" s="1" t="s">
        <v>66</v>
      </c>
      <c r="AB193" s="1" t="s">
        <v>93</v>
      </c>
      <c r="AC193" s="1">
        <v>1</v>
      </c>
      <c r="AG193" s="1" t="s">
        <v>266</v>
      </c>
      <c r="AI193" s="1" t="s">
        <v>71</v>
      </c>
      <c r="AK193" s="1" t="s">
        <v>86</v>
      </c>
      <c r="AL193" s="1" t="s">
        <v>133</v>
      </c>
      <c r="AM193" s="1">
        <v>2</v>
      </c>
      <c r="AN193" s="1">
        <v>0</v>
      </c>
      <c r="AO193" s="1">
        <f t="shared" si="63"/>
        <v>2</v>
      </c>
    </row>
    <row r="194" spans="1:41" x14ac:dyDescent="0.4">
      <c r="A194" s="1">
        <v>1</v>
      </c>
      <c r="B194" s="1">
        <v>1</v>
      </c>
      <c r="C194" s="1" t="s">
        <v>119</v>
      </c>
      <c r="D194" s="2">
        <v>38993</v>
      </c>
      <c r="E194" s="1">
        <v>276</v>
      </c>
      <c r="F194" s="1">
        <v>1.5</v>
      </c>
      <c r="G194" s="3">
        <v>0.31221064814814814</v>
      </c>
      <c r="H194" s="3">
        <v>0.31222222222222223</v>
      </c>
      <c r="I194" s="3">
        <v>1.1574074074094387E-5</v>
      </c>
      <c r="J194" s="3">
        <v>1.1574074074094387E-5</v>
      </c>
      <c r="K194" s="5">
        <f t="shared" ref="K194:K257" si="69">HOUR(J194)*60*60+MINUTE(J194)*60+SECOND(J194)</f>
        <v>1</v>
      </c>
      <c r="L194" s="3">
        <v>9.5289351851851833E-2</v>
      </c>
      <c r="N194" s="1" t="s">
        <v>42</v>
      </c>
      <c r="O194" s="1" t="s">
        <v>286</v>
      </c>
      <c r="P194" s="1" t="s">
        <v>44</v>
      </c>
      <c r="Q194" s="1" t="s">
        <v>132</v>
      </c>
      <c r="S194" s="1" t="s">
        <v>451</v>
      </c>
      <c r="T194" s="1" t="s">
        <v>47</v>
      </c>
      <c r="U194" s="1" t="s">
        <v>92</v>
      </c>
      <c r="AB194" s="1" t="s">
        <v>93</v>
      </c>
      <c r="AC194" s="1">
        <v>1</v>
      </c>
      <c r="AI194" s="1" t="s">
        <v>75</v>
      </c>
      <c r="AK194" s="1" t="s">
        <v>86</v>
      </c>
      <c r="AL194" s="1" t="s">
        <v>133</v>
      </c>
      <c r="AN194" s="1">
        <v>1</v>
      </c>
      <c r="AO194" s="1">
        <f t="shared" si="63"/>
        <v>1</v>
      </c>
    </row>
    <row r="195" spans="1:41" x14ac:dyDescent="0.4">
      <c r="A195" s="1">
        <v>1</v>
      </c>
      <c r="B195" s="1">
        <v>2</v>
      </c>
      <c r="C195" s="1" t="s">
        <v>41</v>
      </c>
      <c r="D195" s="2">
        <v>38740</v>
      </c>
      <c r="E195" s="1">
        <v>23</v>
      </c>
      <c r="F195" s="1">
        <v>1</v>
      </c>
      <c r="G195" s="3">
        <v>0.68950231481481483</v>
      </c>
      <c r="H195" s="3">
        <v>0.69092592592592583</v>
      </c>
      <c r="I195" s="3">
        <v>1.4236111111110006E-3</v>
      </c>
      <c r="J195" s="3">
        <v>1.4236111111110006E-3</v>
      </c>
      <c r="K195" s="5">
        <f t="shared" si="69"/>
        <v>123</v>
      </c>
      <c r="L195" s="3">
        <v>5.5555555555555358E-3</v>
      </c>
      <c r="N195" s="1" t="s">
        <v>251</v>
      </c>
      <c r="O195" s="1" t="s">
        <v>43</v>
      </c>
      <c r="P195" s="1" t="s">
        <v>44</v>
      </c>
      <c r="Q195" s="1" t="s">
        <v>76</v>
      </c>
      <c r="S195" s="1" t="s">
        <v>46</v>
      </c>
      <c r="T195" s="1" t="s">
        <v>45</v>
      </c>
      <c r="V195" s="1" t="s">
        <v>49</v>
      </c>
      <c r="W195" s="1" t="s">
        <v>50</v>
      </c>
      <c r="X195" s="1" t="s">
        <v>454</v>
      </c>
      <c r="Y195" s="1" t="s">
        <v>149</v>
      </c>
      <c r="Z195" s="1" t="s">
        <v>455</v>
      </c>
      <c r="AA195" s="1" t="s">
        <v>456</v>
      </c>
      <c r="AB195" s="1" t="s">
        <v>457</v>
      </c>
      <c r="AC195" s="1">
        <v>0</v>
      </c>
      <c r="AD195" s="1" t="s">
        <v>56</v>
      </c>
      <c r="AE195" s="1" t="s">
        <v>83</v>
      </c>
      <c r="AH195" s="1" t="s">
        <v>115</v>
      </c>
      <c r="AK195" s="1" t="s">
        <v>86</v>
      </c>
      <c r="AL195" s="1" t="s">
        <v>87</v>
      </c>
      <c r="AN195" s="1">
        <v>1</v>
      </c>
      <c r="AO195" s="1">
        <f t="shared" ref="AO195:AO258" si="70">SUM(AM195:AN195)</f>
        <v>1</v>
      </c>
    </row>
    <row r="196" spans="1:41" x14ac:dyDescent="0.4">
      <c r="A196" s="1">
        <v>1</v>
      </c>
      <c r="B196" s="1">
        <v>2</v>
      </c>
      <c r="C196" s="1" t="s">
        <v>41</v>
      </c>
      <c r="D196" s="2">
        <v>38740</v>
      </c>
      <c r="E196" s="1">
        <v>23</v>
      </c>
      <c r="F196" s="1">
        <v>1.25</v>
      </c>
      <c r="G196" s="3">
        <v>0.69648148148148137</v>
      </c>
      <c r="H196" s="3">
        <v>0.69903935185185195</v>
      </c>
      <c r="I196" s="3">
        <v>2.5578703703705852E-3</v>
      </c>
      <c r="J196" s="3">
        <v>2.5578703703705852E-3</v>
      </c>
      <c r="K196" s="5">
        <f t="shared" si="69"/>
        <v>221</v>
      </c>
      <c r="L196" s="3">
        <v>6.2847222222220944E-3</v>
      </c>
      <c r="N196" s="1" t="s">
        <v>251</v>
      </c>
      <c r="O196" s="1" t="s">
        <v>43</v>
      </c>
      <c r="P196" s="1" t="s">
        <v>44</v>
      </c>
      <c r="Q196" s="1" t="s">
        <v>76</v>
      </c>
      <c r="S196" s="1" t="s">
        <v>46</v>
      </c>
      <c r="T196" s="1" t="s">
        <v>45</v>
      </c>
      <c r="V196" s="1" t="s">
        <v>49</v>
      </c>
      <c r="W196" s="1" t="s">
        <v>50</v>
      </c>
      <c r="X196" s="1" t="s">
        <v>454</v>
      </c>
      <c r="Y196" s="1" t="s">
        <v>149</v>
      </c>
      <c r="Z196" s="1" t="s">
        <v>455</v>
      </c>
      <c r="AA196" s="1" t="s">
        <v>456</v>
      </c>
      <c r="AB196" s="1" t="s">
        <v>457</v>
      </c>
      <c r="AC196" s="1">
        <v>0</v>
      </c>
      <c r="AD196" s="1" t="s">
        <v>56</v>
      </c>
      <c r="AE196" s="1" t="s">
        <v>83</v>
      </c>
      <c r="AH196" s="1" t="s">
        <v>115</v>
      </c>
      <c r="AK196" s="1" t="s">
        <v>86</v>
      </c>
      <c r="AL196" s="1" t="s">
        <v>87</v>
      </c>
      <c r="AN196" s="1">
        <v>1</v>
      </c>
      <c r="AO196" s="1">
        <f t="shared" si="70"/>
        <v>1</v>
      </c>
    </row>
    <row r="197" spans="1:41" x14ac:dyDescent="0.4">
      <c r="A197" s="1">
        <v>1</v>
      </c>
      <c r="B197" s="1">
        <v>2</v>
      </c>
      <c r="C197" s="1" t="s">
        <v>41</v>
      </c>
      <c r="D197" s="2">
        <v>38740</v>
      </c>
      <c r="E197" s="1">
        <v>23</v>
      </c>
      <c r="F197" s="1">
        <v>1.5</v>
      </c>
      <c r="G197" s="3">
        <v>0.70532407407407405</v>
      </c>
      <c r="H197" s="3">
        <v>0.71530092592592587</v>
      </c>
      <c r="I197" s="3">
        <v>9.9768518518518201E-3</v>
      </c>
      <c r="J197" s="3">
        <v>9.9768518518518201E-3</v>
      </c>
      <c r="K197" s="5">
        <f t="shared" si="69"/>
        <v>862</v>
      </c>
      <c r="L197" s="3">
        <v>1.0937500000000044E-2</v>
      </c>
      <c r="N197" s="1" t="s">
        <v>251</v>
      </c>
      <c r="O197" s="1" t="s">
        <v>43</v>
      </c>
      <c r="P197" s="1" t="s">
        <v>44</v>
      </c>
      <c r="Q197" s="1" t="s">
        <v>76</v>
      </c>
      <c r="R197" s="1" t="s">
        <v>132</v>
      </c>
      <c r="S197" s="1" t="s">
        <v>46</v>
      </c>
      <c r="T197" s="1" t="s">
        <v>45</v>
      </c>
      <c r="V197" s="1" t="s">
        <v>49</v>
      </c>
      <c r="W197" s="1" t="s">
        <v>50</v>
      </c>
      <c r="X197" s="1" t="s">
        <v>454</v>
      </c>
      <c r="Y197" s="1" t="s">
        <v>149</v>
      </c>
      <c r="Z197" s="1" t="s">
        <v>455</v>
      </c>
      <c r="AA197" s="1" t="s">
        <v>456</v>
      </c>
      <c r="AB197" s="1" t="s">
        <v>457</v>
      </c>
      <c r="AC197" s="1">
        <v>0</v>
      </c>
      <c r="AD197" s="1" t="s">
        <v>56</v>
      </c>
      <c r="AE197" s="1" t="s">
        <v>83</v>
      </c>
      <c r="AF197" s="1" t="s">
        <v>113</v>
      </c>
      <c r="AH197" s="1" t="s">
        <v>115</v>
      </c>
      <c r="AK197" s="1" t="s">
        <v>86</v>
      </c>
      <c r="AL197" s="1" t="s">
        <v>87</v>
      </c>
      <c r="AN197" s="1">
        <v>1</v>
      </c>
      <c r="AO197" s="1">
        <f t="shared" si="70"/>
        <v>1</v>
      </c>
    </row>
    <row r="198" spans="1:41" x14ac:dyDescent="0.4">
      <c r="A198" s="1">
        <v>1</v>
      </c>
      <c r="B198" s="1">
        <v>2</v>
      </c>
      <c r="C198" s="1" t="s">
        <v>41</v>
      </c>
      <c r="D198" s="2">
        <v>38740</v>
      </c>
      <c r="E198" s="1">
        <v>23</v>
      </c>
      <c r="F198" s="1">
        <v>2</v>
      </c>
      <c r="G198" s="3">
        <v>0.72623842592592591</v>
      </c>
      <c r="H198" s="3">
        <v>0.7299768518518519</v>
      </c>
      <c r="I198" s="3">
        <v>3.7384259259259922E-3</v>
      </c>
      <c r="J198" s="3">
        <v>3.7384259259259922E-3</v>
      </c>
      <c r="K198" s="5">
        <f t="shared" si="69"/>
        <v>323</v>
      </c>
      <c r="L198" s="3" t="s">
        <v>120</v>
      </c>
      <c r="N198" s="1" t="s">
        <v>251</v>
      </c>
      <c r="O198" s="1" t="s">
        <v>43</v>
      </c>
      <c r="P198" s="1" t="s">
        <v>44</v>
      </c>
      <c r="Q198" s="1" t="s">
        <v>76</v>
      </c>
      <c r="R198" s="1" t="s">
        <v>45</v>
      </c>
      <c r="S198" s="1" t="s">
        <v>46</v>
      </c>
      <c r="T198" s="1" t="s">
        <v>47</v>
      </c>
      <c r="U198" s="1" t="s">
        <v>156</v>
      </c>
      <c r="V198" s="1" t="s">
        <v>49</v>
      </c>
      <c r="W198" s="1" t="s">
        <v>50</v>
      </c>
      <c r="X198" s="1" t="s">
        <v>454</v>
      </c>
      <c r="Y198" s="1" t="s">
        <v>149</v>
      </c>
      <c r="Z198" s="1" t="s">
        <v>455</v>
      </c>
      <c r="AA198" s="1" t="s">
        <v>456</v>
      </c>
      <c r="AB198" s="1" t="s">
        <v>457</v>
      </c>
      <c r="AC198" s="1">
        <v>0</v>
      </c>
      <c r="AD198" s="1" t="s">
        <v>56</v>
      </c>
      <c r="AE198" s="1" t="s">
        <v>83</v>
      </c>
      <c r="AF198" s="1" t="s">
        <v>213</v>
      </c>
      <c r="AG198" s="1" t="s">
        <v>458</v>
      </c>
      <c r="AH198" s="1" t="s">
        <v>115</v>
      </c>
      <c r="AI198" s="1" t="s">
        <v>459</v>
      </c>
      <c r="AK198" s="1" t="s">
        <v>61</v>
      </c>
      <c r="AL198" s="1" t="s">
        <v>61</v>
      </c>
      <c r="AM198" s="1">
        <v>2</v>
      </c>
      <c r="AN198" s="1">
        <v>0</v>
      </c>
      <c r="AO198" s="1">
        <f t="shared" si="70"/>
        <v>2</v>
      </c>
    </row>
    <row r="199" spans="1:41" x14ac:dyDescent="0.4">
      <c r="A199" s="1">
        <v>1</v>
      </c>
      <c r="B199" s="1">
        <v>2</v>
      </c>
      <c r="C199" s="1" t="s">
        <v>41</v>
      </c>
      <c r="D199" s="2">
        <v>38754</v>
      </c>
      <c r="E199" s="1">
        <v>37</v>
      </c>
      <c r="F199" s="1">
        <v>1</v>
      </c>
      <c r="G199" s="3">
        <v>0.25851851851851854</v>
      </c>
      <c r="H199" s="3">
        <v>0.26355324074074077</v>
      </c>
      <c r="I199" s="3">
        <v>5.0347222222222321E-3</v>
      </c>
      <c r="J199" s="3">
        <v>3.7731481481481643E-3</v>
      </c>
      <c r="K199" s="5">
        <f t="shared" si="69"/>
        <v>326</v>
      </c>
      <c r="L199" s="3">
        <v>2.962962962962945E-3</v>
      </c>
      <c r="N199" s="1" t="s">
        <v>75</v>
      </c>
      <c r="O199" s="1" t="s">
        <v>43</v>
      </c>
      <c r="P199" s="1" t="s">
        <v>44</v>
      </c>
      <c r="Q199" s="1" t="s">
        <v>76</v>
      </c>
      <c r="R199" s="1" t="s">
        <v>76</v>
      </c>
      <c r="S199" s="1" t="s">
        <v>46</v>
      </c>
      <c r="T199" s="1" t="s">
        <v>47</v>
      </c>
      <c r="U199" s="1" t="s">
        <v>66</v>
      </c>
      <c r="X199" s="1" t="s">
        <v>460</v>
      </c>
      <c r="AB199" s="1" t="s">
        <v>93</v>
      </c>
      <c r="AC199" s="1">
        <v>1</v>
      </c>
      <c r="AD199" s="1" t="s">
        <v>56</v>
      </c>
      <c r="AF199" s="1" t="s">
        <v>113</v>
      </c>
      <c r="AG199" s="1" t="s">
        <v>461</v>
      </c>
      <c r="AI199" s="1" t="s">
        <v>122</v>
      </c>
      <c r="AK199" s="1" t="s">
        <v>86</v>
      </c>
      <c r="AL199" s="1" t="s">
        <v>87</v>
      </c>
      <c r="AM199" s="1">
        <v>3</v>
      </c>
      <c r="AN199" s="1">
        <v>0</v>
      </c>
      <c r="AO199" s="1">
        <f t="shared" si="70"/>
        <v>3</v>
      </c>
    </row>
    <row r="200" spans="1:41" x14ac:dyDescent="0.4">
      <c r="A200" s="1">
        <v>1</v>
      </c>
      <c r="B200" s="1">
        <v>2</v>
      </c>
      <c r="C200" s="1" t="s">
        <v>41</v>
      </c>
      <c r="D200" s="2">
        <v>38754</v>
      </c>
      <c r="E200" s="1">
        <v>37</v>
      </c>
      <c r="F200" s="1">
        <v>2</v>
      </c>
      <c r="G200" s="3">
        <v>0.26651620370370371</v>
      </c>
      <c r="H200" s="3">
        <v>0.2691087962962963</v>
      </c>
      <c r="I200" s="3">
        <v>2.5925925925925908E-3</v>
      </c>
      <c r="J200" s="3">
        <v>2.372685185185186E-3</v>
      </c>
      <c r="K200" s="5">
        <f t="shared" si="69"/>
        <v>205</v>
      </c>
      <c r="L200" s="3">
        <v>2.4733796296296295E-2</v>
      </c>
      <c r="N200" s="1" t="s">
        <v>75</v>
      </c>
      <c r="O200" s="1" t="s">
        <v>43</v>
      </c>
      <c r="P200" s="1" t="s">
        <v>44</v>
      </c>
      <c r="Q200" s="1" t="s">
        <v>76</v>
      </c>
      <c r="R200" s="1" t="s">
        <v>76</v>
      </c>
      <c r="S200" s="1" t="s">
        <v>46</v>
      </c>
      <c r="T200" s="1" t="s">
        <v>47</v>
      </c>
      <c r="U200" s="1" t="s">
        <v>48</v>
      </c>
      <c r="V200" s="1" t="s">
        <v>49</v>
      </c>
      <c r="W200" s="1" t="s">
        <v>50</v>
      </c>
      <c r="X200" s="1" t="s">
        <v>454</v>
      </c>
      <c r="Y200" s="1" t="s">
        <v>149</v>
      </c>
      <c r="Z200" s="1" t="s">
        <v>455</v>
      </c>
      <c r="AA200" s="1" t="s">
        <v>456</v>
      </c>
      <c r="AB200" s="1" t="s">
        <v>457</v>
      </c>
      <c r="AC200" s="1">
        <v>0</v>
      </c>
      <c r="AD200" s="1" t="s">
        <v>56</v>
      </c>
      <c r="AE200" s="1" t="s">
        <v>83</v>
      </c>
      <c r="AF200" s="1" t="s">
        <v>113</v>
      </c>
      <c r="AG200" s="1" t="s">
        <v>462</v>
      </c>
      <c r="AH200" s="1" t="s">
        <v>115</v>
      </c>
      <c r="AI200" s="1" t="s">
        <v>122</v>
      </c>
      <c r="AK200" s="1" t="s">
        <v>116</v>
      </c>
      <c r="AL200" s="1" t="s">
        <v>117</v>
      </c>
      <c r="AM200" s="1">
        <v>1</v>
      </c>
      <c r="AN200" s="1">
        <v>0</v>
      </c>
      <c r="AO200" s="1">
        <f t="shared" si="70"/>
        <v>1</v>
      </c>
    </row>
    <row r="201" spans="1:41" x14ac:dyDescent="0.4">
      <c r="A201" s="1">
        <v>1</v>
      </c>
      <c r="B201" s="1">
        <v>2</v>
      </c>
      <c r="C201" s="1" t="s">
        <v>41</v>
      </c>
      <c r="D201" s="2">
        <v>38754</v>
      </c>
      <c r="E201" s="1">
        <v>37</v>
      </c>
      <c r="F201" s="1">
        <v>3</v>
      </c>
      <c r="G201" s="3">
        <v>0.2938425925925926</v>
      </c>
      <c r="H201" s="3">
        <v>0.32124999999999998</v>
      </c>
      <c r="I201" s="3">
        <v>2.740740740740738E-2</v>
      </c>
      <c r="J201" s="3">
        <v>4.2824074074073737E-3</v>
      </c>
      <c r="K201" s="5">
        <f t="shared" si="69"/>
        <v>370</v>
      </c>
      <c r="L201" s="3">
        <v>3.2754629629629939E-3</v>
      </c>
      <c r="N201" s="1" t="s">
        <v>42</v>
      </c>
      <c r="O201" s="1" t="s">
        <v>43</v>
      </c>
      <c r="P201" s="1" t="s">
        <v>44</v>
      </c>
      <c r="Q201" s="1" t="s">
        <v>76</v>
      </c>
      <c r="R201" s="1" t="s">
        <v>76</v>
      </c>
      <c r="S201" s="1" t="s">
        <v>46</v>
      </c>
      <c r="T201" s="1" t="s">
        <v>47</v>
      </c>
      <c r="U201" s="1" t="s">
        <v>66</v>
      </c>
      <c r="V201" s="1" t="s">
        <v>67</v>
      </c>
      <c r="W201" s="1" t="s">
        <v>68</v>
      </c>
      <c r="Y201" s="1" t="s">
        <v>68</v>
      </c>
      <c r="AB201" s="1" t="s">
        <v>69</v>
      </c>
      <c r="AC201" s="1">
        <v>0</v>
      </c>
      <c r="AD201" s="1" t="s">
        <v>68</v>
      </c>
      <c r="AE201" s="1" t="s">
        <v>70</v>
      </c>
      <c r="AG201" s="1" t="s">
        <v>463</v>
      </c>
      <c r="AI201" s="1" t="s">
        <v>71</v>
      </c>
      <c r="AK201" s="1" t="s">
        <v>86</v>
      </c>
      <c r="AL201" s="1" t="s">
        <v>87</v>
      </c>
      <c r="AM201" s="1">
        <v>2</v>
      </c>
      <c r="AN201" s="1">
        <v>0</v>
      </c>
      <c r="AO201" s="1">
        <f t="shared" si="70"/>
        <v>2</v>
      </c>
    </row>
    <row r="202" spans="1:41" x14ac:dyDescent="0.4">
      <c r="A202" s="1">
        <v>1</v>
      </c>
      <c r="B202" s="1">
        <v>2</v>
      </c>
      <c r="C202" s="1" t="s">
        <v>41</v>
      </c>
      <c r="D202" s="2">
        <v>38754</v>
      </c>
      <c r="E202" s="1">
        <v>37</v>
      </c>
      <c r="F202" s="1">
        <v>4</v>
      </c>
      <c r="G202" s="3">
        <v>0.32452546296296297</v>
      </c>
      <c r="H202" s="3">
        <v>0.32778935185185182</v>
      </c>
      <c r="I202" s="3">
        <v>3.263888888888844E-3</v>
      </c>
      <c r="J202" s="3">
        <v>3.263888888888844E-3</v>
      </c>
      <c r="K202" s="5">
        <f t="shared" si="69"/>
        <v>282</v>
      </c>
      <c r="L202" s="3">
        <v>0.3328356481481482</v>
      </c>
      <c r="N202" s="1" t="s">
        <v>42</v>
      </c>
      <c r="O202" s="1" t="s">
        <v>43</v>
      </c>
      <c r="P202" s="1" t="s">
        <v>44</v>
      </c>
      <c r="Q202" s="1" t="s">
        <v>76</v>
      </c>
      <c r="R202" s="1" t="s">
        <v>76</v>
      </c>
      <c r="S202" s="1" t="s">
        <v>46</v>
      </c>
      <c r="T202" s="1" t="s">
        <v>47</v>
      </c>
      <c r="U202" s="1" t="s">
        <v>92</v>
      </c>
      <c r="V202" s="1" t="s">
        <v>49</v>
      </c>
      <c r="W202" s="1" t="s">
        <v>50</v>
      </c>
      <c r="X202" s="1" t="s">
        <v>464</v>
      </c>
      <c r="Y202" s="1" t="s">
        <v>347</v>
      </c>
      <c r="Z202" s="1" t="s">
        <v>348</v>
      </c>
      <c r="AA202" s="1" t="s">
        <v>465</v>
      </c>
      <c r="AB202" s="1" t="s">
        <v>466</v>
      </c>
      <c r="AC202" s="1">
        <v>0</v>
      </c>
      <c r="AD202" s="1" t="s">
        <v>56</v>
      </c>
      <c r="AE202" s="1" t="s">
        <v>83</v>
      </c>
      <c r="AF202" s="1" t="s">
        <v>84</v>
      </c>
      <c r="AG202" s="1" t="s">
        <v>467</v>
      </c>
      <c r="AH202" s="1" t="s">
        <v>115</v>
      </c>
      <c r="AI202" s="1" t="s">
        <v>75</v>
      </c>
      <c r="AK202" s="1" t="s">
        <v>61</v>
      </c>
      <c r="AL202" s="1" t="s">
        <v>133</v>
      </c>
      <c r="AM202" s="1">
        <v>2</v>
      </c>
      <c r="AN202" s="1">
        <v>0</v>
      </c>
      <c r="AO202" s="1">
        <f t="shared" si="70"/>
        <v>2</v>
      </c>
    </row>
    <row r="203" spans="1:41" x14ac:dyDescent="0.4">
      <c r="A203" s="1">
        <v>1</v>
      </c>
      <c r="B203" s="1">
        <v>2</v>
      </c>
      <c r="C203" s="1" t="s">
        <v>41</v>
      </c>
      <c r="D203" s="2">
        <v>38754</v>
      </c>
      <c r="E203" s="1">
        <v>37</v>
      </c>
      <c r="F203" s="1">
        <v>5</v>
      </c>
      <c r="G203" s="3">
        <v>0.66062500000000002</v>
      </c>
      <c r="H203" s="3">
        <v>0.6794675925925926</v>
      </c>
      <c r="I203" s="3">
        <v>1.8842592592592577E-2</v>
      </c>
      <c r="J203" s="3">
        <v>1.807870370370368E-2</v>
      </c>
      <c r="K203" s="5">
        <f t="shared" si="69"/>
        <v>1562</v>
      </c>
      <c r="L203" s="3">
        <v>1.0069444444444464E-2</v>
      </c>
      <c r="N203" s="1" t="s">
        <v>42</v>
      </c>
      <c r="O203" s="1" t="s">
        <v>43</v>
      </c>
      <c r="P203" s="1" t="s">
        <v>44</v>
      </c>
      <c r="Q203" s="1" t="s">
        <v>76</v>
      </c>
      <c r="R203" s="1" t="s">
        <v>76</v>
      </c>
      <c r="S203" s="1" t="s">
        <v>46</v>
      </c>
      <c r="T203" s="1" t="s">
        <v>47</v>
      </c>
      <c r="U203" s="1" t="s">
        <v>66</v>
      </c>
      <c r="V203" s="1" t="s">
        <v>49</v>
      </c>
      <c r="W203" s="1" t="s">
        <v>77</v>
      </c>
      <c r="X203" s="1" t="s">
        <v>468</v>
      </c>
      <c r="Y203" s="1" t="s">
        <v>126</v>
      </c>
      <c r="Z203" s="1" t="s">
        <v>469</v>
      </c>
      <c r="AA203" s="1" t="s">
        <v>470</v>
      </c>
      <c r="AB203" s="1" t="s">
        <v>471</v>
      </c>
      <c r="AC203" s="1">
        <v>0</v>
      </c>
      <c r="AD203" s="1" t="s">
        <v>56</v>
      </c>
      <c r="AE203" s="1" t="s">
        <v>83</v>
      </c>
      <c r="AF203" s="1" t="s">
        <v>153</v>
      </c>
      <c r="AG203" s="1" t="s">
        <v>472</v>
      </c>
      <c r="AH203" s="1" t="s">
        <v>59</v>
      </c>
      <c r="AI203" s="1" t="s">
        <v>71</v>
      </c>
      <c r="AK203" s="1" t="s">
        <v>116</v>
      </c>
      <c r="AL203" s="1" t="s">
        <v>155</v>
      </c>
      <c r="AM203" s="1">
        <v>3</v>
      </c>
      <c r="AN203" s="1">
        <v>0</v>
      </c>
      <c r="AO203" s="1">
        <f t="shared" si="70"/>
        <v>3</v>
      </c>
    </row>
    <row r="204" spans="1:41" x14ac:dyDescent="0.4">
      <c r="A204" s="1">
        <v>1</v>
      </c>
      <c r="B204" s="1">
        <v>2</v>
      </c>
      <c r="C204" s="1" t="s">
        <v>41</v>
      </c>
      <c r="D204" s="2">
        <v>38754</v>
      </c>
      <c r="E204" s="1">
        <v>37</v>
      </c>
      <c r="F204" s="1">
        <v>5.75</v>
      </c>
      <c r="G204" s="3">
        <v>0.68953703703703706</v>
      </c>
      <c r="H204" s="3">
        <v>0.68998842592592602</v>
      </c>
      <c r="I204" s="3">
        <v>4.5138888888895945E-4</v>
      </c>
      <c r="J204" s="3">
        <v>4.5138888888895945E-4</v>
      </c>
      <c r="K204" s="5">
        <f t="shared" si="69"/>
        <v>39</v>
      </c>
      <c r="L204" s="3">
        <v>3.7499999999999201E-3</v>
      </c>
      <c r="N204" s="1" t="s">
        <v>42</v>
      </c>
      <c r="O204" s="1" t="s">
        <v>43</v>
      </c>
      <c r="P204" s="1" t="s">
        <v>44</v>
      </c>
      <c r="Q204" s="1" t="s">
        <v>76</v>
      </c>
      <c r="R204" s="1" t="s">
        <v>76</v>
      </c>
      <c r="S204" s="1" t="s">
        <v>46</v>
      </c>
      <c r="T204" s="1" t="s">
        <v>45</v>
      </c>
      <c r="U204" s="1" t="s">
        <v>156</v>
      </c>
      <c r="V204" s="1" t="s">
        <v>67</v>
      </c>
      <c r="W204" s="1" t="s">
        <v>68</v>
      </c>
      <c r="Y204" s="1" t="s">
        <v>68</v>
      </c>
      <c r="AB204" s="1" t="s">
        <v>69</v>
      </c>
      <c r="AC204" s="1">
        <v>0</v>
      </c>
      <c r="AD204" s="1" t="s">
        <v>68</v>
      </c>
      <c r="AE204" s="1" t="s">
        <v>70</v>
      </c>
      <c r="AI204" s="1" t="s">
        <v>75</v>
      </c>
      <c r="AK204" s="1" t="s">
        <v>86</v>
      </c>
      <c r="AL204" s="1" t="s">
        <v>86</v>
      </c>
      <c r="AN204" s="1">
        <v>1</v>
      </c>
      <c r="AO204" s="1">
        <f t="shared" si="70"/>
        <v>1</v>
      </c>
    </row>
    <row r="205" spans="1:41" x14ac:dyDescent="0.4">
      <c r="A205" s="1">
        <v>1</v>
      </c>
      <c r="B205" s="1">
        <v>2</v>
      </c>
      <c r="C205" s="1" t="s">
        <v>41</v>
      </c>
      <c r="D205" s="2">
        <v>38754</v>
      </c>
      <c r="E205" s="1">
        <v>37</v>
      </c>
      <c r="F205" s="1">
        <v>5.8</v>
      </c>
      <c r="G205" s="3">
        <v>0.69373842592592594</v>
      </c>
      <c r="H205" s="3">
        <v>0.69379629629629624</v>
      </c>
      <c r="I205" s="3">
        <v>5.7870370370305402E-5</v>
      </c>
      <c r="J205" s="3">
        <v>5.7870370370305402E-5</v>
      </c>
      <c r="K205" s="5">
        <f t="shared" si="69"/>
        <v>5</v>
      </c>
      <c r="L205" s="3">
        <v>6.2499999999998668E-4</v>
      </c>
      <c r="N205" s="1" t="s">
        <v>42</v>
      </c>
      <c r="O205" s="1" t="s">
        <v>43</v>
      </c>
      <c r="P205" s="1" t="s">
        <v>44</v>
      </c>
      <c r="Q205" s="1" t="s">
        <v>76</v>
      </c>
      <c r="R205" s="1" t="s">
        <v>76</v>
      </c>
      <c r="S205" s="1" t="s">
        <v>46</v>
      </c>
      <c r="AB205" s="1" t="s">
        <v>93</v>
      </c>
      <c r="AC205" s="1">
        <v>1</v>
      </c>
      <c r="AK205" s="1" t="s">
        <v>61</v>
      </c>
      <c r="AL205" s="1" t="s">
        <v>133</v>
      </c>
      <c r="AN205" s="1">
        <v>1</v>
      </c>
      <c r="AO205" s="1">
        <f t="shared" si="70"/>
        <v>1</v>
      </c>
    </row>
    <row r="206" spans="1:41" x14ac:dyDescent="0.4">
      <c r="A206" s="1">
        <v>1</v>
      </c>
      <c r="B206" s="1">
        <v>2</v>
      </c>
      <c r="C206" s="1" t="s">
        <v>41</v>
      </c>
      <c r="D206" s="2">
        <v>38754</v>
      </c>
      <c r="E206" s="1">
        <v>37</v>
      </c>
      <c r="F206" s="1">
        <v>6</v>
      </c>
      <c r="G206" s="3">
        <v>0.69442129629629623</v>
      </c>
      <c r="H206" s="3">
        <v>0.70156249999999998</v>
      </c>
      <c r="I206" s="3">
        <v>7.1412037037037468E-3</v>
      </c>
      <c r="J206" s="3">
        <v>3.7500000000000311E-3</v>
      </c>
      <c r="K206" s="5">
        <f t="shared" si="69"/>
        <v>324</v>
      </c>
      <c r="L206" s="3">
        <v>2.315972222222229E-2</v>
      </c>
      <c r="N206" s="1" t="s">
        <v>42</v>
      </c>
      <c r="O206" s="1" t="s">
        <v>43</v>
      </c>
      <c r="P206" s="1" t="s">
        <v>44</v>
      </c>
      <c r="Q206" s="1" t="s">
        <v>45</v>
      </c>
      <c r="R206" s="1" t="s">
        <v>76</v>
      </c>
      <c r="S206" s="1" t="s">
        <v>46</v>
      </c>
      <c r="T206" s="1" t="s">
        <v>45</v>
      </c>
      <c r="U206" s="1" t="s">
        <v>66</v>
      </c>
      <c r="V206" s="1" t="s">
        <v>49</v>
      </c>
      <c r="W206" s="1" t="s">
        <v>50</v>
      </c>
      <c r="X206" s="1" t="s">
        <v>464</v>
      </c>
      <c r="Y206" s="1" t="s">
        <v>347</v>
      </c>
      <c r="Z206" s="1" t="s">
        <v>348</v>
      </c>
      <c r="AA206" s="1" t="s">
        <v>465</v>
      </c>
      <c r="AB206" s="1" t="s">
        <v>466</v>
      </c>
      <c r="AC206" s="1">
        <v>0</v>
      </c>
      <c r="AD206" s="1" t="s">
        <v>56</v>
      </c>
      <c r="AE206" s="1" t="s">
        <v>83</v>
      </c>
      <c r="AG206" s="1" t="s">
        <v>473</v>
      </c>
      <c r="AH206" s="1" t="s">
        <v>115</v>
      </c>
      <c r="AI206" s="1" t="s">
        <v>71</v>
      </c>
      <c r="AK206" s="1" t="s">
        <v>61</v>
      </c>
      <c r="AL206" s="1" t="s">
        <v>72</v>
      </c>
      <c r="AM206" s="1">
        <v>4</v>
      </c>
      <c r="AN206" s="1">
        <v>0</v>
      </c>
      <c r="AO206" s="1">
        <f t="shared" si="70"/>
        <v>4</v>
      </c>
    </row>
    <row r="207" spans="1:41" x14ac:dyDescent="0.4">
      <c r="A207" s="1">
        <v>1</v>
      </c>
      <c r="B207" s="1">
        <v>2</v>
      </c>
      <c r="C207" s="1" t="s">
        <v>41</v>
      </c>
      <c r="D207" s="2">
        <v>38754</v>
      </c>
      <c r="E207" s="1">
        <v>37</v>
      </c>
      <c r="F207" s="1">
        <v>7</v>
      </c>
      <c r="G207" s="3">
        <v>0.72472222222222227</v>
      </c>
      <c r="H207" s="3">
        <v>0.72712962962962957</v>
      </c>
      <c r="I207" s="3">
        <v>2.4074074074073026E-3</v>
      </c>
      <c r="J207" s="3">
        <v>2.4074074074073026E-3</v>
      </c>
      <c r="K207" s="5">
        <f t="shared" si="69"/>
        <v>208</v>
      </c>
      <c r="L207" s="3" t="s">
        <v>120</v>
      </c>
      <c r="N207" s="1" t="s">
        <v>42</v>
      </c>
      <c r="O207" s="1" t="s">
        <v>43</v>
      </c>
      <c r="P207" s="1" t="s">
        <v>44</v>
      </c>
      <c r="Q207" s="1" t="s">
        <v>45</v>
      </c>
      <c r="R207" s="1" t="s">
        <v>45</v>
      </c>
      <c r="S207" s="1" t="s">
        <v>46</v>
      </c>
      <c r="T207" s="1" t="s">
        <v>45</v>
      </c>
      <c r="U207" s="1" t="s">
        <v>92</v>
      </c>
      <c r="V207" s="1" t="s">
        <v>102</v>
      </c>
      <c r="W207" s="1" t="s">
        <v>103</v>
      </c>
      <c r="X207" s="1" t="s">
        <v>96</v>
      </c>
      <c r="AB207" s="1" t="s">
        <v>104</v>
      </c>
      <c r="AC207" s="1">
        <v>0</v>
      </c>
      <c r="AD207" s="1" t="s">
        <v>105</v>
      </c>
      <c r="AE207" s="1" t="s">
        <v>70</v>
      </c>
      <c r="AG207" s="1" t="s">
        <v>474</v>
      </c>
      <c r="AI207" s="1" t="s">
        <v>122</v>
      </c>
      <c r="AK207" s="1" t="s">
        <v>86</v>
      </c>
      <c r="AL207" s="1" t="s">
        <v>86</v>
      </c>
      <c r="AM207" s="1">
        <v>1</v>
      </c>
      <c r="AN207" s="1">
        <v>0</v>
      </c>
      <c r="AO207" s="1">
        <f t="shared" si="70"/>
        <v>1</v>
      </c>
    </row>
    <row r="208" spans="1:41" x14ac:dyDescent="0.4">
      <c r="A208" s="1">
        <v>1</v>
      </c>
      <c r="B208" s="1">
        <v>2</v>
      </c>
      <c r="C208" s="1" t="s">
        <v>41</v>
      </c>
      <c r="D208" s="2">
        <v>38757</v>
      </c>
      <c r="E208" s="1">
        <v>40</v>
      </c>
      <c r="F208" s="1">
        <v>1</v>
      </c>
      <c r="G208" s="3">
        <v>0.31324074074074076</v>
      </c>
      <c r="H208" s="3">
        <v>0.3193287037037037</v>
      </c>
      <c r="I208" s="3">
        <v>6.0879629629629339E-3</v>
      </c>
      <c r="J208" s="3">
        <v>6.0879629629629339E-3</v>
      </c>
      <c r="K208" s="5">
        <f t="shared" si="69"/>
        <v>526</v>
      </c>
      <c r="L208" s="3">
        <v>3.3425925925925914E-2</v>
      </c>
      <c r="N208" s="1" t="s">
        <v>42</v>
      </c>
      <c r="O208" s="1" t="s">
        <v>43</v>
      </c>
      <c r="P208" s="1" t="s">
        <v>44</v>
      </c>
      <c r="Q208" s="1" t="s">
        <v>76</v>
      </c>
      <c r="S208" s="1" t="s">
        <v>46</v>
      </c>
      <c r="T208" s="1" t="s">
        <v>124</v>
      </c>
      <c r="V208" s="1" t="s">
        <v>49</v>
      </c>
      <c r="W208" s="1" t="s">
        <v>50</v>
      </c>
      <c r="X208" s="1" t="s">
        <v>475</v>
      </c>
      <c r="Y208" s="1" t="s">
        <v>159</v>
      </c>
      <c r="Z208" s="1" t="s">
        <v>160</v>
      </c>
      <c r="AA208" s="1" t="s">
        <v>161</v>
      </c>
      <c r="AB208" s="1" t="s">
        <v>162</v>
      </c>
      <c r="AC208" s="1">
        <v>0</v>
      </c>
      <c r="AD208" s="1" t="s">
        <v>56</v>
      </c>
      <c r="AE208" s="1" t="s">
        <v>70</v>
      </c>
      <c r="AF208" s="1" t="s">
        <v>153</v>
      </c>
      <c r="AG208" s="1" t="s">
        <v>476</v>
      </c>
      <c r="AH208" s="1" t="s">
        <v>165</v>
      </c>
      <c r="AK208" s="1" t="s">
        <v>86</v>
      </c>
      <c r="AL208" s="1" t="s">
        <v>87</v>
      </c>
      <c r="AM208" s="1">
        <v>6</v>
      </c>
      <c r="AN208" s="1">
        <v>0</v>
      </c>
      <c r="AO208" s="1">
        <f t="shared" si="70"/>
        <v>6</v>
      </c>
    </row>
    <row r="209" spans="1:41" x14ac:dyDescent="0.4">
      <c r="A209" s="1">
        <v>1</v>
      </c>
      <c r="B209" s="1">
        <v>2</v>
      </c>
      <c r="C209" s="1" t="s">
        <v>41</v>
      </c>
      <c r="D209" s="2">
        <v>38757</v>
      </c>
      <c r="E209" s="1">
        <v>40</v>
      </c>
      <c r="F209" s="1">
        <v>3</v>
      </c>
      <c r="G209" s="3">
        <v>0.35275462962962961</v>
      </c>
      <c r="H209" s="3">
        <v>0.42681712962962964</v>
      </c>
      <c r="I209" s="3">
        <v>7.4062500000000031E-2</v>
      </c>
      <c r="J209" s="3">
        <v>7.4062500000000031E-2</v>
      </c>
      <c r="K209" s="5">
        <f t="shared" si="69"/>
        <v>6399</v>
      </c>
      <c r="L209" s="3">
        <v>3.9525462962962943E-2</v>
      </c>
      <c r="N209" s="1" t="s">
        <v>42</v>
      </c>
      <c r="O209" s="1" t="s">
        <v>43</v>
      </c>
      <c r="P209" s="1" t="s">
        <v>44</v>
      </c>
      <c r="Q209" s="1" t="s">
        <v>45</v>
      </c>
      <c r="S209" s="1" t="s">
        <v>46</v>
      </c>
      <c r="T209" s="1" t="s">
        <v>45</v>
      </c>
      <c r="V209" s="1" t="s">
        <v>49</v>
      </c>
      <c r="W209" s="1" t="s">
        <v>77</v>
      </c>
      <c r="X209" s="1" t="s">
        <v>468</v>
      </c>
      <c r="Y209" s="1" t="s">
        <v>126</v>
      </c>
      <c r="Z209" s="1" t="s">
        <v>469</v>
      </c>
      <c r="AA209" s="1" t="s">
        <v>470</v>
      </c>
      <c r="AB209" s="1" t="s">
        <v>471</v>
      </c>
      <c r="AC209" s="1">
        <v>0</v>
      </c>
      <c r="AD209" s="1" t="s">
        <v>56</v>
      </c>
      <c r="AE209" s="1" t="s">
        <v>83</v>
      </c>
      <c r="AG209" s="1" t="s">
        <v>472</v>
      </c>
      <c r="AH209" s="1" t="s">
        <v>59</v>
      </c>
      <c r="AJ209" s="1" t="s">
        <v>147</v>
      </c>
      <c r="AK209" s="1" t="s">
        <v>61</v>
      </c>
      <c r="AL209" s="1" t="s">
        <v>72</v>
      </c>
      <c r="AM209" s="1">
        <v>3</v>
      </c>
      <c r="AN209" s="1">
        <v>0</v>
      </c>
      <c r="AO209" s="1">
        <f t="shared" si="70"/>
        <v>3</v>
      </c>
    </row>
    <row r="210" spans="1:41" x14ac:dyDescent="0.4">
      <c r="A210" s="1">
        <v>1</v>
      </c>
      <c r="B210" s="1">
        <v>2</v>
      </c>
      <c r="C210" s="1" t="s">
        <v>41</v>
      </c>
      <c r="D210" s="2">
        <v>38757</v>
      </c>
      <c r="E210" s="1">
        <v>40</v>
      </c>
      <c r="F210" s="1">
        <v>4</v>
      </c>
      <c r="G210" s="3">
        <v>0.46634259259259259</v>
      </c>
      <c r="H210" s="3">
        <v>0.46802083333333333</v>
      </c>
      <c r="I210" s="3">
        <v>1.678240740740744E-3</v>
      </c>
      <c r="J210" s="3">
        <v>1.678240740740744E-3</v>
      </c>
      <c r="K210" s="5">
        <f t="shared" si="69"/>
        <v>145</v>
      </c>
      <c r="L210" s="3">
        <v>0.10046296296296298</v>
      </c>
      <c r="N210" s="1" t="s">
        <v>75</v>
      </c>
      <c r="O210" s="1" t="s">
        <v>43</v>
      </c>
      <c r="P210" s="1" t="s">
        <v>44</v>
      </c>
      <c r="Q210" s="1" t="s">
        <v>45</v>
      </c>
      <c r="S210" s="1" t="s">
        <v>46</v>
      </c>
      <c r="T210" s="1" t="s">
        <v>47</v>
      </c>
      <c r="U210" s="1" t="s">
        <v>66</v>
      </c>
      <c r="V210" s="1" t="s">
        <v>49</v>
      </c>
      <c r="W210" s="1" t="s">
        <v>50</v>
      </c>
      <c r="X210" s="1" t="s">
        <v>51</v>
      </c>
      <c r="Y210" s="1" t="s">
        <v>52</v>
      </c>
      <c r="Z210" s="1" t="s">
        <v>53</v>
      </c>
      <c r="AA210" s="1" t="s">
        <v>54</v>
      </c>
      <c r="AB210" s="1" t="s">
        <v>55</v>
      </c>
      <c r="AC210" s="1">
        <v>0</v>
      </c>
      <c r="AD210" s="1" t="s">
        <v>56</v>
      </c>
      <c r="AE210" s="1" t="s">
        <v>57</v>
      </c>
      <c r="AG210" s="1" t="s">
        <v>477</v>
      </c>
      <c r="AH210" s="1" t="s">
        <v>59</v>
      </c>
      <c r="AI210" s="1" t="s">
        <v>75</v>
      </c>
      <c r="AK210" s="1" t="s">
        <v>86</v>
      </c>
      <c r="AL210" s="1" t="s">
        <v>133</v>
      </c>
      <c r="AM210" s="1">
        <v>1</v>
      </c>
      <c r="AN210" s="1">
        <v>0</v>
      </c>
      <c r="AO210" s="1">
        <f t="shared" si="70"/>
        <v>1</v>
      </c>
    </row>
    <row r="211" spans="1:41" x14ac:dyDescent="0.4">
      <c r="A211" s="1">
        <v>1</v>
      </c>
      <c r="B211" s="1">
        <v>2</v>
      </c>
      <c r="C211" s="1" t="s">
        <v>41</v>
      </c>
      <c r="D211" s="2">
        <v>38757</v>
      </c>
      <c r="E211" s="1">
        <v>40</v>
      </c>
      <c r="F211" s="1">
        <v>4.5</v>
      </c>
      <c r="G211" s="3">
        <v>0.56848379629629631</v>
      </c>
      <c r="H211" s="3">
        <v>0.56990740740740742</v>
      </c>
      <c r="I211" s="3">
        <v>1.4236111111111116E-3</v>
      </c>
      <c r="J211" s="3">
        <v>1.2962962962963509E-3</v>
      </c>
      <c r="K211" s="5">
        <f t="shared" si="69"/>
        <v>112</v>
      </c>
      <c r="L211" s="3">
        <v>0</v>
      </c>
      <c r="N211" s="1" t="s">
        <v>75</v>
      </c>
      <c r="O211" s="1" t="s">
        <v>43</v>
      </c>
      <c r="P211" s="1" t="s">
        <v>44</v>
      </c>
      <c r="Q211" s="1" t="s">
        <v>76</v>
      </c>
      <c r="S211" s="1" t="s">
        <v>46</v>
      </c>
      <c r="T211" s="1" t="s">
        <v>45</v>
      </c>
      <c r="U211" s="1" t="s">
        <v>48</v>
      </c>
      <c r="V211" s="1" t="s">
        <v>67</v>
      </c>
      <c r="W211" s="1" t="s">
        <v>68</v>
      </c>
      <c r="Y211" s="1" t="s">
        <v>68</v>
      </c>
      <c r="AB211" s="1" t="s">
        <v>69</v>
      </c>
      <c r="AC211" s="1">
        <v>0</v>
      </c>
      <c r="AD211" s="1" t="s">
        <v>68</v>
      </c>
      <c r="AE211" s="1" t="s">
        <v>70</v>
      </c>
      <c r="AG211" s="1" t="s">
        <v>478</v>
      </c>
      <c r="AI211" s="1" t="s">
        <v>75</v>
      </c>
      <c r="AK211" s="1" t="s">
        <v>86</v>
      </c>
      <c r="AL211" s="1" t="s">
        <v>87</v>
      </c>
      <c r="AM211" s="1">
        <v>2</v>
      </c>
      <c r="AN211" s="1">
        <v>0</v>
      </c>
      <c r="AO211" s="1">
        <f t="shared" si="70"/>
        <v>2</v>
      </c>
    </row>
    <row r="212" spans="1:41" x14ac:dyDescent="0.4">
      <c r="A212" s="1">
        <v>1</v>
      </c>
      <c r="B212" s="1">
        <v>2</v>
      </c>
      <c r="C212" s="1" t="s">
        <v>41</v>
      </c>
      <c r="D212" s="2">
        <v>38757</v>
      </c>
      <c r="E212" s="1">
        <v>40</v>
      </c>
      <c r="F212" s="1">
        <v>5</v>
      </c>
      <c r="G212" s="3">
        <v>0.56990740740740742</v>
      </c>
      <c r="H212" s="3">
        <v>0.57086805555555553</v>
      </c>
      <c r="I212" s="3">
        <v>9.6064814814811328E-4</v>
      </c>
      <c r="J212" s="3">
        <v>9.6064814814811328E-4</v>
      </c>
      <c r="K212" s="5">
        <f t="shared" si="69"/>
        <v>83</v>
      </c>
      <c r="L212" s="3">
        <v>6.4699074074074936E-3</v>
      </c>
      <c r="N212" s="1" t="s">
        <v>75</v>
      </c>
      <c r="O212" s="1" t="s">
        <v>43</v>
      </c>
      <c r="P212" s="1" t="s">
        <v>44</v>
      </c>
      <c r="Q212" s="1" t="s">
        <v>76</v>
      </c>
      <c r="S212" s="1" t="s">
        <v>46</v>
      </c>
      <c r="T212" s="1" t="s">
        <v>45</v>
      </c>
      <c r="U212" s="1" t="s">
        <v>48</v>
      </c>
      <c r="V212" s="1" t="s">
        <v>102</v>
      </c>
      <c r="W212" s="1" t="s">
        <v>103</v>
      </c>
      <c r="X212" s="1" t="s">
        <v>96</v>
      </c>
      <c r="Y212" s="1" t="s">
        <v>52</v>
      </c>
      <c r="Z212" s="1">
        <v>7</v>
      </c>
      <c r="AB212" s="1" t="s">
        <v>479</v>
      </c>
      <c r="AC212" s="1">
        <v>0</v>
      </c>
      <c r="AD212" s="1" t="s">
        <v>105</v>
      </c>
      <c r="AE212" s="1" t="s">
        <v>70</v>
      </c>
      <c r="AF212" s="1" t="s">
        <v>113</v>
      </c>
      <c r="AG212" s="1" t="s">
        <v>478</v>
      </c>
      <c r="AI212" s="1" t="s">
        <v>75</v>
      </c>
      <c r="AK212" s="1" t="s">
        <v>86</v>
      </c>
      <c r="AL212" s="1" t="s">
        <v>87</v>
      </c>
      <c r="AM212" s="1">
        <v>2</v>
      </c>
      <c r="AN212" s="1">
        <v>0</v>
      </c>
      <c r="AO212" s="1">
        <f t="shared" si="70"/>
        <v>2</v>
      </c>
    </row>
    <row r="213" spans="1:41" x14ac:dyDescent="0.4">
      <c r="A213" s="1">
        <v>1</v>
      </c>
      <c r="B213" s="1">
        <v>2</v>
      </c>
      <c r="C213" s="1" t="s">
        <v>41</v>
      </c>
      <c r="D213" s="2">
        <v>38757</v>
      </c>
      <c r="E213" s="1">
        <v>40</v>
      </c>
      <c r="F213" s="1">
        <v>6</v>
      </c>
      <c r="G213" s="3">
        <v>0.57733796296296302</v>
      </c>
      <c r="H213" s="3">
        <v>0.5822222222222222</v>
      </c>
      <c r="I213" s="3">
        <v>4.8842592592591716E-3</v>
      </c>
      <c r="J213" s="3">
        <v>4.0856481481480467E-3</v>
      </c>
      <c r="K213" s="5">
        <f t="shared" si="69"/>
        <v>353</v>
      </c>
      <c r="L213" s="3">
        <v>8.5914351851851922E-2</v>
      </c>
      <c r="N213" s="1" t="s">
        <v>75</v>
      </c>
      <c r="O213" s="1" t="s">
        <v>43</v>
      </c>
      <c r="P213" s="1" t="s">
        <v>44</v>
      </c>
      <c r="Q213" s="1" t="s">
        <v>45</v>
      </c>
      <c r="S213" s="1" t="s">
        <v>46</v>
      </c>
      <c r="T213" s="1" t="s">
        <v>47</v>
      </c>
      <c r="U213" s="1" t="s">
        <v>66</v>
      </c>
      <c r="V213" s="1" t="s">
        <v>49</v>
      </c>
      <c r="W213" s="1" t="s">
        <v>50</v>
      </c>
      <c r="X213" s="1" t="s">
        <v>454</v>
      </c>
      <c r="Y213" s="1" t="s">
        <v>149</v>
      </c>
      <c r="Z213" s="1" t="s">
        <v>455</v>
      </c>
      <c r="AA213" s="1" t="s">
        <v>456</v>
      </c>
      <c r="AB213" s="1" t="s">
        <v>457</v>
      </c>
      <c r="AC213" s="1">
        <v>0</v>
      </c>
      <c r="AD213" s="1" t="s">
        <v>56</v>
      </c>
      <c r="AE213" s="1" t="s">
        <v>83</v>
      </c>
      <c r="AG213" s="1" t="s">
        <v>458</v>
      </c>
      <c r="AH213" s="1" t="s">
        <v>115</v>
      </c>
      <c r="AI213" s="1" t="s">
        <v>75</v>
      </c>
      <c r="AK213" s="1" t="s">
        <v>86</v>
      </c>
      <c r="AL213" s="1" t="s">
        <v>87</v>
      </c>
      <c r="AM213" s="1">
        <v>2</v>
      </c>
      <c r="AN213" s="1">
        <v>0</v>
      </c>
      <c r="AO213" s="1">
        <f t="shared" si="70"/>
        <v>2</v>
      </c>
    </row>
    <row r="214" spans="1:41" x14ac:dyDescent="0.4">
      <c r="A214" s="1">
        <v>1</v>
      </c>
      <c r="B214" s="1">
        <v>2</v>
      </c>
      <c r="C214" s="1" t="s">
        <v>41</v>
      </c>
      <c r="D214" s="2">
        <v>38757</v>
      </c>
      <c r="E214" s="1">
        <v>40</v>
      </c>
      <c r="F214" s="1">
        <v>7</v>
      </c>
      <c r="G214" s="3">
        <v>0.66813657407407412</v>
      </c>
      <c r="H214" s="3">
        <v>0.68912037037037033</v>
      </c>
      <c r="I214" s="3">
        <v>2.0983796296296209E-2</v>
      </c>
      <c r="J214" s="3">
        <v>1.8182870370370474E-2</v>
      </c>
      <c r="K214" s="5">
        <f t="shared" si="69"/>
        <v>1571</v>
      </c>
      <c r="L214" s="3">
        <v>1.6053240740740882E-2</v>
      </c>
      <c r="N214" s="1" t="s">
        <v>42</v>
      </c>
      <c r="O214" s="1" t="s">
        <v>43</v>
      </c>
      <c r="P214" s="1" t="s">
        <v>44</v>
      </c>
      <c r="Q214" s="1" t="s">
        <v>76</v>
      </c>
      <c r="S214" s="1" t="s">
        <v>46</v>
      </c>
      <c r="T214" s="1" t="s">
        <v>45</v>
      </c>
      <c r="U214" s="1" t="s">
        <v>66</v>
      </c>
      <c r="V214" s="1" t="s">
        <v>49</v>
      </c>
      <c r="W214" s="1" t="s">
        <v>50</v>
      </c>
      <c r="X214" s="1" t="s">
        <v>464</v>
      </c>
      <c r="Y214" s="1" t="s">
        <v>347</v>
      </c>
      <c r="Z214" s="1" t="s">
        <v>348</v>
      </c>
      <c r="AA214" s="1" t="s">
        <v>465</v>
      </c>
      <c r="AB214" s="1" t="s">
        <v>466</v>
      </c>
      <c r="AC214" s="1">
        <v>0</v>
      </c>
      <c r="AD214" s="1" t="s">
        <v>56</v>
      </c>
      <c r="AE214" s="1" t="s">
        <v>83</v>
      </c>
      <c r="AF214" s="1" t="s">
        <v>84</v>
      </c>
      <c r="AG214" s="1" t="s">
        <v>480</v>
      </c>
      <c r="AH214" s="1" t="s">
        <v>115</v>
      </c>
      <c r="AI214" s="1" t="s">
        <v>71</v>
      </c>
      <c r="AK214" s="1" t="s">
        <v>116</v>
      </c>
      <c r="AL214" s="1" t="s">
        <v>155</v>
      </c>
      <c r="AM214" s="1">
        <v>1</v>
      </c>
      <c r="AN214" s="1">
        <v>0</v>
      </c>
      <c r="AO214" s="1">
        <f t="shared" si="70"/>
        <v>1</v>
      </c>
    </row>
    <row r="215" spans="1:41" x14ac:dyDescent="0.4">
      <c r="A215" s="1">
        <v>1</v>
      </c>
      <c r="B215" s="1">
        <v>2</v>
      </c>
      <c r="C215" s="1" t="s">
        <v>41</v>
      </c>
      <c r="D215" s="2">
        <v>38757</v>
      </c>
      <c r="E215" s="1">
        <v>40</v>
      </c>
      <c r="F215" s="1">
        <v>7.5</v>
      </c>
      <c r="G215" s="3">
        <v>0.70517361111111121</v>
      </c>
      <c r="H215" s="3">
        <v>0.7058564814814815</v>
      </c>
      <c r="I215" s="3">
        <v>6.8287037037029208E-4</v>
      </c>
      <c r="J215" s="3">
        <v>6.8287037037029208E-4</v>
      </c>
      <c r="K215" s="5">
        <f t="shared" si="69"/>
        <v>59</v>
      </c>
      <c r="L215" s="3" t="s">
        <v>120</v>
      </c>
      <c r="N215" s="1" t="s">
        <v>42</v>
      </c>
      <c r="O215" s="1" t="s">
        <v>43</v>
      </c>
      <c r="P215" s="1" t="s">
        <v>44</v>
      </c>
      <c r="Q215" s="1" t="s">
        <v>76</v>
      </c>
      <c r="S215" s="1" t="s">
        <v>46</v>
      </c>
      <c r="T215" s="1" t="s">
        <v>45</v>
      </c>
      <c r="U215" s="1" t="s">
        <v>48</v>
      </c>
      <c r="V215" s="1" t="s">
        <v>67</v>
      </c>
      <c r="W215" s="1" t="s">
        <v>68</v>
      </c>
      <c r="Y215" s="1" t="s">
        <v>68</v>
      </c>
      <c r="AB215" s="1" t="s">
        <v>69</v>
      </c>
      <c r="AC215" s="1">
        <v>0</v>
      </c>
      <c r="AD215" s="1" t="s">
        <v>68</v>
      </c>
      <c r="AE215" s="1" t="s">
        <v>70</v>
      </c>
      <c r="AI215" s="1" t="s">
        <v>60</v>
      </c>
      <c r="AK215" s="1" t="s">
        <v>61</v>
      </c>
      <c r="AL215" s="1" t="s">
        <v>72</v>
      </c>
      <c r="AN215" s="1">
        <v>1</v>
      </c>
      <c r="AO215" s="1">
        <f t="shared" si="70"/>
        <v>1</v>
      </c>
    </row>
    <row r="216" spans="1:41" x14ac:dyDescent="0.4">
      <c r="A216" s="1">
        <v>1</v>
      </c>
      <c r="B216" s="1">
        <v>2</v>
      </c>
      <c r="C216" s="1" t="s">
        <v>41</v>
      </c>
      <c r="D216" s="2">
        <v>38786</v>
      </c>
      <c r="E216" s="1">
        <v>69</v>
      </c>
      <c r="F216" s="1">
        <v>1</v>
      </c>
      <c r="G216" s="3">
        <v>0.26415509259259257</v>
      </c>
      <c r="H216" s="3">
        <v>0.27509259259259261</v>
      </c>
      <c r="I216" s="3">
        <v>1.0937500000000044E-2</v>
      </c>
      <c r="J216" s="3">
        <v>1.0937500000000044E-2</v>
      </c>
      <c r="K216" s="5">
        <f t="shared" si="69"/>
        <v>945</v>
      </c>
      <c r="L216" s="3">
        <v>7.5694444444444065E-3</v>
      </c>
      <c r="N216" s="1" t="s">
        <v>42</v>
      </c>
      <c r="O216" s="1" t="s">
        <v>43</v>
      </c>
      <c r="P216" s="1" t="s">
        <v>44</v>
      </c>
      <c r="Q216" s="1" t="s">
        <v>45</v>
      </c>
      <c r="S216" s="1" t="s">
        <v>46</v>
      </c>
      <c r="T216" s="1" t="s">
        <v>124</v>
      </c>
      <c r="V216" s="1" t="s">
        <v>49</v>
      </c>
      <c r="W216" s="1" t="s">
        <v>50</v>
      </c>
      <c r="X216" s="1" t="s">
        <v>158</v>
      </c>
      <c r="Y216" s="1" t="s">
        <v>159</v>
      </c>
      <c r="Z216" s="1" t="s">
        <v>160</v>
      </c>
      <c r="AA216" s="1" t="s">
        <v>161</v>
      </c>
      <c r="AB216" s="1" t="s">
        <v>162</v>
      </c>
      <c r="AC216" s="1">
        <v>0</v>
      </c>
      <c r="AD216" s="1" t="s">
        <v>56</v>
      </c>
      <c r="AE216" s="1" t="s">
        <v>83</v>
      </c>
      <c r="AF216" s="1" t="s">
        <v>113</v>
      </c>
      <c r="AG216" s="1" t="s">
        <v>476</v>
      </c>
      <c r="AH216" s="1" t="s">
        <v>165</v>
      </c>
      <c r="AK216" s="1" t="s">
        <v>116</v>
      </c>
      <c r="AL216" s="1" t="s">
        <v>117</v>
      </c>
      <c r="AM216" s="1">
        <v>6</v>
      </c>
      <c r="AN216" s="1">
        <v>0</v>
      </c>
      <c r="AO216" s="1">
        <f t="shared" si="70"/>
        <v>6</v>
      </c>
    </row>
    <row r="217" spans="1:41" x14ac:dyDescent="0.4">
      <c r="A217" s="1">
        <v>1</v>
      </c>
      <c r="B217" s="1">
        <v>2</v>
      </c>
      <c r="C217" s="1" t="s">
        <v>41</v>
      </c>
      <c r="D217" s="2">
        <v>38786</v>
      </c>
      <c r="E217" s="1">
        <v>69</v>
      </c>
      <c r="F217" s="1">
        <v>1.5</v>
      </c>
      <c r="G217" s="3">
        <v>0.28266203703703702</v>
      </c>
      <c r="H217" s="3">
        <v>0.28423611111111108</v>
      </c>
      <c r="I217" s="3">
        <v>1.5740740740740611E-3</v>
      </c>
      <c r="J217" s="3">
        <v>1.5740740740740611E-3</v>
      </c>
      <c r="K217" s="5">
        <f t="shared" si="69"/>
        <v>136</v>
      </c>
      <c r="L217" s="3">
        <v>4.8379629629629661E-2</v>
      </c>
      <c r="N217" s="1" t="s">
        <v>42</v>
      </c>
      <c r="O217" s="1" t="s">
        <v>43</v>
      </c>
      <c r="P217" s="1" t="s">
        <v>44</v>
      </c>
      <c r="Q217" s="1" t="s">
        <v>76</v>
      </c>
      <c r="S217" s="1" t="s">
        <v>46</v>
      </c>
      <c r="T217" s="1" t="s">
        <v>45</v>
      </c>
      <c r="U217" s="1" t="s">
        <v>92</v>
      </c>
      <c r="AB217" s="1" t="s">
        <v>93</v>
      </c>
      <c r="AC217" s="1">
        <v>1</v>
      </c>
      <c r="AG217" s="1" t="s">
        <v>481</v>
      </c>
      <c r="AI217" s="1" t="s">
        <v>75</v>
      </c>
      <c r="AK217" s="1" t="s">
        <v>86</v>
      </c>
      <c r="AL217" s="1" t="s">
        <v>133</v>
      </c>
      <c r="AM217" s="1">
        <v>6</v>
      </c>
      <c r="AN217" s="1">
        <v>0</v>
      </c>
      <c r="AO217" s="1">
        <f t="shared" si="70"/>
        <v>6</v>
      </c>
    </row>
    <row r="218" spans="1:41" x14ac:dyDescent="0.4">
      <c r="A218" s="1">
        <v>1</v>
      </c>
      <c r="B218" s="1">
        <v>2</v>
      </c>
      <c r="C218" s="1" t="s">
        <v>41</v>
      </c>
      <c r="D218" s="2">
        <v>38786</v>
      </c>
      <c r="E218" s="1">
        <v>69</v>
      </c>
      <c r="F218" s="1">
        <v>1.75</v>
      </c>
      <c r="G218" s="3">
        <v>0.33261574074074074</v>
      </c>
      <c r="H218" s="3">
        <v>0.33287037037037037</v>
      </c>
      <c r="I218" s="3">
        <v>2.5462962962963243E-4</v>
      </c>
      <c r="J218" s="3">
        <v>2.5462962962963243E-4</v>
      </c>
      <c r="K218" s="5">
        <f t="shared" si="69"/>
        <v>22</v>
      </c>
      <c r="L218" s="3">
        <v>5.6180555555555511E-2</v>
      </c>
      <c r="N218" s="1" t="s">
        <v>251</v>
      </c>
      <c r="O218" s="1" t="s">
        <v>43</v>
      </c>
      <c r="P218" s="1" t="s">
        <v>44</v>
      </c>
      <c r="Q218" s="1" t="s">
        <v>76</v>
      </c>
      <c r="S218" s="1" t="s">
        <v>46</v>
      </c>
      <c r="AB218" s="1" t="s">
        <v>93</v>
      </c>
      <c r="AC218" s="1">
        <v>1</v>
      </c>
      <c r="AK218" s="1" t="s">
        <v>61</v>
      </c>
      <c r="AL218" s="1" t="s">
        <v>61</v>
      </c>
      <c r="AN218" s="1">
        <v>1</v>
      </c>
      <c r="AO218" s="1">
        <f t="shared" si="70"/>
        <v>1</v>
      </c>
    </row>
    <row r="219" spans="1:41" x14ac:dyDescent="0.4">
      <c r="A219" s="1">
        <v>1</v>
      </c>
      <c r="B219" s="1">
        <v>2</v>
      </c>
      <c r="C219" s="1" t="s">
        <v>41</v>
      </c>
      <c r="D219" s="2">
        <v>38786</v>
      </c>
      <c r="E219" s="1">
        <v>69</v>
      </c>
      <c r="F219" s="1">
        <v>2</v>
      </c>
      <c r="G219" s="3">
        <v>0.38905092592592588</v>
      </c>
      <c r="H219" s="3">
        <v>0.40364583333333331</v>
      </c>
      <c r="I219" s="3">
        <v>1.4594907407407431E-2</v>
      </c>
      <c r="J219" s="3">
        <v>1.4212962962962983E-2</v>
      </c>
      <c r="K219" s="5">
        <f t="shared" si="69"/>
        <v>1228</v>
      </c>
      <c r="L219" s="3">
        <v>9.8263888888889261E-3</v>
      </c>
      <c r="N219" s="1" t="s">
        <v>251</v>
      </c>
      <c r="O219" s="1" t="s">
        <v>43</v>
      </c>
      <c r="P219" s="1" t="s">
        <v>44</v>
      </c>
      <c r="Q219" s="1" t="s">
        <v>76</v>
      </c>
      <c r="S219" s="1" t="s">
        <v>46</v>
      </c>
      <c r="T219" s="1" t="s">
        <v>47</v>
      </c>
      <c r="U219" s="1" t="s">
        <v>92</v>
      </c>
      <c r="V219" s="1" t="s">
        <v>49</v>
      </c>
      <c r="W219" s="1" t="s">
        <v>140</v>
      </c>
      <c r="X219" s="1" t="s">
        <v>177</v>
      </c>
      <c r="Y219" s="1" t="s">
        <v>79</v>
      </c>
      <c r="Z219" s="1" t="s">
        <v>178</v>
      </c>
      <c r="AA219" s="1" t="s">
        <v>179</v>
      </c>
      <c r="AB219" s="1" t="s">
        <v>180</v>
      </c>
      <c r="AC219" s="1">
        <v>0</v>
      </c>
      <c r="AD219" s="1" t="s">
        <v>56</v>
      </c>
      <c r="AE219" s="1" t="s">
        <v>181</v>
      </c>
      <c r="AF219" s="1" t="s">
        <v>113</v>
      </c>
      <c r="AG219" s="1" t="s">
        <v>482</v>
      </c>
      <c r="AH219" s="1" t="s">
        <v>115</v>
      </c>
      <c r="AI219" s="1" t="s">
        <v>253</v>
      </c>
      <c r="AK219" s="1" t="s">
        <v>86</v>
      </c>
      <c r="AL219" s="1" t="s">
        <v>87</v>
      </c>
      <c r="AM219" s="1">
        <v>3</v>
      </c>
      <c r="AN219" s="1">
        <v>0</v>
      </c>
      <c r="AO219" s="1">
        <f t="shared" si="70"/>
        <v>3</v>
      </c>
    </row>
    <row r="220" spans="1:41" x14ac:dyDescent="0.4">
      <c r="A220" s="1">
        <v>1</v>
      </c>
      <c r="B220" s="1">
        <v>2</v>
      </c>
      <c r="C220" s="1" t="s">
        <v>41</v>
      </c>
      <c r="D220" s="2">
        <v>38786</v>
      </c>
      <c r="E220" s="1">
        <v>69</v>
      </c>
      <c r="F220" s="1">
        <v>2.5</v>
      </c>
      <c r="G220" s="3">
        <v>0.41347222222222224</v>
      </c>
      <c r="H220" s="3">
        <v>0.41710648148148149</v>
      </c>
      <c r="I220" s="3">
        <v>3.6342592592592537E-3</v>
      </c>
      <c r="J220" s="3">
        <v>3.0439814814814392E-3</v>
      </c>
      <c r="K220" s="5">
        <f t="shared" si="69"/>
        <v>263</v>
      </c>
      <c r="L220" s="3">
        <v>0.17576388888888889</v>
      </c>
      <c r="N220" s="1" t="s">
        <v>251</v>
      </c>
      <c r="O220" s="1" t="s">
        <v>43</v>
      </c>
      <c r="P220" s="1" t="s">
        <v>44</v>
      </c>
      <c r="Q220" s="1" t="s">
        <v>191</v>
      </c>
      <c r="S220" s="1" t="s">
        <v>46</v>
      </c>
      <c r="T220" s="1" t="s">
        <v>47</v>
      </c>
      <c r="U220" s="1" t="s">
        <v>92</v>
      </c>
      <c r="V220" s="1" t="s">
        <v>102</v>
      </c>
      <c r="W220" s="1" t="s">
        <v>103</v>
      </c>
      <c r="X220" s="1" t="s">
        <v>121</v>
      </c>
      <c r="AB220" s="1" t="s">
        <v>104</v>
      </c>
      <c r="AC220" s="1">
        <v>0</v>
      </c>
      <c r="AE220" s="1" t="s">
        <v>70</v>
      </c>
      <c r="AG220" s="1" t="s">
        <v>483</v>
      </c>
      <c r="AI220" s="1" t="s">
        <v>253</v>
      </c>
      <c r="AK220" s="1" t="s">
        <v>86</v>
      </c>
      <c r="AL220" s="1" t="s">
        <v>133</v>
      </c>
      <c r="AM220" s="1">
        <v>1</v>
      </c>
      <c r="AN220" s="1">
        <v>0</v>
      </c>
      <c r="AO220" s="1">
        <f t="shared" si="70"/>
        <v>1</v>
      </c>
    </row>
    <row r="221" spans="1:41" x14ac:dyDescent="0.4">
      <c r="A221" s="1">
        <v>1</v>
      </c>
      <c r="B221" s="1">
        <v>2</v>
      </c>
      <c r="C221" s="1" t="s">
        <v>41</v>
      </c>
      <c r="D221" s="2">
        <v>38786</v>
      </c>
      <c r="E221" s="1">
        <v>69</v>
      </c>
      <c r="F221" s="1">
        <v>3</v>
      </c>
      <c r="G221" s="3">
        <v>0.59287037037037038</v>
      </c>
      <c r="H221" s="3">
        <v>0.60406249999999995</v>
      </c>
      <c r="I221" s="3">
        <v>1.1192129629629566E-2</v>
      </c>
      <c r="J221" s="3">
        <v>5.4745370370369306E-3</v>
      </c>
      <c r="K221" s="5">
        <f t="shared" si="69"/>
        <v>473</v>
      </c>
      <c r="L221" s="3">
        <v>9.8495370370370594E-3</v>
      </c>
      <c r="N221" s="1" t="s">
        <v>42</v>
      </c>
      <c r="O221" s="1" t="s">
        <v>43</v>
      </c>
      <c r="P221" s="1" t="s">
        <v>44</v>
      </c>
      <c r="Q221" s="1" t="s">
        <v>45</v>
      </c>
      <c r="S221" s="1" t="s">
        <v>46</v>
      </c>
      <c r="T221" s="1" t="s">
        <v>124</v>
      </c>
      <c r="U221" s="1" t="s">
        <v>156</v>
      </c>
      <c r="V221" s="1" t="s">
        <v>49</v>
      </c>
      <c r="W221" s="1" t="s">
        <v>140</v>
      </c>
      <c r="X221" s="1" t="s">
        <v>177</v>
      </c>
      <c r="Y221" s="1" t="s">
        <v>79</v>
      </c>
      <c r="Z221" s="1" t="s">
        <v>178</v>
      </c>
      <c r="AA221" s="1" t="s">
        <v>179</v>
      </c>
      <c r="AB221" s="1" t="s">
        <v>180</v>
      </c>
      <c r="AC221" s="1">
        <v>0</v>
      </c>
      <c r="AD221" s="1" t="s">
        <v>56</v>
      </c>
      <c r="AE221" s="1" t="s">
        <v>181</v>
      </c>
      <c r="AF221" s="1" t="s">
        <v>84</v>
      </c>
      <c r="AG221" s="1" t="s">
        <v>482</v>
      </c>
      <c r="AH221" s="1" t="s">
        <v>115</v>
      </c>
      <c r="AI221" s="1" t="s">
        <v>255</v>
      </c>
      <c r="AK221" s="1" t="s">
        <v>86</v>
      </c>
      <c r="AL221" s="1" t="s">
        <v>133</v>
      </c>
      <c r="AM221" s="1">
        <v>3</v>
      </c>
      <c r="AN221" s="1">
        <v>0</v>
      </c>
      <c r="AO221" s="1">
        <f t="shared" si="70"/>
        <v>3</v>
      </c>
    </row>
    <row r="222" spans="1:41" x14ac:dyDescent="0.4">
      <c r="A222" s="1">
        <v>1</v>
      </c>
      <c r="B222" s="1">
        <v>2</v>
      </c>
      <c r="C222" s="1" t="s">
        <v>41</v>
      </c>
      <c r="D222" s="2">
        <v>38786</v>
      </c>
      <c r="E222" s="1">
        <v>69</v>
      </c>
      <c r="F222" s="1">
        <v>3.2</v>
      </c>
      <c r="G222" s="3">
        <v>0.61391203703703701</v>
      </c>
      <c r="H222" s="3">
        <v>0.61402777777777773</v>
      </c>
      <c r="I222" s="3">
        <v>1.1574074074072183E-4</v>
      </c>
      <c r="J222" s="3">
        <v>1.1574074074072183E-4</v>
      </c>
      <c r="K222" s="5">
        <f t="shared" si="69"/>
        <v>10</v>
      </c>
      <c r="L222" s="3">
        <v>2.3263888888889195E-3</v>
      </c>
      <c r="N222" s="1" t="s">
        <v>42</v>
      </c>
      <c r="O222" s="1" t="s">
        <v>43</v>
      </c>
      <c r="P222" s="1" t="s">
        <v>44</v>
      </c>
      <c r="Q222" s="1" t="s">
        <v>132</v>
      </c>
      <c r="S222" s="1" t="s">
        <v>46</v>
      </c>
      <c r="T222" s="1" t="s">
        <v>45</v>
      </c>
      <c r="U222" s="1" t="s">
        <v>92</v>
      </c>
      <c r="AB222" s="1" t="s">
        <v>93</v>
      </c>
      <c r="AC222" s="1">
        <v>1</v>
      </c>
      <c r="AI222" s="1" t="s">
        <v>75</v>
      </c>
      <c r="AK222" s="1" t="s">
        <v>86</v>
      </c>
      <c r="AL222" s="1" t="s">
        <v>133</v>
      </c>
      <c r="AN222" s="1">
        <v>1</v>
      </c>
      <c r="AO222" s="1">
        <f t="shared" si="70"/>
        <v>1</v>
      </c>
    </row>
    <row r="223" spans="1:41" x14ac:dyDescent="0.4">
      <c r="A223" s="1">
        <v>1</v>
      </c>
      <c r="B223" s="1">
        <v>2</v>
      </c>
      <c r="C223" s="1" t="s">
        <v>41</v>
      </c>
      <c r="D223" s="2">
        <v>38786</v>
      </c>
      <c r="E223" s="1">
        <v>69</v>
      </c>
      <c r="F223" s="1">
        <v>3.25</v>
      </c>
      <c r="G223" s="3">
        <v>0.61635416666666665</v>
      </c>
      <c r="H223" s="3">
        <v>0.61840277777777775</v>
      </c>
      <c r="I223" s="3">
        <v>2.0486111111110983E-3</v>
      </c>
      <c r="J223" s="3">
        <v>1.6203703703709937E-4</v>
      </c>
      <c r="K223" s="5">
        <f t="shared" si="69"/>
        <v>14</v>
      </c>
      <c r="L223" s="3">
        <v>4.8854166666666754E-2</v>
      </c>
      <c r="N223" s="1" t="s">
        <v>42</v>
      </c>
      <c r="O223" s="1" t="s">
        <v>43</v>
      </c>
      <c r="P223" s="1" t="s">
        <v>44</v>
      </c>
      <c r="Q223" s="1" t="s">
        <v>132</v>
      </c>
      <c r="S223" s="1" t="s">
        <v>46</v>
      </c>
      <c r="T223" s="1" t="s">
        <v>45</v>
      </c>
      <c r="U223" s="1" t="s">
        <v>92</v>
      </c>
      <c r="AB223" s="1" t="s">
        <v>93</v>
      </c>
      <c r="AC223" s="1">
        <v>1</v>
      </c>
      <c r="AI223" s="1" t="s">
        <v>75</v>
      </c>
      <c r="AK223" s="1" t="s">
        <v>61</v>
      </c>
      <c r="AL223" s="1" t="s">
        <v>133</v>
      </c>
      <c r="AN223" s="1">
        <v>1</v>
      </c>
      <c r="AO223" s="1">
        <f t="shared" si="70"/>
        <v>1</v>
      </c>
    </row>
    <row r="224" spans="1:41" x14ac:dyDescent="0.4">
      <c r="A224" s="1">
        <v>1</v>
      </c>
      <c r="B224" s="1">
        <v>2</v>
      </c>
      <c r="C224" s="1" t="s">
        <v>41</v>
      </c>
      <c r="D224" s="2">
        <v>38786</v>
      </c>
      <c r="E224" s="1">
        <v>69</v>
      </c>
      <c r="F224" s="1">
        <v>3.5</v>
      </c>
      <c r="G224" s="3">
        <v>0.6672569444444445</v>
      </c>
      <c r="H224" s="3">
        <v>0.67314814814814816</v>
      </c>
      <c r="I224" s="3">
        <v>5.8912037037036624E-3</v>
      </c>
      <c r="J224" s="3">
        <v>3.263888888888955E-3</v>
      </c>
      <c r="K224" s="5">
        <f t="shared" si="69"/>
        <v>282</v>
      </c>
      <c r="L224" s="3">
        <v>1.4490740740740748E-2</v>
      </c>
      <c r="N224" s="1" t="s">
        <v>42</v>
      </c>
      <c r="O224" s="1" t="s">
        <v>43</v>
      </c>
      <c r="P224" s="1" t="s">
        <v>44</v>
      </c>
      <c r="Q224" s="1" t="s">
        <v>45</v>
      </c>
      <c r="S224" s="1" t="s">
        <v>46</v>
      </c>
      <c r="T224" s="1" t="s">
        <v>47</v>
      </c>
      <c r="U224" s="1" t="s">
        <v>66</v>
      </c>
      <c r="V224" s="1" t="s">
        <v>67</v>
      </c>
      <c r="W224" s="1" t="s">
        <v>68</v>
      </c>
      <c r="X224" s="1" t="s">
        <v>484</v>
      </c>
      <c r="Y224" s="1" t="s">
        <v>68</v>
      </c>
      <c r="AB224" s="1" t="s">
        <v>69</v>
      </c>
      <c r="AC224" s="1">
        <v>0</v>
      </c>
      <c r="AD224" s="1" t="s">
        <v>68</v>
      </c>
      <c r="AE224" s="1" t="s">
        <v>70</v>
      </c>
      <c r="AF224" s="1" t="s">
        <v>113</v>
      </c>
      <c r="AI224" s="1" t="s">
        <v>71</v>
      </c>
      <c r="AJ224" s="1" t="s">
        <v>147</v>
      </c>
      <c r="AK224" s="1" t="s">
        <v>86</v>
      </c>
      <c r="AL224" s="1" t="s">
        <v>87</v>
      </c>
      <c r="AN224" s="1">
        <v>1</v>
      </c>
      <c r="AO224" s="1">
        <f t="shared" si="70"/>
        <v>1</v>
      </c>
    </row>
    <row r="225" spans="1:41" x14ac:dyDescent="0.4">
      <c r="A225" s="1">
        <v>1</v>
      </c>
      <c r="B225" s="1">
        <v>2</v>
      </c>
      <c r="C225" s="1" t="s">
        <v>41</v>
      </c>
      <c r="D225" s="2">
        <v>38786</v>
      </c>
      <c r="E225" s="1">
        <v>69</v>
      </c>
      <c r="F225" s="1">
        <v>4</v>
      </c>
      <c r="G225" s="3">
        <v>0.68763888888888891</v>
      </c>
      <c r="H225" s="3">
        <v>0.68991898148148145</v>
      </c>
      <c r="I225" s="3">
        <v>2.2800925925925419E-3</v>
      </c>
      <c r="J225" s="3">
        <v>2.2800925925925419E-3</v>
      </c>
      <c r="K225" s="5">
        <f t="shared" si="69"/>
        <v>197</v>
      </c>
      <c r="L225" s="3">
        <v>7.523148148148584E-4</v>
      </c>
      <c r="N225" s="1" t="s">
        <v>42</v>
      </c>
      <c r="O225" s="1" t="s">
        <v>43</v>
      </c>
      <c r="P225" s="1" t="s">
        <v>44</v>
      </c>
      <c r="Q225" s="1" t="s">
        <v>45</v>
      </c>
      <c r="S225" s="1" t="s">
        <v>46</v>
      </c>
      <c r="T225" s="1" t="s">
        <v>45</v>
      </c>
      <c r="U225" s="1" t="s">
        <v>66</v>
      </c>
      <c r="V225" s="1" t="s">
        <v>102</v>
      </c>
      <c r="W225" s="1" t="s">
        <v>103</v>
      </c>
      <c r="X225" s="1" t="s">
        <v>96</v>
      </c>
      <c r="Y225" s="1" t="s">
        <v>52</v>
      </c>
      <c r="Z225" s="1">
        <v>7</v>
      </c>
      <c r="AB225" s="1" t="s">
        <v>479</v>
      </c>
      <c r="AC225" s="1">
        <v>0</v>
      </c>
      <c r="AD225" s="1" t="s">
        <v>105</v>
      </c>
      <c r="AE225" s="1" t="s">
        <v>70</v>
      </c>
      <c r="AF225" s="1" t="s">
        <v>113</v>
      </c>
      <c r="AG225" s="1" t="s">
        <v>485</v>
      </c>
      <c r="AH225" s="1" t="s">
        <v>157</v>
      </c>
      <c r="AI225" s="1" t="s">
        <v>71</v>
      </c>
      <c r="AK225" s="1" t="s">
        <v>116</v>
      </c>
      <c r="AL225" s="1" t="s">
        <v>117</v>
      </c>
      <c r="AM225" s="1">
        <v>2</v>
      </c>
      <c r="AN225" s="1">
        <v>0</v>
      </c>
      <c r="AO225" s="1">
        <f t="shared" si="70"/>
        <v>2</v>
      </c>
    </row>
    <row r="226" spans="1:41" x14ac:dyDescent="0.4">
      <c r="A226" s="1">
        <v>1</v>
      </c>
      <c r="B226" s="1">
        <v>2</v>
      </c>
      <c r="C226" s="1" t="s">
        <v>41</v>
      </c>
      <c r="D226" s="2">
        <v>38786</v>
      </c>
      <c r="E226" s="1">
        <v>69</v>
      </c>
      <c r="F226" s="1">
        <v>4</v>
      </c>
      <c r="G226" s="3">
        <v>0.6953125</v>
      </c>
      <c r="H226" s="3">
        <v>0.69709490740740743</v>
      </c>
      <c r="I226" s="3">
        <v>1.782407407407427E-3</v>
      </c>
      <c r="J226" s="3">
        <v>1.3425925925926174E-3</v>
      </c>
      <c r="K226" s="5">
        <f t="shared" si="69"/>
        <v>116</v>
      </c>
      <c r="L226" s="3">
        <v>6.712962962962532E-4</v>
      </c>
      <c r="N226" s="1" t="s">
        <v>42</v>
      </c>
      <c r="O226" s="1" t="s">
        <v>43</v>
      </c>
      <c r="P226" s="1" t="s">
        <v>44</v>
      </c>
      <c r="Q226" s="1" t="s">
        <v>76</v>
      </c>
      <c r="S226" s="1" t="s">
        <v>46</v>
      </c>
      <c r="T226" s="1" t="s">
        <v>45</v>
      </c>
      <c r="U226" s="1" t="s">
        <v>92</v>
      </c>
      <c r="V226" s="1" t="s">
        <v>102</v>
      </c>
      <c r="W226" s="1" t="s">
        <v>103</v>
      </c>
      <c r="X226" s="1" t="s">
        <v>96</v>
      </c>
      <c r="Y226" s="1" t="s">
        <v>52</v>
      </c>
      <c r="Z226" s="1">
        <v>7</v>
      </c>
      <c r="AB226" s="1" t="s">
        <v>479</v>
      </c>
      <c r="AC226" s="1">
        <v>0</v>
      </c>
      <c r="AD226" s="1" t="s">
        <v>105</v>
      </c>
      <c r="AE226" s="1" t="s">
        <v>70</v>
      </c>
      <c r="AF226" s="1" t="s">
        <v>113</v>
      </c>
      <c r="AG226" s="1" t="s">
        <v>485</v>
      </c>
      <c r="AH226" s="1" t="s">
        <v>157</v>
      </c>
      <c r="AI226" s="1" t="s">
        <v>75</v>
      </c>
      <c r="AK226" s="1" t="s">
        <v>86</v>
      </c>
      <c r="AL226" s="1" t="s">
        <v>87</v>
      </c>
      <c r="AM226" s="1">
        <v>2</v>
      </c>
      <c r="AN226" s="1">
        <v>0</v>
      </c>
      <c r="AO226" s="1">
        <f t="shared" si="70"/>
        <v>2</v>
      </c>
    </row>
    <row r="227" spans="1:41" x14ac:dyDescent="0.4">
      <c r="A227" s="1">
        <v>1</v>
      </c>
      <c r="B227" s="1">
        <v>2</v>
      </c>
      <c r="C227" s="1" t="s">
        <v>41</v>
      </c>
      <c r="D227" s="2">
        <v>38786</v>
      </c>
      <c r="E227" s="1">
        <v>69</v>
      </c>
      <c r="F227" s="1">
        <v>4.5</v>
      </c>
      <c r="G227" s="3">
        <v>0.69067129629629631</v>
      </c>
      <c r="H227" s="3">
        <v>0.69224537037037026</v>
      </c>
      <c r="I227" s="3">
        <v>1.5740740740739501E-3</v>
      </c>
      <c r="J227" s="3">
        <v>1.5740740740739501E-3</v>
      </c>
      <c r="K227" s="5">
        <f t="shared" si="69"/>
        <v>136</v>
      </c>
      <c r="L227" s="3">
        <v>3.067129629629739E-3</v>
      </c>
      <c r="N227" s="1" t="s">
        <v>42</v>
      </c>
      <c r="O227" s="1" t="s">
        <v>43</v>
      </c>
      <c r="P227" s="1" t="s">
        <v>44</v>
      </c>
      <c r="Q227" s="1" t="s">
        <v>45</v>
      </c>
      <c r="S227" s="1" t="s">
        <v>46</v>
      </c>
      <c r="T227" s="1" t="s">
        <v>45</v>
      </c>
      <c r="U227" s="1" t="s">
        <v>92</v>
      </c>
      <c r="V227" s="1" t="s">
        <v>67</v>
      </c>
      <c r="W227" s="1" t="s">
        <v>68</v>
      </c>
      <c r="X227" s="1" t="s">
        <v>484</v>
      </c>
      <c r="Y227" s="1" t="s">
        <v>68</v>
      </c>
      <c r="AB227" s="1" t="s">
        <v>69</v>
      </c>
      <c r="AC227" s="1">
        <v>0</v>
      </c>
      <c r="AD227" s="1" t="s">
        <v>68</v>
      </c>
      <c r="AE227" s="1" t="s">
        <v>70</v>
      </c>
      <c r="AG227" s="1" t="s">
        <v>485</v>
      </c>
      <c r="AI227" s="1" t="s">
        <v>75</v>
      </c>
      <c r="AK227" s="1" t="s">
        <v>116</v>
      </c>
      <c r="AL227" s="1" t="s">
        <v>174</v>
      </c>
      <c r="AM227" s="1">
        <v>2</v>
      </c>
      <c r="AN227" s="1">
        <v>0</v>
      </c>
      <c r="AO227" s="1">
        <f t="shared" si="70"/>
        <v>2</v>
      </c>
    </row>
    <row r="228" spans="1:41" x14ac:dyDescent="0.4">
      <c r="A228" s="1">
        <v>1</v>
      </c>
      <c r="B228" s="1">
        <v>2</v>
      </c>
      <c r="C228" s="1" t="s">
        <v>41</v>
      </c>
      <c r="D228" s="2">
        <v>38786</v>
      </c>
      <c r="E228" s="1">
        <v>69</v>
      </c>
      <c r="F228" s="1">
        <v>4.7</v>
      </c>
      <c r="G228" s="3">
        <v>0.69776620370370368</v>
      </c>
      <c r="H228" s="3">
        <v>0.69819444444444445</v>
      </c>
      <c r="I228" s="3">
        <v>4.2824074074077068E-4</v>
      </c>
      <c r="J228" s="3">
        <v>4.2824074074077068E-4</v>
      </c>
      <c r="K228" s="5">
        <f t="shared" si="69"/>
        <v>37</v>
      </c>
      <c r="L228" s="3">
        <v>2.792824074074074E-2</v>
      </c>
      <c r="N228" s="1" t="s">
        <v>42</v>
      </c>
      <c r="O228" s="1" t="s">
        <v>43</v>
      </c>
      <c r="P228" s="1" t="s">
        <v>44</v>
      </c>
      <c r="Q228" s="1" t="s">
        <v>76</v>
      </c>
      <c r="S228" s="1" t="s">
        <v>46</v>
      </c>
      <c r="T228" s="1" t="s">
        <v>45</v>
      </c>
      <c r="V228" s="1" t="s">
        <v>67</v>
      </c>
      <c r="W228" s="1" t="s">
        <v>68</v>
      </c>
      <c r="X228" s="1" t="s">
        <v>484</v>
      </c>
      <c r="Y228" s="1" t="s">
        <v>68</v>
      </c>
      <c r="AB228" s="1" t="s">
        <v>69</v>
      </c>
      <c r="AC228" s="1">
        <v>0</v>
      </c>
      <c r="AD228" s="1" t="s">
        <v>68</v>
      </c>
      <c r="AE228" s="1" t="s">
        <v>70</v>
      </c>
      <c r="AK228" s="1" t="s">
        <v>61</v>
      </c>
      <c r="AL228" s="1" t="s">
        <v>72</v>
      </c>
      <c r="AN228" s="1">
        <v>1</v>
      </c>
      <c r="AO228" s="1">
        <f t="shared" si="70"/>
        <v>1</v>
      </c>
    </row>
    <row r="229" spans="1:41" x14ac:dyDescent="0.4">
      <c r="A229" s="1">
        <v>1</v>
      </c>
      <c r="B229" s="1">
        <v>2</v>
      </c>
      <c r="C229" s="1" t="s">
        <v>41</v>
      </c>
      <c r="D229" s="2">
        <v>38786</v>
      </c>
      <c r="E229" s="1">
        <v>69</v>
      </c>
      <c r="F229" s="1">
        <v>5</v>
      </c>
      <c r="G229" s="3">
        <v>0.72612268518518519</v>
      </c>
      <c r="H229" s="3">
        <v>0.73061342592592593</v>
      </c>
      <c r="I229" s="3">
        <v>4.4907407407407396E-3</v>
      </c>
      <c r="J229" s="3">
        <v>4.4907407407407396E-3</v>
      </c>
      <c r="K229" s="5">
        <f t="shared" si="69"/>
        <v>388</v>
      </c>
      <c r="L229" s="3" t="s">
        <v>120</v>
      </c>
      <c r="N229" s="1" t="s">
        <v>42</v>
      </c>
      <c r="O229" s="1" t="s">
        <v>43</v>
      </c>
      <c r="P229" s="1" t="s">
        <v>44</v>
      </c>
      <c r="Q229" s="1" t="s">
        <v>191</v>
      </c>
      <c r="S229" s="1" t="s">
        <v>46</v>
      </c>
      <c r="T229" s="1" t="s">
        <v>45</v>
      </c>
      <c r="AB229" s="1" t="s">
        <v>93</v>
      </c>
      <c r="AC229" s="1">
        <v>1</v>
      </c>
      <c r="AG229" s="1" t="s">
        <v>486</v>
      </c>
      <c r="AK229" s="1" t="s">
        <v>86</v>
      </c>
      <c r="AL229" s="1" t="s">
        <v>87</v>
      </c>
      <c r="AM229" s="1">
        <v>5</v>
      </c>
      <c r="AN229" s="1">
        <v>0</v>
      </c>
      <c r="AO229" s="1">
        <f t="shared" si="70"/>
        <v>5</v>
      </c>
    </row>
    <row r="230" spans="1:41" x14ac:dyDescent="0.4">
      <c r="A230" s="1">
        <v>1</v>
      </c>
      <c r="B230" s="1">
        <v>2</v>
      </c>
      <c r="C230" s="1" t="s">
        <v>41</v>
      </c>
      <c r="D230" s="2">
        <v>38789</v>
      </c>
      <c r="E230" s="1">
        <v>72</v>
      </c>
      <c r="F230" s="1">
        <v>1</v>
      </c>
      <c r="G230" s="3">
        <v>0.27160879629629631</v>
      </c>
      <c r="H230" s="3">
        <v>0.27910879629629631</v>
      </c>
      <c r="I230" s="3">
        <v>7.5000000000000067E-3</v>
      </c>
      <c r="J230" s="3">
        <v>7.5000000000000067E-3</v>
      </c>
      <c r="K230" s="5">
        <f t="shared" si="69"/>
        <v>648</v>
      </c>
      <c r="L230" s="3">
        <v>2.1064814814814592E-3</v>
      </c>
      <c r="N230" s="1" t="s">
        <v>42</v>
      </c>
      <c r="O230" s="1" t="s">
        <v>43</v>
      </c>
      <c r="P230" s="1" t="s">
        <v>44</v>
      </c>
      <c r="Q230" s="1" t="s">
        <v>76</v>
      </c>
      <c r="S230" s="1" t="s">
        <v>46</v>
      </c>
      <c r="T230" s="1" t="s">
        <v>47</v>
      </c>
      <c r="V230" s="1" t="s">
        <v>49</v>
      </c>
      <c r="W230" s="1" t="s">
        <v>50</v>
      </c>
      <c r="X230" s="1" t="s">
        <v>487</v>
      </c>
      <c r="Y230" s="1" t="s">
        <v>79</v>
      </c>
      <c r="Z230" s="1" t="s">
        <v>488</v>
      </c>
      <c r="AA230" s="1" t="s">
        <v>489</v>
      </c>
      <c r="AB230" s="1" t="s">
        <v>490</v>
      </c>
      <c r="AC230" s="1">
        <v>0</v>
      </c>
      <c r="AD230" s="1" t="s">
        <v>56</v>
      </c>
      <c r="AE230" s="1" t="s">
        <v>83</v>
      </c>
      <c r="AF230" s="1" t="s">
        <v>113</v>
      </c>
      <c r="AG230" s="1" t="s">
        <v>491</v>
      </c>
      <c r="AH230" s="1" t="s">
        <v>115</v>
      </c>
      <c r="AK230" s="1" t="s">
        <v>86</v>
      </c>
      <c r="AL230" s="1" t="s">
        <v>86</v>
      </c>
      <c r="AM230" s="1">
        <v>2</v>
      </c>
      <c r="AN230" s="1">
        <v>0</v>
      </c>
      <c r="AO230" s="1">
        <f t="shared" si="70"/>
        <v>2</v>
      </c>
    </row>
    <row r="231" spans="1:41" x14ac:dyDescent="0.4">
      <c r="A231" s="1">
        <v>1</v>
      </c>
      <c r="B231" s="1">
        <v>2</v>
      </c>
      <c r="C231" s="1" t="s">
        <v>41</v>
      </c>
      <c r="D231" s="2">
        <v>38789</v>
      </c>
      <c r="E231" s="1">
        <v>72</v>
      </c>
      <c r="F231" s="1">
        <v>2</v>
      </c>
      <c r="G231" s="3">
        <v>0.28121527777777777</v>
      </c>
      <c r="H231" s="3">
        <v>0.30365740740740738</v>
      </c>
      <c r="I231" s="3">
        <v>2.2442129629629604E-2</v>
      </c>
      <c r="J231" s="3">
        <v>2.2222222222222199E-2</v>
      </c>
      <c r="K231" s="5">
        <f t="shared" si="69"/>
        <v>1920</v>
      </c>
      <c r="L231" s="3">
        <v>1.8807870370370405E-2</v>
      </c>
      <c r="N231" s="1" t="s">
        <v>42</v>
      </c>
      <c r="O231" s="1" t="s">
        <v>43</v>
      </c>
      <c r="P231" s="1" t="s">
        <v>44</v>
      </c>
      <c r="Q231" s="1" t="s">
        <v>76</v>
      </c>
      <c r="S231" s="1" t="s">
        <v>46</v>
      </c>
      <c r="T231" s="1" t="s">
        <v>47</v>
      </c>
      <c r="V231" s="1" t="s">
        <v>49</v>
      </c>
      <c r="W231" s="1" t="s">
        <v>50</v>
      </c>
      <c r="X231" s="1" t="s">
        <v>158</v>
      </c>
      <c r="Y231" s="1" t="s">
        <v>159</v>
      </c>
      <c r="Z231" s="1" t="s">
        <v>160</v>
      </c>
      <c r="AA231" s="1" t="s">
        <v>161</v>
      </c>
      <c r="AB231" s="1" t="s">
        <v>162</v>
      </c>
      <c r="AC231" s="1">
        <v>0</v>
      </c>
      <c r="AD231" s="1" t="s">
        <v>56</v>
      </c>
      <c r="AE231" s="1" t="s">
        <v>83</v>
      </c>
      <c r="AF231" s="1" t="s">
        <v>113</v>
      </c>
      <c r="AG231" s="1" t="s">
        <v>476</v>
      </c>
      <c r="AH231" s="1" t="s">
        <v>165</v>
      </c>
      <c r="AK231" s="1" t="s">
        <v>61</v>
      </c>
      <c r="AL231" s="1" t="s">
        <v>133</v>
      </c>
      <c r="AM231" s="1">
        <v>6</v>
      </c>
      <c r="AN231" s="1">
        <v>0</v>
      </c>
      <c r="AO231" s="1">
        <f t="shared" si="70"/>
        <v>6</v>
      </c>
    </row>
    <row r="232" spans="1:41" x14ac:dyDescent="0.4">
      <c r="A232" s="1">
        <v>1</v>
      </c>
      <c r="B232" s="1">
        <v>2</v>
      </c>
      <c r="C232" s="1" t="s">
        <v>41</v>
      </c>
      <c r="D232" s="2">
        <v>38789</v>
      </c>
      <c r="E232" s="1">
        <v>72</v>
      </c>
      <c r="F232" s="1">
        <v>2.5</v>
      </c>
      <c r="G232" s="3">
        <v>0.32246527777777778</v>
      </c>
      <c r="H232" s="3">
        <v>0.33850694444444446</v>
      </c>
      <c r="I232" s="3">
        <v>1.6041666666666676E-2</v>
      </c>
      <c r="J232" s="3">
        <v>8.4027777777778145E-3</v>
      </c>
      <c r="K232" s="5">
        <f t="shared" si="69"/>
        <v>726</v>
      </c>
      <c r="L232" s="3">
        <v>2.569444444444402E-3</v>
      </c>
      <c r="N232" s="1" t="s">
        <v>75</v>
      </c>
      <c r="O232" s="1" t="s">
        <v>43</v>
      </c>
      <c r="P232" s="1" t="s">
        <v>44</v>
      </c>
      <c r="Q232" s="1" t="s">
        <v>45</v>
      </c>
      <c r="S232" s="1" t="s">
        <v>46</v>
      </c>
      <c r="T232" s="1" t="s">
        <v>47</v>
      </c>
      <c r="U232" s="1" t="s">
        <v>92</v>
      </c>
      <c r="V232" s="1" t="s">
        <v>67</v>
      </c>
      <c r="W232" s="1" t="s">
        <v>68</v>
      </c>
      <c r="X232" s="1" t="s">
        <v>492</v>
      </c>
      <c r="Y232" s="1" t="s">
        <v>68</v>
      </c>
      <c r="AB232" s="1" t="s">
        <v>69</v>
      </c>
      <c r="AC232" s="1">
        <v>0</v>
      </c>
      <c r="AD232" s="1" t="s">
        <v>68</v>
      </c>
      <c r="AE232" s="1" t="s">
        <v>70</v>
      </c>
      <c r="AI232" s="1" t="s">
        <v>75</v>
      </c>
      <c r="AK232" s="1" t="s">
        <v>86</v>
      </c>
      <c r="AL232" s="1" t="s">
        <v>87</v>
      </c>
      <c r="AN232" s="1">
        <v>1</v>
      </c>
      <c r="AO232" s="1">
        <f t="shared" si="70"/>
        <v>1</v>
      </c>
    </row>
    <row r="233" spans="1:41" x14ac:dyDescent="0.4">
      <c r="A233" s="1">
        <v>1</v>
      </c>
      <c r="B233" s="1">
        <v>2</v>
      </c>
      <c r="C233" s="1" t="s">
        <v>41</v>
      </c>
      <c r="D233" s="2">
        <v>38789</v>
      </c>
      <c r="E233" s="1">
        <v>72</v>
      </c>
      <c r="F233" s="1">
        <v>3</v>
      </c>
      <c r="G233" s="3">
        <v>0.34107638888888886</v>
      </c>
      <c r="H233" s="3">
        <v>0.34575231481481478</v>
      </c>
      <c r="I233" s="3">
        <v>4.6759259259259167E-3</v>
      </c>
      <c r="J233" s="3">
        <v>3.7500000000000311E-3</v>
      </c>
      <c r="K233" s="5">
        <f t="shared" si="69"/>
        <v>324</v>
      </c>
      <c r="L233" s="3">
        <v>2.1423611111111185E-2</v>
      </c>
      <c r="N233" s="1" t="s">
        <v>75</v>
      </c>
      <c r="O233" s="1" t="s">
        <v>43</v>
      </c>
      <c r="P233" s="1" t="s">
        <v>44</v>
      </c>
      <c r="Q233" s="1" t="s">
        <v>45</v>
      </c>
      <c r="S233" s="1" t="s">
        <v>46</v>
      </c>
      <c r="T233" s="1" t="s">
        <v>45</v>
      </c>
      <c r="U233" s="1" t="s">
        <v>66</v>
      </c>
      <c r="V233" s="1" t="s">
        <v>49</v>
      </c>
      <c r="W233" s="1" t="s">
        <v>50</v>
      </c>
      <c r="X233" s="1" t="s">
        <v>464</v>
      </c>
      <c r="Y233" s="1" t="s">
        <v>347</v>
      </c>
      <c r="Z233" s="1" t="s">
        <v>348</v>
      </c>
      <c r="AA233" s="1" t="s">
        <v>465</v>
      </c>
      <c r="AB233" s="1" t="s">
        <v>466</v>
      </c>
      <c r="AC233" s="1">
        <v>0</v>
      </c>
      <c r="AD233" s="1" t="s">
        <v>56</v>
      </c>
      <c r="AE233" s="1" t="s">
        <v>83</v>
      </c>
      <c r="AG233" s="1" t="s">
        <v>473</v>
      </c>
      <c r="AH233" s="1" t="s">
        <v>115</v>
      </c>
      <c r="AI233" s="1" t="s">
        <v>75</v>
      </c>
      <c r="AK233" s="1" t="s">
        <v>61</v>
      </c>
      <c r="AL233" s="1" t="s">
        <v>61</v>
      </c>
      <c r="AM233" s="1">
        <v>4</v>
      </c>
      <c r="AN233" s="1">
        <v>0</v>
      </c>
      <c r="AO233" s="1">
        <f t="shared" si="70"/>
        <v>4</v>
      </c>
    </row>
    <row r="234" spans="1:41" x14ac:dyDescent="0.4">
      <c r="A234" s="1">
        <v>1</v>
      </c>
      <c r="B234" s="1">
        <v>2</v>
      </c>
      <c r="C234" s="1" t="s">
        <v>41</v>
      </c>
      <c r="D234" s="2">
        <v>38789</v>
      </c>
      <c r="E234" s="1">
        <v>72</v>
      </c>
      <c r="F234" s="1">
        <v>4</v>
      </c>
      <c r="G234" s="3">
        <v>0.36717592592592596</v>
      </c>
      <c r="H234" s="3">
        <v>0.36800925925925926</v>
      </c>
      <c r="I234" s="3">
        <v>8.3333333333329707E-4</v>
      </c>
      <c r="J234" s="3">
        <v>8.3333333333329707E-4</v>
      </c>
      <c r="K234" s="5">
        <f t="shared" si="69"/>
        <v>72</v>
      </c>
      <c r="L234" s="3">
        <v>0</v>
      </c>
      <c r="N234" s="1" t="s">
        <v>42</v>
      </c>
      <c r="O234" s="1" t="s">
        <v>43</v>
      </c>
      <c r="P234" s="1" t="s">
        <v>44</v>
      </c>
      <c r="Q234" s="1" t="s">
        <v>45</v>
      </c>
      <c r="S234" s="1" t="s">
        <v>46</v>
      </c>
      <c r="T234" s="1" t="s">
        <v>45</v>
      </c>
      <c r="U234" s="1" t="s">
        <v>92</v>
      </c>
      <c r="V234" s="1" t="s">
        <v>49</v>
      </c>
      <c r="W234" s="1" t="s">
        <v>50</v>
      </c>
      <c r="X234" s="1" t="s">
        <v>464</v>
      </c>
      <c r="Y234" s="1" t="s">
        <v>347</v>
      </c>
      <c r="Z234" s="1" t="s">
        <v>348</v>
      </c>
      <c r="AA234" s="1" t="s">
        <v>465</v>
      </c>
      <c r="AB234" s="1" t="s">
        <v>466</v>
      </c>
      <c r="AC234" s="1">
        <v>0</v>
      </c>
      <c r="AD234" s="1" t="s">
        <v>56</v>
      </c>
      <c r="AE234" s="1" t="s">
        <v>83</v>
      </c>
      <c r="AG234" s="1" t="s">
        <v>473</v>
      </c>
      <c r="AH234" s="1" t="s">
        <v>115</v>
      </c>
      <c r="AI234" s="1" t="s">
        <v>75</v>
      </c>
      <c r="AK234" s="1" t="s">
        <v>86</v>
      </c>
      <c r="AL234" s="1" t="s">
        <v>133</v>
      </c>
      <c r="AM234" s="1">
        <v>4</v>
      </c>
      <c r="AN234" s="1">
        <v>0</v>
      </c>
      <c r="AO234" s="1">
        <f t="shared" si="70"/>
        <v>4</v>
      </c>
    </row>
    <row r="235" spans="1:41" x14ac:dyDescent="0.4">
      <c r="A235" s="1">
        <v>1</v>
      </c>
      <c r="B235" s="1">
        <v>2</v>
      </c>
      <c r="C235" s="1" t="s">
        <v>41</v>
      </c>
      <c r="D235" s="2">
        <v>38789</v>
      </c>
      <c r="E235" s="1">
        <v>72</v>
      </c>
      <c r="F235" s="1">
        <v>4.5</v>
      </c>
      <c r="G235" s="3">
        <v>0.36800925925925926</v>
      </c>
      <c r="H235" s="3">
        <v>0.36924768518518519</v>
      </c>
      <c r="I235" s="3">
        <v>1.2384259259259345E-3</v>
      </c>
      <c r="J235" s="3">
        <v>9.2592592592594114E-4</v>
      </c>
      <c r="K235" s="5">
        <f t="shared" si="69"/>
        <v>80</v>
      </c>
      <c r="L235" s="3">
        <v>8.2291666666666763E-3</v>
      </c>
      <c r="N235" s="1" t="s">
        <v>42</v>
      </c>
      <c r="O235" s="1" t="s">
        <v>43</v>
      </c>
      <c r="P235" s="1" t="s">
        <v>44</v>
      </c>
      <c r="Q235" s="1" t="s">
        <v>45</v>
      </c>
      <c r="S235" s="1" t="s">
        <v>46</v>
      </c>
      <c r="T235" s="1" t="s">
        <v>45</v>
      </c>
      <c r="U235" s="1" t="s">
        <v>92</v>
      </c>
      <c r="V235" s="1" t="s">
        <v>67</v>
      </c>
      <c r="W235" s="1" t="s">
        <v>68</v>
      </c>
      <c r="X235" s="1" t="s">
        <v>492</v>
      </c>
      <c r="Y235" s="1" t="s">
        <v>68</v>
      </c>
      <c r="AB235" s="1" t="s">
        <v>69</v>
      </c>
      <c r="AC235" s="1">
        <v>0</v>
      </c>
      <c r="AD235" s="1" t="s">
        <v>68</v>
      </c>
      <c r="AE235" s="1" t="s">
        <v>70</v>
      </c>
      <c r="AG235" s="1" t="s">
        <v>473</v>
      </c>
      <c r="AI235" s="1" t="s">
        <v>75</v>
      </c>
      <c r="AK235" s="1" t="s">
        <v>86</v>
      </c>
      <c r="AL235" s="1" t="s">
        <v>133</v>
      </c>
      <c r="AM235" s="1">
        <v>4</v>
      </c>
      <c r="AN235" s="1">
        <v>0</v>
      </c>
      <c r="AO235" s="1">
        <f t="shared" si="70"/>
        <v>4</v>
      </c>
    </row>
    <row r="236" spans="1:41" x14ac:dyDescent="0.4">
      <c r="A236" s="1">
        <v>1</v>
      </c>
      <c r="B236" s="1">
        <v>2</v>
      </c>
      <c r="C236" s="1" t="s">
        <v>41</v>
      </c>
      <c r="D236" s="2">
        <v>38789</v>
      </c>
      <c r="E236" s="1">
        <v>72</v>
      </c>
      <c r="F236" s="1">
        <v>4.75</v>
      </c>
      <c r="G236" s="3">
        <v>0.37747685185185187</v>
      </c>
      <c r="H236" s="3">
        <v>0.3775</v>
      </c>
      <c r="I236" s="3">
        <v>2.3148148148133263E-5</v>
      </c>
      <c r="J236" s="3">
        <v>2.3148148148133263E-5</v>
      </c>
      <c r="K236" s="5">
        <f t="shared" si="69"/>
        <v>2</v>
      </c>
      <c r="L236" s="3">
        <v>1.3194444444444287E-3</v>
      </c>
      <c r="N236" s="1" t="s">
        <v>42</v>
      </c>
      <c r="O236" s="1" t="s">
        <v>43</v>
      </c>
      <c r="P236" s="1" t="s">
        <v>44</v>
      </c>
      <c r="Q236" s="1" t="s">
        <v>132</v>
      </c>
      <c r="S236" s="1" t="s">
        <v>46</v>
      </c>
      <c r="T236" s="1" t="s">
        <v>45</v>
      </c>
      <c r="U236" s="1" t="s">
        <v>92</v>
      </c>
      <c r="AB236" s="1" t="s">
        <v>93</v>
      </c>
      <c r="AC236" s="1">
        <v>1</v>
      </c>
      <c r="AI236" s="1" t="s">
        <v>75</v>
      </c>
      <c r="AK236" s="1" t="s">
        <v>86</v>
      </c>
      <c r="AL236" s="1" t="s">
        <v>133</v>
      </c>
      <c r="AN236" s="1">
        <v>1</v>
      </c>
      <c r="AO236" s="1">
        <f t="shared" si="70"/>
        <v>1</v>
      </c>
    </row>
    <row r="237" spans="1:41" x14ac:dyDescent="0.4">
      <c r="A237" s="1">
        <v>1</v>
      </c>
      <c r="B237" s="1">
        <v>2</v>
      </c>
      <c r="C237" s="1" t="s">
        <v>41</v>
      </c>
      <c r="D237" s="2">
        <v>38789</v>
      </c>
      <c r="E237" s="1">
        <v>72</v>
      </c>
      <c r="F237" s="1">
        <v>4.8</v>
      </c>
      <c r="G237" s="3">
        <v>0.37881944444444443</v>
      </c>
      <c r="H237" s="3">
        <v>0.37898148148148153</v>
      </c>
      <c r="I237" s="3">
        <v>1.6203703703709937E-4</v>
      </c>
      <c r="J237" s="3">
        <v>1.6203703703709937E-4</v>
      </c>
      <c r="K237" s="5">
        <f t="shared" si="69"/>
        <v>14</v>
      </c>
      <c r="L237" s="3">
        <v>0.23040509259259251</v>
      </c>
      <c r="N237" s="1" t="s">
        <v>42</v>
      </c>
      <c r="O237" s="1" t="s">
        <v>43</v>
      </c>
      <c r="P237" s="1" t="s">
        <v>44</v>
      </c>
      <c r="Q237" s="1" t="s">
        <v>132</v>
      </c>
      <c r="S237" s="1" t="s">
        <v>46</v>
      </c>
      <c r="T237" s="1" t="s">
        <v>45</v>
      </c>
      <c r="U237" s="1" t="s">
        <v>92</v>
      </c>
      <c r="AB237" s="1" t="s">
        <v>93</v>
      </c>
      <c r="AC237" s="1">
        <v>1</v>
      </c>
      <c r="AI237" s="1" t="s">
        <v>75</v>
      </c>
      <c r="AK237" s="1" t="s">
        <v>86</v>
      </c>
      <c r="AL237" s="1" t="s">
        <v>133</v>
      </c>
      <c r="AN237" s="1">
        <v>1</v>
      </c>
      <c r="AO237" s="1">
        <f t="shared" si="70"/>
        <v>1</v>
      </c>
    </row>
    <row r="238" spans="1:41" x14ac:dyDescent="0.4">
      <c r="A238" s="1">
        <v>1</v>
      </c>
      <c r="B238" s="1">
        <v>2</v>
      </c>
      <c r="C238" s="1" t="s">
        <v>41</v>
      </c>
      <c r="D238" s="2">
        <v>38789</v>
      </c>
      <c r="E238" s="1">
        <v>72</v>
      </c>
      <c r="F238" s="1">
        <v>5</v>
      </c>
      <c r="G238" s="3">
        <v>0.60938657407407404</v>
      </c>
      <c r="H238" s="3">
        <v>0.61879629629629629</v>
      </c>
      <c r="I238" s="3">
        <v>9.4097222222222499E-3</v>
      </c>
      <c r="J238" s="3">
        <v>9.4097222222222499E-3</v>
      </c>
      <c r="K238" s="5">
        <f t="shared" si="69"/>
        <v>813</v>
      </c>
      <c r="L238" s="3">
        <v>1.7812500000000009E-2</v>
      </c>
      <c r="N238" s="1" t="s">
        <v>42</v>
      </c>
      <c r="O238" s="1" t="s">
        <v>43</v>
      </c>
      <c r="P238" s="1" t="s">
        <v>44</v>
      </c>
      <c r="Q238" s="1" t="s">
        <v>45</v>
      </c>
      <c r="S238" s="1" t="s">
        <v>46</v>
      </c>
      <c r="T238" s="1" t="s">
        <v>45</v>
      </c>
      <c r="U238" s="1" t="s">
        <v>66</v>
      </c>
      <c r="V238" s="1" t="s">
        <v>49</v>
      </c>
      <c r="W238" s="1" t="s">
        <v>140</v>
      </c>
      <c r="X238" s="1" t="s">
        <v>493</v>
      </c>
      <c r="Y238" s="1" t="s">
        <v>235</v>
      </c>
      <c r="Z238" s="1" t="s">
        <v>494</v>
      </c>
      <c r="AA238" s="1" t="s">
        <v>495</v>
      </c>
      <c r="AB238" s="1" t="s">
        <v>496</v>
      </c>
      <c r="AC238" s="1">
        <v>0</v>
      </c>
      <c r="AD238" s="1" t="s">
        <v>56</v>
      </c>
      <c r="AE238" s="1" t="s">
        <v>83</v>
      </c>
      <c r="AG238" s="1" t="s">
        <v>497</v>
      </c>
      <c r="AH238" s="1" t="s">
        <v>115</v>
      </c>
      <c r="AI238" s="1" t="s">
        <v>71</v>
      </c>
      <c r="AK238" s="1" t="s">
        <v>86</v>
      </c>
      <c r="AL238" s="1" t="s">
        <v>133</v>
      </c>
      <c r="AM238" s="1">
        <v>1</v>
      </c>
      <c r="AN238" s="1">
        <v>0</v>
      </c>
      <c r="AO238" s="1">
        <f t="shared" si="70"/>
        <v>1</v>
      </c>
    </row>
    <row r="239" spans="1:41" x14ac:dyDescent="0.4">
      <c r="A239" s="1">
        <v>1</v>
      </c>
      <c r="B239" s="1">
        <v>2</v>
      </c>
      <c r="C239" s="1" t="s">
        <v>41</v>
      </c>
      <c r="D239" s="2">
        <v>38789</v>
      </c>
      <c r="E239" s="1">
        <v>72</v>
      </c>
      <c r="F239" s="1">
        <v>5.5</v>
      </c>
      <c r="G239" s="3">
        <v>0.6366087962962963</v>
      </c>
      <c r="H239" s="3">
        <v>0.63969907407407411</v>
      </c>
      <c r="I239" s="3">
        <v>3.0902777777778168E-3</v>
      </c>
      <c r="J239" s="3">
        <v>3.0902777777778168E-3</v>
      </c>
      <c r="K239" s="5">
        <f t="shared" si="69"/>
        <v>267</v>
      </c>
      <c r="L239" s="3">
        <v>1.4733796296296231E-2</v>
      </c>
      <c r="N239" s="1" t="s">
        <v>42</v>
      </c>
      <c r="O239" s="1" t="s">
        <v>43</v>
      </c>
      <c r="P239" s="1" t="s">
        <v>44</v>
      </c>
      <c r="Q239" s="1" t="s">
        <v>45</v>
      </c>
      <c r="S239" s="1" t="s">
        <v>46</v>
      </c>
      <c r="T239" s="1" t="s">
        <v>47</v>
      </c>
      <c r="V239" s="1" t="s">
        <v>102</v>
      </c>
      <c r="W239" s="1" t="s">
        <v>231</v>
      </c>
      <c r="X239" s="1" t="s">
        <v>121</v>
      </c>
      <c r="AB239" s="1" t="s">
        <v>104</v>
      </c>
      <c r="AC239" s="1">
        <v>0</v>
      </c>
      <c r="AE239" s="1" t="s">
        <v>70</v>
      </c>
      <c r="AJ239" s="1" t="s">
        <v>147</v>
      </c>
      <c r="AK239" s="1" t="s">
        <v>86</v>
      </c>
      <c r="AL239" s="1" t="s">
        <v>133</v>
      </c>
      <c r="AN239" s="1">
        <v>1</v>
      </c>
      <c r="AO239" s="1">
        <f t="shared" si="70"/>
        <v>1</v>
      </c>
    </row>
    <row r="240" spans="1:41" x14ac:dyDescent="0.4">
      <c r="A240" s="1">
        <v>1</v>
      </c>
      <c r="B240" s="1">
        <v>2</v>
      </c>
      <c r="C240" s="1" t="s">
        <v>41</v>
      </c>
      <c r="D240" s="2">
        <v>38789</v>
      </c>
      <c r="E240" s="1">
        <v>72</v>
      </c>
      <c r="F240" s="1">
        <v>6</v>
      </c>
      <c r="G240" s="3">
        <v>0.65443287037037035</v>
      </c>
      <c r="H240" s="3">
        <v>0.65510416666666671</v>
      </c>
      <c r="I240" s="3">
        <v>6.7129629629636423E-4</v>
      </c>
      <c r="J240" s="3">
        <v>6.7129629629636423E-4</v>
      </c>
      <c r="K240" s="5">
        <f t="shared" si="69"/>
        <v>58</v>
      </c>
      <c r="L240" s="3">
        <v>4.1724537037037046E-2</v>
      </c>
      <c r="N240" s="1" t="s">
        <v>42</v>
      </c>
      <c r="O240" s="1" t="s">
        <v>43</v>
      </c>
      <c r="P240" s="1" t="s">
        <v>44</v>
      </c>
      <c r="Q240" s="1" t="s">
        <v>76</v>
      </c>
      <c r="S240" s="1" t="s">
        <v>46</v>
      </c>
      <c r="T240" s="1" t="s">
        <v>47</v>
      </c>
      <c r="U240" s="1" t="s">
        <v>66</v>
      </c>
      <c r="V240" s="1" t="s">
        <v>49</v>
      </c>
      <c r="W240" s="1" t="s">
        <v>498</v>
      </c>
      <c r="X240" s="1" t="s">
        <v>499</v>
      </c>
      <c r="Y240" s="1" t="s">
        <v>260</v>
      </c>
      <c r="Z240" s="1" t="s">
        <v>500</v>
      </c>
      <c r="AA240" s="1" t="s">
        <v>501</v>
      </c>
      <c r="AB240" s="1" t="s">
        <v>502</v>
      </c>
      <c r="AC240" s="1">
        <v>0</v>
      </c>
      <c r="AD240" s="1" t="s">
        <v>56</v>
      </c>
      <c r="AE240" s="1" t="s">
        <v>83</v>
      </c>
      <c r="AF240" s="1" t="s">
        <v>113</v>
      </c>
      <c r="AH240" s="1" t="s">
        <v>59</v>
      </c>
      <c r="AI240" s="1" t="s">
        <v>71</v>
      </c>
      <c r="AK240" s="1" t="s">
        <v>86</v>
      </c>
      <c r="AL240" s="1" t="s">
        <v>86</v>
      </c>
      <c r="AN240" s="1">
        <v>1</v>
      </c>
      <c r="AO240" s="1">
        <f t="shared" si="70"/>
        <v>1</v>
      </c>
    </row>
    <row r="241" spans="1:41" x14ac:dyDescent="0.4">
      <c r="A241" s="1">
        <v>1</v>
      </c>
      <c r="B241" s="1">
        <v>2</v>
      </c>
      <c r="C241" s="1" t="s">
        <v>41</v>
      </c>
      <c r="D241" s="2">
        <v>38789</v>
      </c>
      <c r="E241" s="1">
        <v>72</v>
      </c>
      <c r="F241" s="1">
        <v>7</v>
      </c>
      <c r="G241" s="3">
        <v>0.69682870370370376</v>
      </c>
      <c r="H241" s="3">
        <v>0.69913194444444438</v>
      </c>
      <c r="I241" s="3">
        <v>2.3032407407406197E-3</v>
      </c>
      <c r="J241" s="3">
        <v>2.3032407407406197E-3</v>
      </c>
      <c r="K241" s="5">
        <f t="shared" si="69"/>
        <v>199</v>
      </c>
      <c r="L241" s="3" t="s">
        <v>120</v>
      </c>
      <c r="N241" s="1" t="s">
        <v>42</v>
      </c>
      <c r="O241" s="1" t="s">
        <v>43</v>
      </c>
      <c r="P241" s="1" t="s">
        <v>44</v>
      </c>
      <c r="Q241" s="1" t="s">
        <v>132</v>
      </c>
      <c r="S241" s="1" t="s">
        <v>46</v>
      </c>
      <c r="T241" s="1" t="s">
        <v>45</v>
      </c>
      <c r="U241" s="1" t="s">
        <v>66</v>
      </c>
      <c r="V241" s="1" t="s">
        <v>102</v>
      </c>
      <c r="W241" s="1" t="s">
        <v>103</v>
      </c>
      <c r="X241" s="1" t="s">
        <v>96</v>
      </c>
      <c r="Y241" s="1" t="s">
        <v>52</v>
      </c>
      <c r="AB241" s="1" t="s">
        <v>225</v>
      </c>
      <c r="AC241" s="1">
        <v>0</v>
      </c>
      <c r="AD241" s="1" t="s">
        <v>56</v>
      </c>
      <c r="AE241" s="1" t="s">
        <v>70</v>
      </c>
      <c r="AG241" s="1" t="s">
        <v>503</v>
      </c>
      <c r="AH241" s="1" t="s">
        <v>157</v>
      </c>
      <c r="AI241" s="1" t="s">
        <v>71</v>
      </c>
      <c r="AK241" s="1" t="s">
        <v>86</v>
      </c>
      <c r="AL241" s="1" t="s">
        <v>133</v>
      </c>
      <c r="AM241" s="1">
        <v>1</v>
      </c>
      <c r="AN241" s="1">
        <v>0</v>
      </c>
      <c r="AO241" s="1">
        <f t="shared" si="70"/>
        <v>1</v>
      </c>
    </row>
    <row r="242" spans="1:41" x14ac:dyDescent="0.4">
      <c r="A242" s="1">
        <v>1</v>
      </c>
      <c r="B242" s="1">
        <v>2</v>
      </c>
      <c r="C242" s="1" t="s">
        <v>41</v>
      </c>
      <c r="D242" s="2">
        <v>38793</v>
      </c>
      <c r="E242" s="1">
        <v>76</v>
      </c>
      <c r="F242" s="1">
        <v>1</v>
      </c>
      <c r="G242" s="3">
        <v>0.25806712962962963</v>
      </c>
      <c r="H242" s="3">
        <v>0.27459490740740738</v>
      </c>
      <c r="I242" s="3">
        <v>1.6527777777777752E-2</v>
      </c>
      <c r="J242" s="3">
        <v>1.6527777777777752E-2</v>
      </c>
      <c r="K242" s="5">
        <f t="shared" si="69"/>
        <v>1428</v>
      </c>
      <c r="L242" s="3">
        <v>2.0185185185185195E-2</v>
      </c>
      <c r="N242" s="1" t="s">
        <v>42</v>
      </c>
      <c r="O242" s="1" t="s">
        <v>43</v>
      </c>
      <c r="P242" s="1" t="s">
        <v>44</v>
      </c>
      <c r="Q242" s="1" t="s">
        <v>45</v>
      </c>
      <c r="S242" s="1" t="s">
        <v>46</v>
      </c>
      <c r="T242" s="1" t="s">
        <v>124</v>
      </c>
      <c r="U242" s="1" t="s">
        <v>66</v>
      </c>
      <c r="V242" s="1" t="s">
        <v>49</v>
      </c>
      <c r="W242" s="1" t="s">
        <v>50</v>
      </c>
      <c r="X242" s="1" t="s">
        <v>158</v>
      </c>
      <c r="Y242" s="1" t="s">
        <v>159</v>
      </c>
      <c r="Z242" s="1" t="s">
        <v>160</v>
      </c>
      <c r="AA242" s="1" t="s">
        <v>161</v>
      </c>
      <c r="AB242" s="1" t="s">
        <v>162</v>
      </c>
      <c r="AC242" s="1">
        <v>0</v>
      </c>
      <c r="AD242" s="1" t="s">
        <v>56</v>
      </c>
      <c r="AE242" s="1" t="s">
        <v>83</v>
      </c>
      <c r="AF242" s="1" t="s">
        <v>113</v>
      </c>
      <c r="AG242" s="1" t="s">
        <v>476</v>
      </c>
      <c r="AH242" s="1" t="s">
        <v>165</v>
      </c>
      <c r="AI242" s="1" t="s">
        <v>122</v>
      </c>
      <c r="AJ242" s="1" t="s">
        <v>147</v>
      </c>
      <c r="AK242" s="1" t="s">
        <v>116</v>
      </c>
      <c r="AL242" s="1" t="s">
        <v>117</v>
      </c>
      <c r="AM242" s="1">
        <v>6</v>
      </c>
      <c r="AN242" s="1">
        <v>0</v>
      </c>
      <c r="AO242" s="1">
        <f t="shared" si="70"/>
        <v>6</v>
      </c>
    </row>
    <row r="243" spans="1:41" x14ac:dyDescent="0.4">
      <c r="A243" s="1">
        <v>1</v>
      </c>
      <c r="B243" s="1">
        <v>2</v>
      </c>
      <c r="C243" s="1" t="s">
        <v>41</v>
      </c>
      <c r="D243" s="2">
        <v>38793</v>
      </c>
      <c r="E243" s="1">
        <v>76</v>
      </c>
      <c r="F243" s="1">
        <v>2</v>
      </c>
      <c r="G243" s="3">
        <v>0.29478009259259258</v>
      </c>
      <c r="H243" s="3">
        <v>0.29533564814814817</v>
      </c>
      <c r="I243" s="3">
        <v>5.5555555555558689E-4</v>
      </c>
      <c r="J243" s="3">
        <v>5.5555555555558689E-4</v>
      </c>
      <c r="K243" s="5">
        <f t="shared" si="69"/>
        <v>48</v>
      </c>
      <c r="L243" s="3">
        <v>1.2106481481481468E-2</v>
      </c>
      <c r="N243" s="1" t="s">
        <v>42</v>
      </c>
      <c r="O243" s="1" t="s">
        <v>43</v>
      </c>
      <c r="P243" s="1" t="s">
        <v>44</v>
      </c>
      <c r="Q243" s="1" t="s">
        <v>45</v>
      </c>
      <c r="S243" s="1" t="s">
        <v>46</v>
      </c>
      <c r="T243" s="1" t="s">
        <v>47</v>
      </c>
      <c r="W243" s="1" t="s">
        <v>157</v>
      </c>
      <c r="X243" s="1" t="s">
        <v>313</v>
      </c>
      <c r="AB243" s="1" t="s">
        <v>504</v>
      </c>
      <c r="AC243" s="1">
        <v>0</v>
      </c>
      <c r="AD243" s="1" t="s">
        <v>56</v>
      </c>
      <c r="AF243" s="1" t="s">
        <v>153</v>
      </c>
      <c r="AG243" s="1" t="s">
        <v>505</v>
      </c>
      <c r="AH243" s="1" t="s">
        <v>157</v>
      </c>
      <c r="AK243" s="1" t="s">
        <v>86</v>
      </c>
      <c r="AL243" s="1" t="s">
        <v>86</v>
      </c>
      <c r="AM243" s="1">
        <v>1</v>
      </c>
      <c r="AN243" s="1">
        <v>0</v>
      </c>
      <c r="AO243" s="1">
        <f t="shared" si="70"/>
        <v>1</v>
      </c>
    </row>
    <row r="244" spans="1:41" x14ac:dyDescent="0.4">
      <c r="A244" s="1">
        <v>1</v>
      </c>
      <c r="B244" s="1">
        <v>2</v>
      </c>
      <c r="C244" s="1" t="s">
        <v>41</v>
      </c>
      <c r="D244" s="2">
        <v>38793</v>
      </c>
      <c r="E244" s="1">
        <v>76</v>
      </c>
      <c r="F244" s="1">
        <v>3</v>
      </c>
      <c r="G244" s="3">
        <v>0.30744212962962963</v>
      </c>
      <c r="H244" s="3">
        <v>0.3203125</v>
      </c>
      <c r="I244" s="3">
        <v>1.2870370370370365E-2</v>
      </c>
      <c r="J244" s="3">
        <v>1.1481481481481537E-2</v>
      </c>
      <c r="K244" s="5">
        <f t="shared" si="69"/>
        <v>992</v>
      </c>
      <c r="L244" s="3">
        <v>0.17572916666666666</v>
      </c>
      <c r="N244" s="1" t="s">
        <v>42</v>
      </c>
      <c r="O244" s="1" t="s">
        <v>43</v>
      </c>
      <c r="P244" s="1" t="s">
        <v>44</v>
      </c>
      <c r="Q244" s="1" t="s">
        <v>45</v>
      </c>
      <c r="S244" s="1" t="s">
        <v>46</v>
      </c>
      <c r="T244" s="1" t="s">
        <v>47</v>
      </c>
      <c r="U244" s="1" t="s">
        <v>66</v>
      </c>
      <c r="V244" s="1" t="s">
        <v>49</v>
      </c>
      <c r="W244" s="1" t="s">
        <v>50</v>
      </c>
      <c r="X244" s="1" t="s">
        <v>487</v>
      </c>
      <c r="Y244" s="1" t="s">
        <v>79</v>
      </c>
      <c r="Z244" s="1" t="s">
        <v>488</v>
      </c>
      <c r="AA244" s="1" t="s">
        <v>489</v>
      </c>
      <c r="AB244" s="1" t="s">
        <v>490</v>
      </c>
      <c r="AC244" s="1">
        <v>0</v>
      </c>
      <c r="AD244" s="1" t="s">
        <v>56</v>
      </c>
      <c r="AE244" s="1" t="s">
        <v>83</v>
      </c>
      <c r="AF244" s="1" t="s">
        <v>84</v>
      </c>
      <c r="AG244" s="1" t="s">
        <v>491</v>
      </c>
      <c r="AH244" s="1" t="s">
        <v>115</v>
      </c>
      <c r="AI244" s="1" t="s">
        <v>71</v>
      </c>
      <c r="AK244" s="1" t="s">
        <v>61</v>
      </c>
      <c r="AL244" s="1" t="s">
        <v>133</v>
      </c>
      <c r="AM244" s="1">
        <v>2</v>
      </c>
      <c r="AN244" s="1">
        <v>0</v>
      </c>
      <c r="AO244" s="1">
        <f t="shared" si="70"/>
        <v>2</v>
      </c>
    </row>
    <row r="245" spans="1:41" x14ac:dyDescent="0.4">
      <c r="A245" s="1">
        <v>1</v>
      </c>
      <c r="B245" s="1">
        <v>2</v>
      </c>
      <c r="C245" s="1" t="s">
        <v>41</v>
      </c>
      <c r="D245" s="2">
        <v>38793</v>
      </c>
      <c r="E245" s="1">
        <v>76</v>
      </c>
      <c r="F245" s="1">
        <v>4</v>
      </c>
      <c r="G245" s="3">
        <v>0.49604166666666666</v>
      </c>
      <c r="H245" s="3">
        <v>0.50377314814814811</v>
      </c>
      <c r="I245" s="3">
        <v>7.7314814814814503E-3</v>
      </c>
      <c r="J245" s="3">
        <v>7.7314814814814503E-3</v>
      </c>
      <c r="K245" s="5">
        <f t="shared" si="69"/>
        <v>668</v>
      </c>
      <c r="L245" s="3" t="s">
        <v>120</v>
      </c>
      <c r="N245" s="1" t="s">
        <v>42</v>
      </c>
      <c r="O245" s="1" t="s">
        <v>43</v>
      </c>
      <c r="P245" s="1" t="s">
        <v>44</v>
      </c>
      <c r="Q245" s="1" t="s">
        <v>45</v>
      </c>
      <c r="S245" s="1" t="s">
        <v>46</v>
      </c>
      <c r="T245" s="1" t="s">
        <v>124</v>
      </c>
      <c r="U245" s="1" t="s">
        <v>66</v>
      </c>
      <c r="V245" s="1" t="s">
        <v>49</v>
      </c>
      <c r="W245" s="1" t="s">
        <v>50</v>
      </c>
      <c r="X245" s="1" t="s">
        <v>158</v>
      </c>
      <c r="Y245" s="1" t="s">
        <v>159</v>
      </c>
      <c r="Z245" s="1" t="s">
        <v>160</v>
      </c>
      <c r="AA245" s="1" t="s">
        <v>161</v>
      </c>
      <c r="AB245" s="1" t="s">
        <v>162</v>
      </c>
      <c r="AC245" s="1">
        <v>0</v>
      </c>
      <c r="AD245" s="1" t="s">
        <v>56</v>
      </c>
      <c r="AE245" s="1" t="s">
        <v>83</v>
      </c>
      <c r="AF245" s="1" t="s">
        <v>113</v>
      </c>
      <c r="AG245" s="1" t="s">
        <v>476</v>
      </c>
      <c r="AH245" s="1" t="s">
        <v>165</v>
      </c>
      <c r="AI245" s="1" t="s">
        <v>71</v>
      </c>
      <c r="AJ245" s="1" t="s">
        <v>147</v>
      </c>
      <c r="AK245" s="1" t="s">
        <v>86</v>
      </c>
      <c r="AL245" s="1" t="s">
        <v>133</v>
      </c>
      <c r="AM245" s="1">
        <v>6</v>
      </c>
      <c r="AN245" s="1">
        <v>0</v>
      </c>
      <c r="AO245" s="1">
        <f t="shared" si="70"/>
        <v>6</v>
      </c>
    </row>
    <row r="246" spans="1:41" x14ac:dyDescent="0.4">
      <c r="A246" s="1">
        <v>1</v>
      </c>
      <c r="B246" s="1">
        <v>2</v>
      </c>
      <c r="C246" s="1" t="s">
        <v>41</v>
      </c>
      <c r="D246" s="2">
        <v>38818</v>
      </c>
      <c r="E246" s="1">
        <v>101</v>
      </c>
      <c r="F246" s="1">
        <v>0.25</v>
      </c>
      <c r="G246" s="3">
        <v>0.39491898148148147</v>
      </c>
      <c r="H246" s="3">
        <v>0.39501157407407406</v>
      </c>
      <c r="I246" s="3">
        <v>9.2592592592588563E-5</v>
      </c>
      <c r="J246" s="3">
        <v>9.2592592592588563E-5</v>
      </c>
      <c r="K246" s="5">
        <f t="shared" si="69"/>
        <v>8</v>
      </c>
      <c r="L246" s="3">
        <v>1.9189814814814854E-2</v>
      </c>
      <c r="N246" s="1" t="s">
        <v>75</v>
      </c>
      <c r="O246" s="1" t="s">
        <v>43</v>
      </c>
      <c r="P246" s="1" t="s">
        <v>44</v>
      </c>
      <c r="Q246" s="1" t="s">
        <v>76</v>
      </c>
      <c r="S246" s="1" t="s">
        <v>46</v>
      </c>
      <c r="AB246" s="1" t="s">
        <v>93</v>
      </c>
      <c r="AC246" s="1">
        <v>1</v>
      </c>
      <c r="AK246" s="1" t="s">
        <v>86</v>
      </c>
      <c r="AL246" s="1" t="s">
        <v>86</v>
      </c>
      <c r="AN246" s="1">
        <v>1</v>
      </c>
      <c r="AO246" s="1">
        <f t="shared" si="70"/>
        <v>1</v>
      </c>
    </row>
    <row r="247" spans="1:41" x14ac:dyDescent="0.4">
      <c r="A247" s="1">
        <v>1</v>
      </c>
      <c r="B247" s="1">
        <v>2</v>
      </c>
      <c r="C247" s="1" t="s">
        <v>41</v>
      </c>
      <c r="D247" s="2">
        <v>38818</v>
      </c>
      <c r="E247" s="1">
        <v>101</v>
      </c>
      <c r="F247" s="1">
        <v>0.3</v>
      </c>
      <c r="G247" s="3">
        <v>0.41420138888888891</v>
      </c>
      <c r="H247" s="3">
        <v>0.41425925925925927</v>
      </c>
      <c r="I247" s="3">
        <v>5.7870370370360913E-5</v>
      </c>
      <c r="J247" s="3">
        <v>5.7870370370360913E-5</v>
      </c>
      <c r="K247" s="5">
        <f t="shared" si="69"/>
        <v>5</v>
      </c>
      <c r="L247" s="3">
        <v>9.0393518518518456E-2</v>
      </c>
      <c r="N247" s="1" t="s">
        <v>42</v>
      </c>
      <c r="O247" s="1" t="s">
        <v>43</v>
      </c>
      <c r="P247" s="1" t="s">
        <v>44</v>
      </c>
      <c r="Q247" s="1" t="s">
        <v>132</v>
      </c>
      <c r="S247" s="1" t="s">
        <v>46</v>
      </c>
      <c r="T247" s="1" t="s">
        <v>45</v>
      </c>
      <c r="U247" s="1" t="s">
        <v>66</v>
      </c>
      <c r="AB247" s="1" t="s">
        <v>93</v>
      </c>
      <c r="AC247" s="1">
        <v>1</v>
      </c>
      <c r="AI247" s="1" t="s">
        <v>71</v>
      </c>
      <c r="AK247" s="1" t="s">
        <v>86</v>
      </c>
      <c r="AL247" s="1" t="s">
        <v>87</v>
      </c>
      <c r="AN247" s="1">
        <v>1</v>
      </c>
      <c r="AO247" s="1">
        <f t="shared" si="70"/>
        <v>1</v>
      </c>
    </row>
    <row r="248" spans="1:41" x14ac:dyDescent="0.4">
      <c r="A248" s="1">
        <v>1</v>
      </c>
      <c r="B248" s="1">
        <v>2</v>
      </c>
      <c r="C248" s="1" t="s">
        <v>41</v>
      </c>
      <c r="D248" s="2">
        <v>38818</v>
      </c>
      <c r="E248" s="1">
        <v>101</v>
      </c>
      <c r="F248" s="1">
        <v>1</v>
      </c>
      <c r="G248" s="3">
        <v>0.50465277777777773</v>
      </c>
      <c r="H248" s="3">
        <v>0.51247685185185188</v>
      </c>
      <c r="I248" s="3">
        <v>7.8240740740741499E-3</v>
      </c>
      <c r="J248" s="3">
        <v>7.8240740740741499E-3</v>
      </c>
      <c r="K248" s="5">
        <f t="shared" si="69"/>
        <v>676</v>
      </c>
      <c r="L248" s="3">
        <v>2.2395833333333282E-2</v>
      </c>
      <c r="N248" s="1" t="s">
        <v>75</v>
      </c>
      <c r="O248" s="1" t="s">
        <v>43</v>
      </c>
      <c r="P248" s="1" t="s">
        <v>44</v>
      </c>
      <c r="Q248" s="1" t="s">
        <v>76</v>
      </c>
      <c r="S248" s="1" t="s">
        <v>46</v>
      </c>
      <c r="T248" s="1" t="s">
        <v>45</v>
      </c>
      <c r="U248" s="1" t="s">
        <v>66</v>
      </c>
      <c r="V248" s="1" t="s">
        <v>297</v>
      </c>
      <c r="W248" s="1" t="s">
        <v>167</v>
      </c>
      <c r="X248" s="1" t="s">
        <v>506</v>
      </c>
      <c r="Y248" s="1" t="s">
        <v>507</v>
      </c>
      <c r="Z248" s="1">
        <v>34</v>
      </c>
      <c r="AB248" s="1" t="s">
        <v>508</v>
      </c>
      <c r="AC248" s="1">
        <v>0</v>
      </c>
      <c r="AD248" s="1" t="s">
        <v>105</v>
      </c>
      <c r="AE248" s="1" t="s">
        <v>57</v>
      </c>
      <c r="AF248" s="1" t="s">
        <v>113</v>
      </c>
      <c r="AG248" s="1" t="s">
        <v>509</v>
      </c>
      <c r="AH248" s="1" t="s">
        <v>157</v>
      </c>
      <c r="AI248" s="1" t="s">
        <v>75</v>
      </c>
      <c r="AK248" s="1" t="s">
        <v>116</v>
      </c>
      <c r="AL248" s="1" t="s">
        <v>117</v>
      </c>
      <c r="AM248" s="1">
        <v>1</v>
      </c>
      <c r="AN248" s="1">
        <v>0</v>
      </c>
      <c r="AO248" s="1">
        <f t="shared" si="70"/>
        <v>1</v>
      </c>
    </row>
    <row r="249" spans="1:41" x14ac:dyDescent="0.4">
      <c r="A249" s="1">
        <v>1</v>
      </c>
      <c r="B249" s="1">
        <v>2</v>
      </c>
      <c r="C249" s="1" t="s">
        <v>41</v>
      </c>
      <c r="D249" s="2">
        <v>38818</v>
      </c>
      <c r="E249" s="1">
        <v>101</v>
      </c>
      <c r="F249" s="1">
        <v>2</v>
      </c>
      <c r="G249" s="3">
        <v>0.53487268518518516</v>
      </c>
      <c r="H249" s="3">
        <v>0.54097222222222219</v>
      </c>
      <c r="I249" s="3">
        <v>6.0995370370370283E-3</v>
      </c>
      <c r="J249" s="3">
        <v>3.9236111111110583E-3</v>
      </c>
      <c r="K249" s="5">
        <f t="shared" si="69"/>
        <v>339</v>
      </c>
      <c r="L249" s="3">
        <v>3.689814814814818E-2</v>
      </c>
      <c r="N249" s="1" t="s">
        <v>75</v>
      </c>
      <c r="O249" s="1" t="s">
        <v>43</v>
      </c>
      <c r="P249" s="1" t="s">
        <v>44</v>
      </c>
      <c r="Q249" s="1" t="s">
        <v>76</v>
      </c>
      <c r="S249" s="1" t="s">
        <v>46</v>
      </c>
      <c r="T249" s="1" t="s">
        <v>47</v>
      </c>
      <c r="U249" s="1" t="s">
        <v>66</v>
      </c>
      <c r="V249" s="1" t="s">
        <v>49</v>
      </c>
      <c r="W249" s="1" t="s">
        <v>50</v>
      </c>
      <c r="X249" s="1" t="s">
        <v>510</v>
      </c>
      <c r="Y249" s="1" t="s">
        <v>260</v>
      </c>
      <c r="Z249" s="1" t="s">
        <v>511</v>
      </c>
      <c r="AA249" s="1" t="s">
        <v>512</v>
      </c>
      <c r="AB249" s="1" t="s">
        <v>513</v>
      </c>
      <c r="AC249" s="1">
        <v>0</v>
      </c>
      <c r="AD249" s="1" t="s">
        <v>105</v>
      </c>
      <c r="AE249" s="1" t="s">
        <v>181</v>
      </c>
      <c r="AF249" s="1" t="s">
        <v>153</v>
      </c>
      <c r="AG249" s="1" t="s">
        <v>514</v>
      </c>
      <c r="AH249" s="1" t="s">
        <v>115</v>
      </c>
      <c r="AI249" s="1" t="s">
        <v>75</v>
      </c>
      <c r="AK249" s="1" t="s">
        <v>116</v>
      </c>
      <c r="AL249" s="1" t="s">
        <v>174</v>
      </c>
      <c r="AM249" s="1">
        <v>1</v>
      </c>
      <c r="AN249" s="1">
        <v>0</v>
      </c>
      <c r="AO249" s="1">
        <f t="shared" si="70"/>
        <v>1</v>
      </c>
    </row>
    <row r="250" spans="1:41" x14ac:dyDescent="0.4">
      <c r="A250" s="1">
        <v>1</v>
      </c>
      <c r="B250" s="1">
        <v>2</v>
      </c>
      <c r="C250" s="1" t="s">
        <v>41</v>
      </c>
      <c r="D250" s="2">
        <v>38818</v>
      </c>
      <c r="E250" s="1">
        <v>101</v>
      </c>
      <c r="F250" s="1">
        <v>3</v>
      </c>
      <c r="G250" s="3">
        <v>0.57787037037037037</v>
      </c>
      <c r="H250" s="3">
        <v>0.57895833333333335</v>
      </c>
      <c r="I250" s="3">
        <v>1.087962962962985E-3</v>
      </c>
      <c r="J250" s="3">
        <v>1.087962962962985E-3</v>
      </c>
      <c r="K250" s="5">
        <f t="shared" si="69"/>
        <v>94</v>
      </c>
      <c r="L250" s="3">
        <v>9.6296296296296546E-3</v>
      </c>
      <c r="N250" s="1" t="s">
        <v>75</v>
      </c>
      <c r="O250" s="1" t="s">
        <v>43</v>
      </c>
      <c r="P250" s="1" t="s">
        <v>44</v>
      </c>
      <c r="Q250" s="1" t="s">
        <v>76</v>
      </c>
      <c r="S250" s="1" t="s">
        <v>46</v>
      </c>
      <c r="T250" s="1" t="s">
        <v>47</v>
      </c>
      <c r="U250" s="1" t="s">
        <v>66</v>
      </c>
      <c r="V250" s="1" t="s">
        <v>49</v>
      </c>
      <c r="W250" s="1" t="s">
        <v>50</v>
      </c>
      <c r="X250" s="1" t="s">
        <v>510</v>
      </c>
      <c r="Y250" s="1" t="s">
        <v>260</v>
      </c>
      <c r="Z250" s="1" t="s">
        <v>511</v>
      </c>
      <c r="AA250" s="1" t="s">
        <v>512</v>
      </c>
      <c r="AB250" s="1" t="s">
        <v>513</v>
      </c>
      <c r="AC250" s="1">
        <v>0</v>
      </c>
      <c r="AD250" s="1" t="s">
        <v>105</v>
      </c>
      <c r="AE250" s="1" t="s">
        <v>181</v>
      </c>
      <c r="AF250" s="1" t="s">
        <v>113</v>
      </c>
      <c r="AG250" s="1" t="s">
        <v>515</v>
      </c>
      <c r="AH250" s="1" t="s">
        <v>115</v>
      </c>
      <c r="AI250" s="1" t="s">
        <v>75</v>
      </c>
      <c r="AK250" s="1" t="s">
        <v>116</v>
      </c>
      <c r="AL250" s="1" t="s">
        <v>174</v>
      </c>
      <c r="AM250" s="1">
        <v>1</v>
      </c>
      <c r="AN250" s="1">
        <v>0</v>
      </c>
      <c r="AO250" s="1">
        <f t="shared" si="70"/>
        <v>1</v>
      </c>
    </row>
    <row r="251" spans="1:41" x14ac:dyDescent="0.4">
      <c r="A251" s="1">
        <v>1</v>
      </c>
      <c r="B251" s="1">
        <v>2</v>
      </c>
      <c r="C251" s="1" t="s">
        <v>41</v>
      </c>
      <c r="D251" s="2">
        <v>38818</v>
      </c>
      <c r="E251" s="1">
        <v>101</v>
      </c>
      <c r="F251" s="1">
        <v>4</v>
      </c>
      <c r="G251" s="3">
        <v>0.58858796296296301</v>
      </c>
      <c r="H251" s="3">
        <v>0.60290509259259262</v>
      </c>
      <c r="I251" s="3">
        <v>1.431712962962961E-2</v>
      </c>
      <c r="J251" s="3">
        <v>1.211805555555534E-2</v>
      </c>
      <c r="K251" s="5">
        <f t="shared" si="69"/>
        <v>1047</v>
      </c>
      <c r="L251" s="3">
        <v>1.7233796296296289E-2</v>
      </c>
      <c r="N251" s="1" t="s">
        <v>75</v>
      </c>
      <c r="O251" s="1" t="s">
        <v>43</v>
      </c>
      <c r="P251" s="1" t="s">
        <v>44</v>
      </c>
      <c r="Q251" s="1" t="s">
        <v>76</v>
      </c>
      <c r="S251" s="1" t="s">
        <v>46</v>
      </c>
      <c r="T251" s="1" t="s">
        <v>47</v>
      </c>
      <c r="U251" s="1" t="s">
        <v>66</v>
      </c>
      <c r="V251" s="1" t="s">
        <v>49</v>
      </c>
      <c r="W251" s="1" t="s">
        <v>140</v>
      </c>
      <c r="X251" s="1" t="s">
        <v>177</v>
      </c>
      <c r="Y251" s="1" t="s">
        <v>79</v>
      </c>
      <c r="Z251" s="1" t="s">
        <v>178</v>
      </c>
      <c r="AA251" s="1" t="s">
        <v>179</v>
      </c>
      <c r="AB251" s="1" t="s">
        <v>180</v>
      </c>
      <c r="AC251" s="1">
        <v>0</v>
      </c>
      <c r="AD251" s="1" t="s">
        <v>56</v>
      </c>
      <c r="AE251" s="1" t="s">
        <v>181</v>
      </c>
      <c r="AF251" s="1" t="s">
        <v>153</v>
      </c>
      <c r="AG251" s="1" t="s">
        <v>482</v>
      </c>
      <c r="AH251" s="1" t="s">
        <v>115</v>
      </c>
      <c r="AI251" s="1" t="s">
        <v>75</v>
      </c>
      <c r="AK251" s="1" t="s">
        <v>86</v>
      </c>
      <c r="AL251" s="1" t="s">
        <v>87</v>
      </c>
      <c r="AM251" s="1">
        <v>3</v>
      </c>
      <c r="AN251" s="1">
        <v>0</v>
      </c>
      <c r="AO251" s="1">
        <f t="shared" si="70"/>
        <v>3</v>
      </c>
    </row>
    <row r="252" spans="1:41" x14ac:dyDescent="0.4">
      <c r="A252" s="1">
        <v>1</v>
      </c>
      <c r="B252" s="1">
        <v>2</v>
      </c>
      <c r="C252" s="1" t="s">
        <v>41</v>
      </c>
      <c r="D252" s="2">
        <v>38818</v>
      </c>
      <c r="E252" s="1">
        <v>101</v>
      </c>
      <c r="F252" s="1">
        <v>4.75</v>
      </c>
      <c r="G252" s="3">
        <v>0.62013888888888891</v>
      </c>
      <c r="H252" s="3">
        <v>0.62017361111111113</v>
      </c>
      <c r="I252" s="3">
        <v>3.472222222222765E-5</v>
      </c>
      <c r="J252" s="3">
        <v>3.472222222222765E-5</v>
      </c>
      <c r="K252" s="5">
        <f t="shared" si="69"/>
        <v>3</v>
      </c>
      <c r="L252" s="3">
        <v>5.5671296296295747E-3</v>
      </c>
      <c r="N252" s="1" t="s">
        <v>75</v>
      </c>
      <c r="O252" s="1" t="s">
        <v>43</v>
      </c>
      <c r="P252" s="1" t="s">
        <v>44</v>
      </c>
      <c r="Q252" s="1" t="s">
        <v>76</v>
      </c>
      <c r="S252" s="1" t="s">
        <v>46</v>
      </c>
      <c r="T252" s="1" t="s">
        <v>45</v>
      </c>
      <c r="U252" s="1" t="s">
        <v>66</v>
      </c>
      <c r="AB252" s="1" t="s">
        <v>93</v>
      </c>
      <c r="AC252" s="1">
        <v>1</v>
      </c>
      <c r="AG252" s="1" t="s">
        <v>516</v>
      </c>
      <c r="AI252" s="1" t="s">
        <v>75</v>
      </c>
      <c r="AK252" s="1" t="s">
        <v>86</v>
      </c>
      <c r="AL252" s="1" t="s">
        <v>133</v>
      </c>
      <c r="AM252" s="1">
        <v>1</v>
      </c>
      <c r="AN252" s="1">
        <v>0</v>
      </c>
      <c r="AO252" s="1">
        <f t="shared" si="70"/>
        <v>1</v>
      </c>
    </row>
    <row r="253" spans="1:41" x14ac:dyDescent="0.4">
      <c r="A253" s="1">
        <v>1</v>
      </c>
      <c r="B253" s="1">
        <v>2</v>
      </c>
      <c r="C253" s="1" t="s">
        <v>41</v>
      </c>
      <c r="D253" s="2">
        <v>38818</v>
      </c>
      <c r="E253" s="1">
        <v>101</v>
      </c>
      <c r="F253" s="1">
        <v>5</v>
      </c>
      <c r="G253" s="3">
        <v>0.62574074074074071</v>
      </c>
      <c r="H253" s="3">
        <v>0.62612268518518521</v>
      </c>
      <c r="I253" s="3">
        <v>3.8194444444450415E-4</v>
      </c>
      <c r="J253" s="3">
        <v>3.8194444444450415E-4</v>
      </c>
      <c r="K253" s="5">
        <f t="shared" si="69"/>
        <v>33</v>
      </c>
      <c r="L253" s="3">
        <v>3.159722222222161E-3</v>
      </c>
      <c r="N253" s="1" t="s">
        <v>75</v>
      </c>
      <c r="O253" s="1" t="s">
        <v>43</v>
      </c>
      <c r="P253" s="1" t="s">
        <v>44</v>
      </c>
      <c r="Q253" s="1" t="s">
        <v>45</v>
      </c>
      <c r="S253" s="1" t="s">
        <v>46</v>
      </c>
      <c r="T253" s="1" t="s">
        <v>45</v>
      </c>
      <c r="U253" s="1" t="s">
        <v>66</v>
      </c>
      <c r="V253" s="1" t="s">
        <v>49</v>
      </c>
      <c r="W253" s="1" t="s">
        <v>140</v>
      </c>
      <c r="X253" s="1" t="s">
        <v>121</v>
      </c>
      <c r="Y253" s="1" t="s">
        <v>79</v>
      </c>
      <c r="Z253" s="1" t="s">
        <v>178</v>
      </c>
      <c r="AA253" s="1" t="s">
        <v>179</v>
      </c>
      <c r="AB253" s="1" t="s">
        <v>180</v>
      </c>
      <c r="AC253" s="1">
        <v>0</v>
      </c>
      <c r="AD253" s="1" t="s">
        <v>56</v>
      </c>
      <c r="AE253" s="1" t="s">
        <v>70</v>
      </c>
      <c r="AH253" s="1" t="s">
        <v>115</v>
      </c>
      <c r="AI253" s="1" t="s">
        <v>75</v>
      </c>
      <c r="AK253" s="1" t="s">
        <v>86</v>
      </c>
      <c r="AL253" s="1" t="s">
        <v>87</v>
      </c>
      <c r="AN253" s="1">
        <v>1</v>
      </c>
      <c r="AO253" s="1">
        <f t="shared" si="70"/>
        <v>1</v>
      </c>
    </row>
    <row r="254" spans="1:41" x14ac:dyDescent="0.4">
      <c r="A254" s="1">
        <v>1</v>
      </c>
      <c r="B254" s="1">
        <v>2</v>
      </c>
      <c r="C254" s="1" t="s">
        <v>41</v>
      </c>
      <c r="D254" s="2">
        <v>38818</v>
      </c>
      <c r="E254" s="1">
        <v>101</v>
      </c>
      <c r="F254" s="1">
        <v>5.3</v>
      </c>
      <c r="G254" s="3">
        <v>0.62928240740740737</v>
      </c>
      <c r="H254" s="3">
        <v>0.62934027777777779</v>
      </c>
      <c r="I254" s="3">
        <v>5.7870370370416424E-5</v>
      </c>
      <c r="J254" s="3">
        <v>5.7870370370416424E-5</v>
      </c>
      <c r="K254" s="5">
        <f t="shared" si="69"/>
        <v>5</v>
      </c>
      <c r="L254" s="3" t="s">
        <v>120</v>
      </c>
      <c r="N254" s="1" t="s">
        <v>75</v>
      </c>
      <c r="O254" s="1" t="s">
        <v>43</v>
      </c>
      <c r="P254" s="1" t="s">
        <v>44</v>
      </c>
      <c r="Q254" s="1" t="s">
        <v>45</v>
      </c>
      <c r="S254" s="1" t="s">
        <v>46</v>
      </c>
      <c r="T254" s="1" t="s">
        <v>45</v>
      </c>
      <c r="U254" s="1" t="s">
        <v>66</v>
      </c>
      <c r="AB254" s="1" t="s">
        <v>93</v>
      </c>
      <c r="AC254" s="1">
        <v>1</v>
      </c>
      <c r="AI254" s="1" t="s">
        <v>75</v>
      </c>
      <c r="AK254" s="1" t="s">
        <v>86</v>
      </c>
      <c r="AL254" s="1" t="s">
        <v>87</v>
      </c>
      <c r="AN254" s="1">
        <v>1</v>
      </c>
      <c r="AO254" s="1">
        <f t="shared" si="70"/>
        <v>1</v>
      </c>
    </row>
    <row r="255" spans="1:41" x14ac:dyDescent="0.4">
      <c r="A255" s="1">
        <v>1</v>
      </c>
      <c r="B255" s="1">
        <v>2</v>
      </c>
      <c r="C255" s="1" t="s">
        <v>41</v>
      </c>
      <c r="D255" s="2">
        <v>38832</v>
      </c>
      <c r="E255" s="1">
        <v>115</v>
      </c>
      <c r="F255" s="1">
        <v>0.5</v>
      </c>
      <c r="G255" s="3">
        <v>0.33958333333333335</v>
      </c>
      <c r="H255" s="3">
        <v>0.33968749999999998</v>
      </c>
      <c r="I255" s="3">
        <v>1.0416666666662744E-4</v>
      </c>
      <c r="J255" s="3">
        <v>1.0416666666662744E-4</v>
      </c>
      <c r="K255" s="5">
        <f t="shared" si="69"/>
        <v>9</v>
      </c>
      <c r="L255" s="3">
        <v>0.17122685185185188</v>
      </c>
      <c r="N255" s="1" t="s">
        <v>42</v>
      </c>
      <c r="O255" s="1" t="s">
        <v>43</v>
      </c>
      <c r="P255" s="1" t="s">
        <v>44</v>
      </c>
      <c r="Q255" s="1" t="s">
        <v>76</v>
      </c>
      <c r="R255" s="1" t="s">
        <v>76</v>
      </c>
      <c r="S255" s="1" t="s">
        <v>46</v>
      </c>
      <c r="AB255" s="1" t="s">
        <v>93</v>
      </c>
      <c r="AC255" s="1">
        <v>1</v>
      </c>
      <c r="AK255" s="1" t="s">
        <v>61</v>
      </c>
      <c r="AL255" s="1" t="s">
        <v>72</v>
      </c>
      <c r="AN255" s="1">
        <v>1</v>
      </c>
      <c r="AO255" s="1">
        <f t="shared" si="70"/>
        <v>1</v>
      </c>
    </row>
    <row r="256" spans="1:41" x14ac:dyDescent="0.4">
      <c r="A256" s="1">
        <v>1</v>
      </c>
      <c r="B256" s="1">
        <v>2</v>
      </c>
      <c r="C256" s="1" t="s">
        <v>41</v>
      </c>
      <c r="D256" s="2">
        <v>38832</v>
      </c>
      <c r="E256" s="1">
        <v>115</v>
      </c>
      <c r="F256" s="1">
        <v>1</v>
      </c>
      <c r="G256" s="3">
        <v>0.51091435185185186</v>
      </c>
      <c r="H256" s="3">
        <v>0.58359953703703704</v>
      </c>
      <c r="I256" s="3">
        <v>7.2685185185185186E-2</v>
      </c>
      <c r="J256" s="3">
        <v>6.148148148148147E-2</v>
      </c>
      <c r="K256" s="5">
        <f t="shared" si="69"/>
        <v>5312</v>
      </c>
      <c r="L256" s="3">
        <v>1.0520833333333313E-2</v>
      </c>
      <c r="N256" s="1" t="s">
        <v>42</v>
      </c>
      <c r="O256" s="1" t="s">
        <v>43</v>
      </c>
      <c r="P256" s="1" t="s">
        <v>44</v>
      </c>
      <c r="Q256" s="1" t="s">
        <v>45</v>
      </c>
      <c r="R256" s="1" t="s">
        <v>45</v>
      </c>
      <c r="S256" s="1" t="s">
        <v>46</v>
      </c>
      <c r="T256" s="1" t="s">
        <v>124</v>
      </c>
      <c r="U256" s="1" t="s">
        <v>66</v>
      </c>
      <c r="V256" s="1" t="s">
        <v>49</v>
      </c>
      <c r="W256" s="1" t="s">
        <v>50</v>
      </c>
      <c r="X256" s="1" t="s">
        <v>158</v>
      </c>
      <c r="Y256" s="1" t="s">
        <v>159</v>
      </c>
      <c r="Z256" s="1" t="s">
        <v>160</v>
      </c>
      <c r="AA256" s="1" t="s">
        <v>161</v>
      </c>
      <c r="AB256" s="1" t="s">
        <v>162</v>
      </c>
      <c r="AC256" s="1">
        <v>0</v>
      </c>
      <c r="AD256" s="1" t="s">
        <v>56</v>
      </c>
      <c r="AE256" s="1" t="s">
        <v>83</v>
      </c>
      <c r="AF256" s="1" t="s">
        <v>113</v>
      </c>
      <c r="AG256" s="1" t="s">
        <v>476</v>
      </c>
      <c r="AH256" s="1" t="s">
        <v>165</v>
      </c>
      <c r="AI256" s="1" t="s">
        <v>71</v>
      </c>
      <c r="AK256" s="1" t="s">
        <v>116</v>
      </c>
      <c r="AL256" s="1" t="s">
        <v>117</v>
      </c>
      <c r="AM256" s="1">
        <v>6</v>
      </c>
      <c r="AN256" s="1">
        <v>0</v>
      </c>
      <c r="AO256" s="1">
        <f t="shared" si="70"/>
        <v>6</v>
      </c>
    </row>
    <row r="257" spans="1:41" x14ac:dyDescent="0.4">
      <c r="A257" s="1">
        <v>1</v>
      </c>
      <c r="B257" s="1">
        <v>2</v>
      </c>
      <c r="C257" s="1" t="s">
        <v>41</v>
      </c>
      <c r="D257" s="2">
        <v>38832</v>
      </c>
      <c r="E257" s="1">
        <v>115</v>
      </c>
      <c r="F257" s="1">
        <v>2</v>
      </c>
      <c r="G257" s="3">
        <v>0.59412037037037035</v>
      </c>
      <c r="H257" s="3">
        <v>0.59769675925925925</v>
      </c>
      <c r="I257" s="3">
        <v>3.5763888888888928E-3</v>
      </c>
      <c r="J257" s="3">
        <v>3.5763888888888928E-3</v>
      </c>
      <c r="K257" s="5">
        <f t="shared" si="69"/>
        <v>309</v>
      </c>
      <c r="L257" s="3">
        <v>1.113425925925926E-2</v>
      </c>
      <c r="N257" s="1" t="s">
        <v>42</v>
      </c>
      <c r="O257" s="1" t="s">
        <v>43</v>
      </c>
      <c r="P257" s="1" t="s">
        <v>44</v>
      </c>
      <c r="Q257" s="1" t="s">
        <v>132</v>
      </c>
      <c r="R257" s="1" t="s">
        <v>132</v>
      </c>
      <c r="S257" s="1" t="s">
        <v>46</v>
      </c>
      <c r="T257" s="1" t="s">
        <v>45</v>
      </c>
      <c r="U257" s="1" t="s">
        <v>156</v>
      </c>
      <c r="V257" s="1" t="s">
        <v>49</v>
      </c>
      <c r="W257" s="1" t="s">
        <v>77</v>
      </c>
      <c r="X257" s="1" t="s">
        <v>194</v>
      </c>
      <c r="Y257" s="1" t="s">
        <v>79</v>
      </c>
      <c r="Z257" s="1" t="s">
        <v>195</v>
      </c>
      <c r="AA257" s="1" t="s">
        <v>196</v>
      </c>
      <c r="AB257" s="1" t="s">
        <v>197</v>
      </c>
      <c r="AC257" s="1">
        <v>0</v>
      </c>
      <c r="AD257" s="1" t="s">
        <v>56</v>
      </c>
      <c r="AE257" s="1" t="s">
        <v>83</v>
      </c>
      <c r="AG257" s="1" t="s">
        <v>517</v>
      </c>
      <c r="AH257" s="1" t="s">
        <v>115</v>
      </c>
      <c r="AI257" s="1" t="s">
        <v>75</v>
      </c>
      <c r="AK257" s="1" t="s">
        <v>61</v>
      </c>
      <c r="AL257" s="1" t="s">
        <v>61</v>
      </c>
      <c r="AM257" s="1">
        <v>1</v>
      </c>
      <c r="AN257" s="1">
        <v>0</v>
      </c>
      <c r="AO257" s="1">
        <f t="shared" si="70"/>
        <v>1</v>
      </c>
    </row>
    <row r="258" spans="1:41" x14ac:dyDescent="0.4">
      <c r="A258" s="1">
        <v>1</v>
      </c>
      <c r="B258" s="1">
        <v>2</v>
      </c>
      <c r="C258" s="1" t="s">
        <v>41</v>
      </c>
      <c r="D258" s="2">
        <v>38832</v>
      </c>
      <c r="E258" s="1">
        <v>115</v>
      </c>
      <c r="F258" s="1">
        <v>3</v>
      </c>
      <c r="G258" s="3">
        <v>0.60883101851851851</v>
      </c>
      <c r="H258" s="3">
        <v>0.62392361111111116</v>
      </c>
      <c r="I258" s="3">
        <v>1.5092592592592657E-2</v>
      </c>
      <c r="J258" s="3">
        <v>1.5092592592592657E-2</v>
      </c>
      <c r="K258" s="5">
        <f t="shared" ref="K258:K321" si="71">HOUR(J258)*60*60+MINUTE(J258)*60+SECOND(J258)</f>
        <v>1304</v>
      </c>
      <c r="L258" s="3" t="s">
        <v>120</v>
      </c>
      <c r="N258" s="1" t="s">
        <v>42</v>
      </c>
      <c r="O258" s="1" t="s">
        <v>43</v>
      </c>
      <c r="P258" s="1" t="s">
        <v>44</v>
      </c>
      <c r="Q258" s="1" t="s">
        <v>76</v>
      </c>
      <c r="R258" s="1" t="s">
        <v>76</v>
      </c>
      <c r="S258" s="1" t="s">
        <v>46</v>
      </c>
      <c r="T258" s="1" t="s">
        <v>47</v>
      </c>
      <c r="U258" s="1" t="s">
        <v>48</v>
      </c>
      <c r="V258" s="1" t="s">
        <v>297</v>
      </c>
      <c r="W258" s="1" t="s">
        <v>167</v>
      </c>
      <c r="X258" s="1" t="s">
        <v>506</v>
      </c>
      <c r="Y258" s="1" t="s">
        <v>507</v>
      </c>
      <c r="Z258" s="1">
        <v>34</v>
      </c>
      <c r="AB258" s="1" t="s">
        <v>508</v>
      </c>
      <c r="AC258" s="1">
        <v>0</v>
      </c>
      <c r="AD258" s="1" t="s">
        <v>105</v>
      </c>
      <c r="AE258" s="1" t="s">
        <v>57</v>
      </c>
      <c r="AF258" s="1" t="s">
        <v>113</v>
      </c>
      <c r="AG258" s="1" t="s">
        <v>518</v>
      </c>
      <c r="AH258" s="1" t="s">
        <v>157</v>
      </c>
      <c r="AI258" s="1" t="s">
        <v>60</v>
      </c>
      <c r="AK258" s="1" t="s">
        <v>86</v>
      </c>
      <c r="AL258" s="1" t="s">
        <v>133</v>
      </c>
      <c r="AM258" s="1">
        <v>1</v>
      </c>
      <c r="AN258" s="1">
        <v>0</v>
      </c>
      <c r="AO258" s="1">
        <f t="shared" si="70"/>
        <v>1</v>
      </c>
    </row>
    <row r="259" spans="1:41" x14ac:dyDescent="0.4">
      <c r="A259" s="1">
        <v>1</v>
      </c>
      <c r="B259" s="1">
        <v>2</v>
      </c>
      <c r="C259" s="1" t="s">
        <v>41</v>
      </c>
      <c r="D259" s="2">
        <v>38854</v>
      </c>
      <c r="E259" s="1">
        <v>137</v>
      </c>
      <c r="F259" s="1">
        <v>0.25</v>
      </c>
      <c r="G259" s="3">
        <v>0.33775462962962965</v>
      </c>
      <c r="H259" s="3">
        <v>0.33788194444444447</v>
      </c>
      <c r="I259" s="3">
        <v>1.2731481481481621E-4</v>
      </c>
      <c r="J259" s="3">
        <v>1.2731481481481621E-4</v>
      </c>
      <c r="K259" s="5">
        <f t="shared" si="71"/>
        <v>11</v>
      </c>
      <c r="L259" s="3">
        <v>3.9004629629629251E-3</v>
      </c>
      <c r="N259" s="1" t="s">
        <v>75</v>
      </c>
      <c r="O259" s="1" t="s">
        <v>286</v>
      </c>
      <c r="P259" s="1" t="s">
        <v>44</v>
      </c>
      <c r="Q259" s="1" t="s">
        <v>76</v>
      </c>
      <c r="R259" s="1" t="s">
        <v>76</v>
      </c>
      <c r="S259" s="1" t="s">
        <v>46</v>
      </c>
      <c r="AB259" s="1" t="s">
        <v>93</v>
      </c>
      <c r="AC259" s="1">
        <v>1</v>
      </c>
      <c r="AK259" s="1" t="s">
        <v>61</v>
      </c>
      <c r="AL259" s="1" t="s">
        <v>72</v>
      </c>
      <c r="AN259" s="1">
        <v>1</v>
      </c>
      <c r="AO259" s="1">
        <f t="shared" ref="AO259:AO322" si="72">SUM(AM259:AN259)</f>
        <v>1</v>
      </c>
    </row>
    <row r="260" spans="1:41" x14ac:dyDescent="0.4">
      <c r="A260" s="1">
        <v>1</v>
      </c>
      <c r="B260" s="1">
        <v>2</v>
      </c>
      <c r="C260" s="1" t="s">
        <v>41</v>
      </c>
      <c r="D260" s="2">
        <v>38854</v>
      </c>
      <c r="E260" s="1">
        <v>137</v>
      </c>
      <c r="F260" s="1">
        <v>0.5</v>
      </c>
      <c r="G260" s="3">
        <v>0.3417824074074074</v>
      </c>
      <c r="H260" s="3">
        <v>0.34181712962962968</v>
      </c>
      <c r="I260" s="3">
        <v>3.4722222222283161E-5</v>
      </c>
      <c r="J260" s="3">
        <v>3.4722222222283161E-5</v>
      </c>
      <c r="K260" s="5">
        <f t="shared" si="71"/>
        <v>3</v>
      </c>
      <c r="L260" s="3">
        <v>4.1412037037036997E-2</v>
      </c>
      <c r="N260" s="1" t="s">
        <v>75</v>
      </c>
      <c r="O260" s="1" t="s">
        <v>286</v>
      </c>
      <c r="P260" s="1" t="s">
        <v>44</v>
      </c>
      <c r="Q260" s="1" t="s">
        <v>76</v>
      </c>
      <c r="R260" s="1" t="s">
        <v>45</v>
      </c>
      <c r="S260" s="1" t="s">
        <v>46</v>
      </c>
      <c r="AB260" s="1" t="s">
        <v>93</v>
      </c>
      <c r="AC260" s="1">
        <v>1</v>
      </c>
      <c r="AK260" s="1" t="s">
        <v>61</v>
      </c>
      <c r="AL260" s="1" t="s">
        <v>72</v>
      </c>
      <c r="AN260" s="1">
        <v>1</v>
      </c>
      <c r="AO260" s="1">
        <f t="shared" si="72"/>
        <v>1</v>
      </c>
    </row>
    <row r="261" spans="1:41" x14ac:dyDescent="0.4">
      <c r="A261" s="1">
        <v>1</v>
      </c>
      <c r="B261" s="1">
        <v>2</v>
      </c>
      <c r="C261" s="1" t="s">
        <v>41</v>
      </c>
      <c r="D261" s="2">
        <v>38854</v>
      </c>
      <c r="E261" s="1">
        <v>137</v>
      </c>
      <c r="F261" s="1">
        <v>1</v>
      </c>
      <c r="G261" s="3">
        <v>0.38322916666666668</v>
      </c>
      <c r="H261" s="3">
        <v>0.38575231481481481</v>
      </c>
      <c r="I261" s="3">
        <v>2.5231481481481355E-3</v>
      </c>
      <c r="J261" s="3">
        <v>2.5231481481481355E-3</v>
      </c>
      <c r="K261" s="5">
        <f t="shared" si="71"/>
        <v>218</v>
      </c>
      <c r="L261" s="3">
        <v>1.1087962962962938E-2</v>
      </c>
      <c r="N261" s="1" t="s">
        <v>251</v>
      </c>
      <c r="O261" s="1" t="s">
        <v>286</v>
      </c>
      <c r="P261" s="1" t="s">
        <v>44</v>
      </c>
      <c r="Q261" s="1" t="s">
        <v>76</v>
      </c>
      <c r="R261" s="1" t="s">
        <v>76</v>
      </c>
      <c r="S261" s="1" t="s">
        <v>46</v>
      </c>
      <c r="T261" s="1" t="s">
        <v>45</v>
      </c>
      <c r="U261" s="1" t="s">
        <v>156</v>
      </c>
      <c r="V261" s="1" t="s">
        <v>102</v>
      </c>
      <c r="W261" s="1" t="s">
        <v>103</v>
      </c>
      <c r="X261" s="1" t="s">
        <v>96</v>
      </c>
      <c r="AB261" s="1" t="s">
        <v>104</v>
      </c>
      <c r="AC261" s="1">
        <v>0</v>
      </c>
      <c r="AD261" s="1" t="s">
        <v>105</v>
      </c>
      <c r="AE261" s="1" t="s">
        <v>70</v>
      </c>
      <c r="AG261" s="1" t="s">
        <v>519</v>
      </c>
      <c r="AH261" s="1" t="s">
        <v>157</v>
      </c>
      <c r="AI261" s="1" t="s">
        <v>255</v>
      </c>
      <c r="AK261" s="1" t="s">
        <v>86</v>
      </c>
      <c r="AL261" s="1" t="s">
        <v>133</v>
      </c>
      <c r="AM261" s="1">
        <v>1</v>
      </c>
      <c r="AN261" s="1">
        <v>0</v>
      </c>
      <c r="AO261" s="1">
        <f t="shared" si="72"/>
        <v>1</v>
      </c>
    </row>
    <row r="262" spans="1:41" x14ac:dyDescent="0.4">
      <c r="A262" s="1">
        <v>1</v>
      </c>
      <c r="B262" s="1">
        <v>2</v>
      </c>
      <c r="C262" s="1" t="s">
        <v>41</v>
      </c>
      <c r="D262" s="2">
        <v>38854</v>
      </c>
      <c r="E262" s="1">
        <v>137</v>
      </c>
      <c r="F262" s="1">
        <v>2</v>
      </c>
      <c r="G262" s="3">
        <v>0.39684027777777775</v>
      </c>
      <c r="H262" s="3">
        <v>0.40254629629629629</v>
      </c>
      <c r="I262" s="3">
        <v>5.7060185185185408E-3</v>
      </c>
      <c r="J262" s="3">
        <v>1.1805555555555736E-3</v>
      </c>
      <c r="K262" s="5">
        <f t="shared" si="71"/>
        <v>102</v>
      </c>
      <c r="L262" s="3">
        <v>4.0706018518518516E-2</v>
      </c>
      <c r="N262" s="1" t="s">
        <v>251</v>
      </c>
      <c r="O262" s="1" t="s">
        <v>286</v>
      </c>
      <c r="P262" s="1" t="s">
        <v>44</v>
      </c>
      <c r="Q262" s="1" t="s">
        <v>76</v>
      </c>
      <c r="R262" s="1" t="s">
        <v>76</v>
      </c>
      <c r="S262" s="1" t="s">
        <v>46</v>
      </c>
      <c r="T262" s="1" t="s">
        <v>47</v>
      </c>
      <c r="U262" s="1" t="s">
        <v>156</v>
      </c>
      <c r="V262" s="1" t="s">
        <v>102</v>
      </c>
      <c r="W262" s="1" t="s">
        <v>231</v>
      </c>
      <c r="X262" s="1" t="s">
        <v>96</v>
      </c>
      <c r="Y262" s="1" t="s">
        <v>52</v>
      </c>
      <c r="AB262" s="1" t="s">
        <v>225</v>
      </c>
      <c r="AC262" s="1">
        <v>0</v>
      </c>
      <c r="AD262" s="1" t="s">
        <v>105</v>
      </c>
      <c r="AE262" s="1" t="s">
        <v>70</v>
      </c>
      <c r="AG262" s="1" t="s">
        <v>520</v>
      </c>
      <c r="AH262" s="1" t="s">
        <v>157</v>
      </c>
      <c r="AI262" s="1" t="s">
        <v>255</v>
      </c>
      <c r="AK262" s="1" t="s">
        <v>86</v>
      </c>
      <c r="AL262" s="1" t="s">
        <v>87</v>
      </c>
      <c r="AM262" s="1">
        <v>1</v>
      </c>
      <c r="AN262" s="1">
        <v>0</v>
      </c>
      <c r="AO262" s="1">
        <f t="shared" si="72"/>
        <v>1</v>
      </c>
    </row>
    <row r="263" spans="1:41" x14ac:dyDescent="0.4">
      <c r="A263" s="1">
        <v>1</v>
      </c>
      <c r="B263" s="1">
        <v>2</v>
      </c>
      <c r="C263" s="1" t="s">
        <v>41</v>
      </c>
      <c r="D263" s="2">
        <v>38854</v>
      </c>
      <c r="E263" s="1">
        <v>137</v>
      </c>
      <c r="F263" s="1">
        <v>2.5</v>
      </c>
      <c r="G263" s="3">
        <v>0.44325231481481481</v>
      </c>
      <c r="H263" s="3">
        <v>0.44344907407407402</v>
      </c>
      <c r="I263" s="3">
        <v>1.96759259259216E-4</v>
      </c>
      <c r="J263" s="3">
        <v>1.96759259259216E-4</v>
      </c>
      <c r="K263" s="5">
        <f t="shared" si="71"/>
        <v>17</v>
      </c>
      <c r="L263" s="3">
        <v>7.4652777777778345E-3</v>
      </c>
      <c r="N263" s="1" t="s">
        <v>251</v>
      </c>
      <c r="O263" s="1" t="s">
        <v>286</v>
      </c>
      <c r="P263" s="1" t="s">
        <v>44</v>
      </c>
      <c r="Q263" s="1" t="s">
        <v>76</v>
      </c>
      <c r="R263" s="1" t="s">
        <v>76</v>
      </c>
      <c r="S263" s="1" t="s">
        <v>46</v>
      </c>
      <c r="T263" s="1" t="s">
        <v>45</v>
      </c>
      <c r="U263" s="1" t="s">
        <v>156</v>
      </c>
      <c r="AB263" s="1" t="s">
        <v>93</v>
      </c>
      <c r="AC263" s="1">
        <v>1</v>
      </c>
      <c r="AF263" s="1" t="s">
        <v>153</v>
      </c>
      <c r="AG263" s="1" t="s">
        <v>521</v>
      </c>
      <c r="AI263" s="1" t="s">
        <v>255</v>
      </c>
      <c r="AK263" s="1" t="s">
        <v>86</v>
      </c>
      <c r="AL263" s="1" t="s">
        <v>87</v>
      </c>
      <c r="AM263" s="1">
        <v>2</v>
      </c>
      <c r="AN263" s="1">
        <v>0</v>
      </c>
      <c r="AO263" s="1">
        <f t="shared" si="72"/>
        <v>2</v>
      </c>
    </row>
    <row r="264" spans="1:41" x14ac:dyDescent="0.4">
      <c r="A264" s="1">
        <v>1</v>
      </c>
      <c r="B264" s="1">
        <v>2</v>
      </c>
      <c r="C264" s="1" t="s">
        <v>41</v>
      </c>
      <c r="D264" s="2">
        <v>38854</v>
      </c>
      <c r="E264" s="1">
        <v>137</v>
      </c>
      <c r="F264" s="1">
        <v>2.75</v>
      </c>
      <c r="G264" s="3">
        <v>0.45091435185185186</v>
      </c>
      <c r="H264" s="3">
        <v>0.45096064814814812</v>
      </c>
      <c r="I264" s="3">
        <v>4.6296296296266526E-5</v>
      </c>
      <c r="J264" s="3">
        <v>4.6296296296266526E-5</v>
      </c>
      <c r="K264" s="5">
        <f t="shared" si="71"/>
        <v>4</v>
      </c>
      <c r="L264" s="3">
        <v>7.569444444444462E-3</v>
      </c>
      <c r="N264" s="1" t="s">
        <v>251</v>
      </c>
      <c r="O264" s="1" t="s">
        <v>286</v>
      </c>
      <c r="P264" s="1" t="s">
        <v>44</v>
      </c>
      <c r="Q264" s="1" t="s">
        <v>76</v>
      </c>
      <c r="R264" s="1" t="s">
        <v>91</v>
      </c>
      <c r="S264" s="1" t="s">
        <v>46</v>
      </c>
      <c r="T264" s="1" t="s">
        <v>47</v>
      </c>
      <c r="U264" s="1" t="s">
        <v>156</v>
      </c>
      <c r="AB264" s="1" t="s">
        <v>93</v>
      </c>
      <c r="AC264" s="1">
        <v>1</v>
      </c>
      <c r="AI264" s="1" t="s">
        <v>255</v>
      </c>
      <c r="AK264" s="1" t="s">
        <v>86</v>
      </c>
      <c r="AL264" s="1" t="s">
        <v>86</v>
      </c>
      <c r="AN264" s="1">
        <v>1</v>
      </c>
      <c r="AO264" s="1">
        <f t="shared" si="72"/>
        <v>1</v>
      </c>
    </row>
    <row r="265" spans="1:41" x14ac:dyDescent="0.4">
      <c r="A265" s="1">
        <v>1</v>
      </c>
      <c r="B265" s="1">
        <v>2</v>
      </c>
      <c r="C265" s="1" t="s">
        <v>41</v>
      </c>
      <c r="D265" s="2">
        <v>38854</v>
      </c>
      <c r="E265" s="1">
        <v>137</v>
      </c>
      <c r="F265" s="1">
        <v>3</v>
      </c>
      <c r="G265" s="3">
        <v>0.45853009259259259</v>
      </c>
      <c r="H265" s="3">
        <v>0.47733796296296299</v>
      </c>
      <c r="I265" s="3">
        <v>1.8807870370370405E-2</v>
      </c>
      <c r="J265" s="3">
        <v>1.8807870370370405E-2</v>
      </c>
      <c r="K265" s="5">
        <f t="shared" si="71"/>
        <v>1625</v>
      </c>
      <c r="L265" s="3">
        <v>0.11142361111111104</v>
      </c>
      <c r="N265" s="1" t="s">
        <v>42</v>
      </c>
      <c r="O265" s="1" t="s">
        <v>286</v>
      </c>
      <c r="P265" s="1" t="s">
        <v>44</v>
      </c>
      <c r="Q265" s="1" t="s">
        <v>45</v>
      </c>
      <c r="R265" s="1" t="s">
        <v>45</v>
      </c>
      <c r="S265" s="1" t="s">
        <v>46</v>
      </c>
      <c r="T265" s="1" t="s">
        <v>47</v>
      </c>
      <c r="U265" s="1" t="s">
        <v>156</v>
      </c>
      <c r="V265" s="1" t="s">
        <v>49</v>
      </c>
      <c r="W265" s="1" t="s">
        <v>77</v>
      </c>
      <c r="X265" s="1" t="s">
        <v>522</v>
      </c>
      <c r="Y265" s="1" t="s">
        <v>79</v>
      </c>
      <c r="Z265" s="1" t="s">
        <v>523</v>
      </c>
      <c r="AA265" s="1" t="s">
        <v>524</v>
      </c>
      <c r="AB265" s="1" t="s">
        <v>525</v>
      </c>
      <c r="AC265" s="1">
        <v>0</v>
      </c>
      <c r="AD265" s="1" t="s">
        <v>56</v>
      </c>
      <c r="AE265" s="1" t="s">
        <v>57</v>
      </c>
      <c r="AF265" s="1" t="s">
        <v>113</v>
      </c>
      <c r="AG265" s="1" t="s">
        <v>526</v>
      </c>
      <c r="AH265" s="1" t="s">
        <v>115</v>
      </c>
      <c r="AI265" s="1" t="s">
        <v>75</v>
      </c>
      <c r="AK265" s="1" t="s">
        <v>61</v>
      </c>
      <c r="AL265" s="1" t="s">
        <v>133</v>
      </c>
      <c r="AM265" s="1">
        <v>2</v>
      </c>
      <c r="AN265" s="1">
        <v>0</v>
      </c>
      <c r="AO265" s="1">
        <f t="shared" si="72"/>
        <v>2</v>
      </c>
    </row>
    <row r="266" spans="1:41" x14ac:dyDescent="0.4">
      <c r="A266" s="1">
        <v>1</v>
      </c>
      <c r="B266" s="1">
        <v>2</v>
      </c>
      <c r="C266" s="1" t="s">
        <v>41</v>
      </c>
      <c r="D266" s="2">
        <v>38854</v>
      </c>
      <c r="E266" s="1">
        <v>137</v>
      </c>
      <c r="F266" s="1">
        <v>4</v>
      </c>
      <c r="G266" s="3">
        <v>0.58876157407407403</v>
      </c>
      <c r="H266" s="3">
        <v>0.60218749999999999</v>
      </c>
      <c r="I266" s="3">
        <v>1.3425925925925952E-2</v>
      </c>
      <c r="J266" s="3">
        <v>1.3287037037037153E-2</v>
      </c>
      <c r="K266" s="5">
        <f t="shared" si="71"/>
        <v>1148</v>
      </c>
      <c r="L266" s="3">
        <v>9.0624999999999734E-3</v>
      </c>
      <c r="N266" s="1" t="s">
        <v>42</v>
      </c>
      <c r="O266" s="1" t="s">
        <v>286</v>
      </c>
      <c r="P266" s="1" t="s">
        <v>44</v>
      </c>
      <c r="Q266" s="1" t="s">
        <v>76</v>
      </c>
      <c r="R266" s="1" t="s">
        <v>76</v>
      </c>
      <c r="S266" s="1" t="s">
        <v>46</v>
      </c>
      <c r="T266" s="1" t="s">
        <v>47</v>
      </c>
      <c r="U266" s="1" t="s">
        <v>156</v>
      </c>
      <c r="V266" s="1" t="s">
        <v>49</v>
      </c>
      <c r="W266" s="1" t="s">
        <v>77</v>
      </c>
      <c r="X266" s="1" t="s">
        <v>527</v>
      </c>
      <c r="Y266" s="1" t="s">
        <v>528</v>
      </c>
      <c r="Z266" s="1" t="s">
        <v>529</v>
      </c>
      <c r="AA266" s="1" t="s">
        <v>530</v>
      </c>
      <c r="AB266" s="1" t="s">
        <v>531</v>
      </c>
      <c r="AC266" s="1">
        <v>0</v>
      </c>
      <c r="AD266" s="1" t="s">
        <v>56</v>
      </c>
      <c r="AE266" s="1" t="s">
        <v>83</v>
      </c>
      <c r="AF266" s="1" t="s">
        <v>113</v>
      </c>
      <c r="AG266" s="1" t="s">
        <v>532</v>
      </c>
      <c r="AH266" s="1" t="s">
        <v>115</v>
      </c>
      <c r="AI266" s="1" t="s">
        <v>75</v>
      </c>
      <c r="AK266" s="1" t="s">
        <v>116</v>
      </c>
      <c r="AL266" s="1" t="s">
        <v>117</v>
      </c>
      <c r="AM266" s="1">
        <v>3</v>
      </c>
      <c r="AN266" s="1">
        <v>0</v>
      </c>
      <c r="AO266" s="1">
        <f t="shared" si="72"/>
        <v>3</v>
      </c>
    </row>
    <row r="267" spans="1:41" x14ac:dyDescent="0.4">
      <c r="A267" s="1">
        <v>1</v>
      </c>
      <c r="B267" s="1">
        <v>2</v>
      </c>
      <c r="C267" s="1" t="s">
        <v>41</v>
      </c>
      <c r="D267" s="2">
        <v>38854</v>
      </c>
      <c r="E267" s="1">
        <v>137</v>
      </c>
      <c r="F267" s="1">
        <v>5</v>
      </c>
      <c r="G267" s="3">
        <v>0.61124999999999996</v>
      </c>
      <c r="H267" s="3">
        <v>0.61157407407407405</v>
      </c>
      <c r="I267" s="3">
        <v>3.2407407407408773E-4</v>
      </c>
      <c r="J267" s="3">
        <v>3.2407407407408773E-4</v>
      </c>
      <c r="K267" s="5">
        <f t="shared" si="71"/>
        <v>28</v>
      </c>
      <c r="L267" s="3" t="s">
        <v>120</v>
      </c>
      <c r="N267" s="1" t="s">
        <v>42</v>
      </c>
      <c r="O267" s="1" t="s">
        <v>286</v>
      </c>
      <c r="P267" s="1" t="s">
        <v>44</v>
      </c>
      <c r="Q267" s="1" t="s">
        <v>76</v>
      </c>
      <c r="R267" s="1" t="s">
        <v>91</v>
      </c>
      <c r="S267" s="1" t="s">
        <v>46</v>
      </c>
      <c r="T267" s="1" t="s">
        <v>47</v>
      </c>
      <c r="U267" s="1" t="s">
        <v>92</v>
      </c>
      <c r="V267" s="1" t="s">
        <v>102</v>
      </c>
      <c r="W267" s="1" t="s">
        <v>231</v>
      </c>
      <c r="X267" s="1" t="s">
        <v>121</v>
      </c>
      <c r="AB267" s="1" t="s">
        <v>104</v>
      </c>
      <c r="AC267" s="1">
        <v>0</v>
      </c>
      <c r="AD267" s="1" t="s">
        <v>105</v>
      </c>
      <c r="AE267" s="1" t="s">
        <v>70</v>
      </c>
      <c r="AG267" s="1" t="s">
        <v>533</v>
      </c>
      <c r="AI267" s="1" t="s">
        <v>75</v>
      </c>
      <c r="AK267" s="1" t="s">
        <v>86</v>
      </c>
      <c r="AL267" s="1" t="s">
        <v>133</v>
      </c>
      <c r="AM267" s="1">
        <v>1</v>
      </c>
      <c r="AN267" s="1">
        <v>0</v>
      </c>
      <c r="AO267" s="1">
        <f t="shared" si="72"/>
        <v>1</v>
      </c>
    </row>
    <row r="268" spans="1:41" x14ac:dyDescent="0.4">
      <c r="A268" s="1">
        <v>1</v>
      </c>
      <c r="B268" s="1">
        <v>2</v>
      </c>
      <c r="C268" s="1" t="s">
        <v>41</v>
      </c>
      <c r="D268" s="2">
        <v>38860</v>
      </c>
      <c r="E268" s="1">
        <v>143</v>
      </c>
      <c r="F268" s="1">
        <v>1</v>
      </c>
      <c r="G268" s="3">
        <v>0.41541666666666671</v>
      </c>
      <c r="H268" s="3">
        <v>0.43288194444444444</v>
      </c>
      <c r="I268" s="3">
        <v>1.7465277777777732E-2</v>
      </c>
      <c r="J268" s="3">
        <v>1.7268518518518516E-2</v>
      </c>
      <c r="K268" s="5">
        <f t="shared" si="71"/>
        <v>1492</v>
      </c>
      <c r="L268" s="3">
        <v>9.960648148148149E-2</v>
      </c>
      <c r="N268" s="1" t="s">
        <v>75</v>
      </c>
      <c r="O268" s="1" t="s">
        <v>286</v>
      </c>
      <c r="P268" s="1" t="s">
        <v>44</v>
      </c>
      <c r="Q268" s="1" t="s">
        <v>76</v>
      </c>
      <c r="R268" s="1" t="s">
        <v>76</v>
      </c>
      <c r="S268" s="1" t="s">
        <v>46</v>
      </c>
      <c r="T268" s="1" t="s">
        <v>47</v>
      </c>
      <c r="U268" s="1" t="s">
        <v>66</v>
      </c>
      <c r="V268" s="1" t="s">
        <v>49</v>
      </c>
      <c r="W268" s="1" t="s">
        <v>77</v>
      </c>
      <c r="X268" s="1" t="s">
        <v>534</v>
      </c>
      <c r="Y268" s="1" t="s">
        <v>260</v>
      </c>
      <c r="Z268" s="1" t="s">
        <v>261</v>
      </c>
      <c r="AA268" s="1" t="s">
        <v>535</v>
      </c>
      <c r="AB268" s="1" t="s">
        <v>536</v>
      </c>
      <c r="AC268" s="1">
        <v>0</v>
      </c>
      <c r="AD268" s="1" t="s">
        <v>56</v>
      </c>
      <c r="AE268" s="1" t="s">
        <v>83</v>
      </c>
      <c r="AF268" s="1" t="s">
        <v>113</v>
      </c>
      <c r="AG268" s="1" t="s">
        <v>537</v>
      </c>
      <c r="AH268" s="1" t="s">
        <v>115</v>
      </c>
      <c r="AI268" s="1" t="s">
        <v>75</v>
      </c>
      <c r="AJ268" s="1" t="s">
        <v>147</v>
      </c>
      <c r="AK268" s="1" t="s">
        <v>116</v>
      </c>
      <c r="AL268" s="1" t="s">
        <v>174</v>
      </c>
      <c r="AM268" s="1">
        <v>1</v>
      </c>
      <c r="AN268" s="1">
        <v>0</v>
      </c>
      <c r="AO268" s="1">
        <f t="shared" si="72"/>
        <v>1</v>
      </c>
    </row>
    <row r="269" spans="1:41" x14ac:dyDescent="0.4">
      <c r="A269" s="1">
        <v>1</v>
      </c>
      <c r="B269" s="1">
        <v>2</v>
      </c>
      <c r="C269" s="1" t="s">
        <v>41</v>
      </c>
      <c r="D269" s="2">
        <v>38860</v>
      </c>
      <c r="E269" s="1">
        <v>143</v>
      </c>
      <c r="F269" s="1">
        <v>2</v>
      </c>
      <c r="G269" s="3">
        <v>0.53248842592592593</v>
      </c>
      <c r="H269" s="3">
        <v>0.53401620370370373</v>
      </c>
      <c r="I269" s="3">
        <v>1.5277777777777946E-3</v>
      </c>
      <c r="J269" s="3">
        <v>1.5277777777777946E-3</v>
      </c>
      <c r="K269" s="5">
        <f t="shared" si="71"/>
        <v>132</v>
      </c>
      <c r="L269" s="3">
        <v>6.134259259259256E-3</v>
      </c>
      <c r="N269" s="1" t="s">
        <v>75</v>
      </c>
      <c r="O269" s="1" t="s">
        <v>286</v>
      </c>
      <c r="P269" s="1" t="s">
        <v>44</v>
      </c>
      <c r="Q269" s="1" t="s">
        <v>76</v>
      </c>
      <c r="R269" s="1" t="s">
        <v>76</v>
      </c>
      <c r="S269" s="1" t="s">
        <v>46</v>
      </c>
      <c r="T269" s="1" t="s">
        <v>47</v>
      </c>
      <c r="U269" s="1" t="s">
        <v>66</v>
      </c>
      <c r="V269" s="1" t="s">
        <v>102</v>
      </c>
      <c r="W269" s="1" t="s">
        <v>231</v>
      </c>
      <c r="X269" s="1" t="s">
        <v>96</v>
      </c>
      <c r="AB269" s="1" t="s">
        <v>104</v>
      </c>
      <c r="AC269" s="1">
        <v>0</v>
      </c>
      <c r="AD269" s="1" t="s">
        <v>105</v>
      </c>
      <c r="AE269" s="1" t="s">
        <v>70</v>
      </c>
      <c r="AH269" s="1" t="s">
        <v>157</v>
      </c>
      <c r="AI269" s="1" t="s">
        <v>75</v>
      </c>
      <c r="AK269" s="1" t="s">
        <v>86</v>
      </c>
      <c r="AL269" s="1" t="s">
        <v>86</v>
      </c>
      <c r="AN269" s="1">
        <v>1</v>
      </c>
      <c r="AO269" s="1">
        <f t="shared" si="72"/>
        <v>1</v>
      </c>
    </row>
    <row r="270" spans="1:41" x14ac:dyDescent="0.4">
      <c r="A270" s="1">
        <v>1</v>
      </c>
      <c r="B270" s="1">
        <v>2</v>
      </c>
      <c r="C270" s="1" t="s">
        <v>41</v>
      </c>
      <c r="D270" s="2">
        <v>38860</v>
      </c>
      <c r="E270" s="1">
        <v>143</v>
      </c>
      <c r="F270" s="1">
        <v>4</v>
      </c>
      <c r="G270" s="3">
        <v>0.54015046296296299</v>
      </c>
      <c r="H270" s="3">
        <v>0.54552083333333334</v>
      </c>
      <c r="I270" s="3">
        <v>5.3703703703703587E-3</v>
      </c>
      <c r="J270" s="3">
        <v>5.3703703703703587E-3</v>
      </c>
      <c r="K270" s="5">
        <f t="shared" si="71"/>
        <v>464</v>
      </c>
      <c r="L270" s="3">
        <v>3.8865740740740673E-2</v>
      </c>
      <c r="N270" s="1" t="s">
        <v>75</v>
      </c>
      <c r="O270" s="1" t="s">
        <v>286</v>
      </c>
      <c r="P270" s="1" t="s">
        <v>44</v>
      </c>
      <c r="Q270" s="1" t="s">
        <v>76</v>
      </c>
      <c r="R270" s="1" t="s">
        <v>76</v>
      </c>
      <c r="S270" s="1" t="s">
        <v>46</v>
      </c>
      <c r="T270" s="1" t="s">
        <v>45</v>
      </c>
      <c r="U270" s="1" t="s">
        <v>66</v>
      </c>
      <c r="V270" s="1" t="s">
        <v>49</v>
      </c>
      <c r="W270" s="1" t="s">
        <v>77</v>
      </c>
      <c r="X270" s="1" t="s">
        <v>538</v>
      </c>
      <c r="Y270" s="1" t="s">
        <v>276</v>
      </c>
      <c r="Z270" s="1" t="s">
        <v>277</v>
      </c>
      <c r="AA270" s="1">
        <v>1</v>
      </c>
      <c r="AB270" s="1" t="s">
        <v>539</v>
      </c>
      <c r="AC270" s="1">
        <v>0</v>
      </c>
      <c r="AD270" s="1" t="s">
        <v>56</v>
      </c>
      <c r="AE270" s="1" t="s">
        <v>181</v>
      </c>
      <c r="AG270" s="1" t="s">
        <v>540</v>
      </c>
      <c r="AH270" s="1" t="s">
        <v>115</v>
      </c>
      <c r="AI270" s="1" t="s">
        <v>75</v>
      </c>
      <c r="AK270" s="1" t="s">
        <v>86</v>
      </c>
      <c r="AL270" s="1" t="s">
        <v>133</v>
      </c>
      <c r="AM270" s="1">
        <v>1</v>
      </c>
      <c r="AN270" s="1">
        <v>0</v>
      </c>
      <c r="AO270" s="1">
        <f t="shared" si="72"/>
        <v>1</v>
      </c>
    </row>
    <row r="271" spans="1:41" x14ac:dyDescent="0.4">
      <c r="A271" s="1">
        <v>1</v>
      </c>
      <c r="B271" s="1">
        <v>2</v>
      </c>
      <c r="C271" s="1" t="s">
        <v>41</v>
      </c>
      <c r="D271" s="2">
        <v>38860</v>
      </c>
      <c r="E271" s="1">
        <v>143</v>
      </c>
      <c r="F271" s="1">
        <v>5</v>
      </c>
      <c r="G271" s="3">
        <v>0.58438657407407402</v>
      </c>
      <c r="H271" s="3">
        <v>0.58791666666666664</v>
      </c>
      <c r="I271" s="3">
        <v>3.5300925925926263E-3</v>
      </c>
      <c r="J271" s="3">
        <v>9.3750000000003553E-4</v>
      </c>
      <c r="K271" s="5">
        <f t="shared" si="71"/>
        <v>81</v>
      </c>
      <c r="L271" s="3">
        <v>4.9189814814815103E-3</v>
      </c>
      <c r="N271" s="1" t="s">
        <v>75</v>
      </c>
      <c r="O271" s="1" t="s">
        <v>286</v>
      </c>
      <c r="P271" s="1" t="s">
        <v>44</v>
      </c>
      <c r="Q271" s="1" t="s">
        <v>76</v>
      </c>
      <c r="R271" s="1" t="s">
        <v>76</v>
      </c>
      <c r="S271" s="1" t="s">
        <v>46</v>
      </c>
      <c r="T271" s="1" t="s">
        <v>45</v>
      </c>
      <c r="U271" s="1" t="s">
        <v>66</v>
      </c>
      <c r="V271" s="1" t="s">
        <v>102</v>
      </c>
      <c r="W271" s="1" t="s">
        <v>184</v>
      </c>
      <c r="X271" s="1" t="s">
        <v>96</v>
      </c>
      <c r="Y271" s="1" t="s">
        <v>415</v>
      </c>
      <c r="Z271" s="1" t="s">
        <v>416</v>
      </c>
      <c r="AA271" s="1">
        <v>44</v>
      </c>
      <c r="AB271" s="1" t="s">
        <v>417</v>
      </c>
      <c r="AC271" s="1">
        <v>0</v>
      </c>
      <c r="AD271" s="1" t="s">
        <v>105</v>
      </c>
      <c r="AE271" s="1" t="s">
        <v>70</v>
      </c>
      <c r="AF271" s="1" t="s">
        <v>113</v>
      </c>
      <c r="AG271" s="1" t="s">
        <v>541</v>
      </c>
      <c r="AH271" s="1" t="s">
        <v>157</v>
      </c>
      <c r="AI271" s="1" t="s">
        <v>75</v>
      </c>
      <c r="AK271" s="1" t="s">
        <v>86</v>
      </c>
      <c r="AL271" s="1" t="s">
        <v>87</v>
      </c>
      <c r="AM271" s="1">
        <v>1</v>
      </c>
      <c r="AN271" s="1">
        <v>0</v>
      </c>
      <c r="AO271" s="1">
        <f t="shared" si="72"/>
        <v>1</v>
      </c>
    </row>
    <row r="272" spans="1:41" x14ac:dyDescent="0.4">
      <c r="A272" s="1">
        <v>1</v>
      </c>
      <c r="B272" s="1">
        <v>2</v>
      </c>
      <c r="C272" s="1" t="s">
        <v>41</v>
      </c>
      <c r="D272" s="2">
        <v>38860</v>
      </c>
      <c r="E272" s="1">
        <v>143</v>
      </c>
      <c r="F272" s="1">
        <v>6</v>
      </c>
      <c r="G272" s="3">
        <v>0.59283564814814815</v>
      </c>
      <c r="H272" s="3">
        <v>0.61362268518518526</v>
      </c>
      <c r="I272" s="3">
        <v>2.0787037037037104E-2</v>
      </c>
      <c r="J272" s="3">
        <v>2.0787037037037104E-2</v>
      </c>
      <c r="K272" s="5">
        <f t="shared" si="71"/>
        <v>1796</v>
      </c>
      <c r="L272" s="3">
        <v>2.1180555555555536E-3</v>
      </c>
      <c r="N272" s="1" t="s">
        <v>75</v>
      </c>
      <c r="O272" s="1" t="s">
        <v>286</v>
      </c>
      <c r="P272" s="1" t="s">
        <v>44</v>
      </c>
      <c r="Q272" s="1" t="s">
        <v>132</v>
      </c>
      <c r="R272" s="1" t="s">
        <v>76</v>
      </c>
      <c r="S272" s="1" t="s">
        <v>46</v>
      </c>
      <c r="T272" s="1" t="s">
        <v>47</v>
      </c>
      <c r="U272" s="1" t="s">
        <v>66</v>
      </c>
      <c r="V272" s="1" t="s">
        <v>49</v>
      </c>
      <c r="W272" s="1" t="s">
        <v>77</v>
      </c>
      <c r="X272" s="1" t="s">
        <v>522</v>
      </c>
      <c r="Y272" s="1" t="s">
        <v>79</v>
      </c>
      <c r="Z272" s="1" t="s">
        <v>523</v>
      </c>
      <c r="AA272" s="1" t="s">
        <v>524</v>
      </c>
      <c r="AB272" s="1" t="s">
        <v>525</v>
      </c>
      <c r="AC272" s="1">
        <v>0</v>
      </c>
      <c r="AD272" s="1" t="s">
        <v>56</v>
      </c>
      <c r="AE272" s="1" t="s">
        <v>57</v>
      </c>
      <c r="AF272" s="1" t="s">
        <v>84</v>
      </c>
      <c r="AG272" s="1" t="s">
        <v>526</v>
      </c>
      <c r="AH272" s="1" t="s">
        <v>115</v>
      </c>
      <c r="AI272" s="1" t="s">
        <v>75</v>
      </c>
      <c r="AK272" s="1" t="s">
        <v>86</v>
      </c>
      <c r="AL272" s="1" t="s">
        <v>86</v>
      </c>
      <c r="AM272" s="1">
        <v>2</v>
      </c>
      <c r="AN272" s="1">
        <v>0</v>
      </c>
      <c r="AO272" s="1">
        <f t="shared" si="72"/>
        <v>2</v>
      </c>
    </row>
    <row r="273" spans="1:41" x14ac:dyDescent="0.4">
      <c r="A273" s="1">
        <v>1</v>
      </c>
      <c r="B273" s="1">
        <v>2</v>
      </c>
      <c r="C273" s="1" t="s">
        <v>41</v>
      </c>
      <c r="D273" s="2">
        <v>38860</v>
      </c>
      <c r="E273" s="1">
        <v>143</v>
      </c>
      <c r="F273" s="1">
        <v>6.5</v>
      </c>
      <c r="G273" s="3">
        <v>0.61574074074074081</v>
      </c>
      <c r="H273" s="3">
        <v>0.61575231481481485</v>
      </c>
      <c r="I273" s="3">
        <v>1.1574074074038876E-5</v>
      </c>
      <c r="J273" s="3">
        <v>1.1574074074038876E-5</v>
      </c>
      <c r="K273" s="5">
        <f t="shared" si="71"/>
        <v>1</v>
      </c>
      <c r="L273" s="3">
        <v>3.1759259259259265E-2</v>
      </c>
      <c r="N273" s="1" t="s">
        <v>75</v>
      </c>
      <c r="O273" s="1" t="s">
        <v>286</v>
      </c>
      <c r="P273" s="1" t="s">
        <v>44</v>
      </c>
      <c r="Q273" s="1" t="s">
        <v>76</v>
      </c>
      <c r="R273" s="1" t="s">
        <v>76</v>
      </c>
      <c r="S273" s="1" t="s">
        <v>46</v>
      </c>
      <c r="AB273" s="1" t="s">
        <v>93</v>
      </c>
      <c r="AC273" s="1">
        <v>1</v>
      </c>
      <c r="AK273" s="1" t="s">
        <v>61</v>
      </c>
      <c r="AL273" s="1" t="s">
        <v>133</v>
      </c>
      <c r="AN273" s="1">
        <v>1</v>
      </c>
      <c r="AO273" s="1">
        <f t="shared" si="72"/>
        <v>1</v>
      </c>
    </row>
    <row r="274" spans="1:41" x14ac:dyDescent="0.4">
      <c r="A274" s="1">
        <v>1</v>
      </c>
      <c r="B274" s="1">
        <v>2</v>
      </c>
      <c r="C274" s="1" t="s">
        <v>41</v>
      </c>
      <c r="D274" s="2">
        <v>38860</v>
      </c>
      <c r="E274" s="1">
        <v>143</v>
      </c>
      <c r="F274" s="1">
        <v>7</v>
      </c>
      <c r="G274" s="3">
        <v>0.64751157407407411</v>
      </c>
      <c r="H274" s="3">
        <v>0.64877314814814813</v>
      </c>
      <c r="I274" s="3">
        <v>1.2615740740740122E-3</v>
      </c>
      <c r="J274" s="3">
        <v>1.2615740740740122E-3</v>
      </c>
      <c r="K274" s="5">
        <f t="shared" si="71"/>
        <v>109</v>
      </c>
      <c r="L274" s="3">
        <v>3.2986111111110716E-3</v>
      </c>
      <c r="N274" s="1" t="s">
        <v>75</v>
      </c>
      <c r="O274" s="1" t="s">
        <v>286</v>
      </c>
      <c r="P274" s="1" t="s">
        <v>44</v>
      </c>
      <c r="Q274" s="1" t="s">
        <v>76</v>
      </c>
      <c r="R274" s="1" t="s">
        <v>76</v>
      </c>
      <c r="S274" s="1" t="s">
        <v>46</v>
      </c>
      <c r="T274" s="1" t="s">
        <v>76</v>
      </c>
      <c r="U274" s="1" t="s">
        <v>66</v>
      </c>
      <c r="V274" s="1" t="s">
        <v>102</v>
      </c>
      <c r="W274" s="1" t="s">
        <v>103</v>
      </c>
      <c r="X274" s="1" t="s">
        <v>96</v>
      </c>
      <c r="AB274" s="1" t="s">
        <v>104</v>
      </c>
      <c r="AC274" s="1">
        <v>0</v>
      </c>
      <c r="AD274" s="1" t="s">
        <v>105</v>
      </c>
      <c r="AE274" s="1" t="s">
        <v>70</v>
      </c>
      <c r="AH274" s="1" t="s">
        <v>157</v>
      </c>
      <c r="AI274" s="1" t="s">
        <v>75</v>
      </c>
      <c r="AK274" s="1" t="s">
        <v>61</v>
      </c>
      <c r="AL274" s="1" t="s">
        <v>61</v>
      </c>
      <c r="AN274" s="1">
        <v>1</v>
      </c>
      <c r="AO274" s="1">
        <f t="shared" si="72"/>
        <v>1</v>
      </c>
    </row>
    <row r="275" spans="1:41" x14ac:dyDescent="0.4">
      <c r="A275" s="1">
        <v>1</v>
      </c>
      <c r="B275" s="1">
        <v>2</v>
      </c>
      <c r="C275" s="1" t="s">
        <v>41</v>
      </c>
      <c r="D275" s="2">
        <v>38860</v>
      </c>
      <c r="E275" s="1">
        <v>143</v>
      </c>
      <c r="F275" s="1">
        <v>8</v>
      </c>
      <c r="G275" s="3">
        <v>0.6520717592592592</v>
      </c>
      <c r="H275" s="3">
        <v>0.6524537037037037</v>
      </c>
      <c r="I275" s="3">
        <v>3.8194444444450415E-4</v>
      </c>
      <c r="J275" s="3">
        <v>3.8194444444450415E-4</v>
      </c>
      <c r="K275" s="5">
        <f t="shared" si="71"/>
        <v>33</v>
      </c>
      <c r="L275" s="3" t="s">
        <v>120</v>
      </c>
      <c r="N275" s="1" t="s">
        <v>75</v>
      </c>
      <c r="O275" s="1" t="s">
        <v>286</v>
      </c>
      <c r="P275" s="1" t="s">
        <v>44</v>
      </c>
      <c r="Q275" s="1" t="s">
        <v>45</v>
      </c>
      <c r="R275" s="1" t="s">
        <v>76</v>
      </c>
      <c r="S275" s="1" t="s">
        <v>46</v>
      </c>
      <c r="T275" s="1" t="s">
        <v>76</v>
      </c>
      <c r="U275" s="1" t="s">
        <v>48</v>
      </c>
      <c r="V275" s="1" t="s">
        <v>102</v>
      </c>
      <c r="W275" s="1" t="s">
        <v>103</v>
      </c>
      <c r="X275" s="1" t="s">
        <v>96</v>
      </c>
      <c r="AB275" s="1" t="s">
        <v>104</v>
      </c>
      <c r="AC275" s="1">
        <v>0</v>
      </c>
      <c r="AD275" s="1" t="s">
        <v>105</v>
      </c>
      <c r="AE275" s="1" t="s">
        <v>70</v>
      </c>
      <c r="AF275" s="1" t="s">
        <v>113</v>
      </c>
      <c r="AH275" s="1" t="s">
        <v>157</v>
      </c>
      <c r="AI275" s="1" t="s">
        <v>75</v>
      </c>
      <c r="AK275" s="1" t="s">
        <v>116</v>
      </c>
      <c r="AL275" s="1" t="s">
        <v>117</v>
      </c>
      <c r="AN275" s="1">
        <v>1</v>
      </c>
      <c r="AO275" s="1">
        <f t="shared" si="72"/>
        <v>1</v>
      </c>
    </row>
    <row r="276" spans="1:41" x14ac:dyDescent="0.4">
      <c r="A276" s="1">
        <v>1</v>
      </c>
      <c r="B276" s="1">
        <v>2</v>
      </c>
      <c r="C276" s="1" t="s">
        <v>41</v>
      </c>
      <c r="D276" s="2">
        <v>38897</v>
      </c>
      <c r="E276" s="1">
        <v>180</v>
      </c>
      <c r="F276" s="1">
        <v>1</v>
      </c>
      <c r="G276" s="3">
        <v>0.4039699074074074</v>
      </c>
      <c r="H276" s="3">
        <v>0.40493055555555557</v>
      </c>
      <c r="I276" s="3">
        <v>9.6064814814816879E-4</v>
      </c>
      <c r="J276" s="3">
        <v>9.6064814814816879E-4</v>
      </c>
      <c r="K276" s="5">
        <f t="shared" si="71"/>
        <v>83</v>
      </c>
      <c r="L276" s="3">
        <v>0</v>
      </c>
      <c r="N276" s="1" t="s">
        <v>75</v>
      </c>
      <c r="O276" s="1" t="s">
        <v>286</v>
      </c>
      <c r="P276" s="1" t="s">
        <v>44</v>
      </c>
      <c r="Q276" s="1" t="s">
        <v>76</v>
      </c>
      <c r="R276" s="1" t="s">
        <v>76</v>
      </c>
      <c r="S276" s="1" t="s">
        <v>46</v>
      </c>
      <c r="T276" s="1" t="s">
        <v>47</v>
      </c>
      <c r="U276" s="1" t="s">
        <v>66</v>
      </c>
      <c r="V276" s="1" t="s">
        <v>49</v>
      </c>
      <c r="W276" s="1" t="s">
        <v>77</v>
      </c>
      <c r="X276" s="1" t="s">
        <v>538</v>
      </c>
      <c r="Y276" s="1" t="s">
        <v>276</v>
      </c>
      <c r="Z276" s="1" t="s">
        <v>277</v>
      </c>
      <c r="AA276" s="1">
        <v>1</v>
      </c>
      <c r="AB276" s="1" t="s">
        <v>539</v>
      </c>
      <c r="AC276" s="1">
        <v>0</v>
      </c>
      <c r="AD276" s="1" t="s">
        <v>56</v>
      </c>
      <c r="AE276" s="1" t="s">
        <v>181</v>
      </c>
      <c r="AG276" s="1" t="s">
        <v>542</v>
      </c>
      <c r="AH276" s="1" t="s">
        <v>115</v>
      </c>
      <c r="AI276" s="1" t="s">
        <v>75</v>
      </c>
      <c r="AK276" s="1" t="s">
        <v>61</v>
      </c>
      <c r="AL276" s="1" t="s">
        <v>72</v>
      </c>
      <c r="AM276" s="1">
        <v>1</v>
      </c>
      <c r="AN276" s="1">
        <v>0</v>
      </c>
      <c r="AO276" s="1">
        <f t="shared" si="72"/>
        <v>1</v>
      </c>
    </row>
    <row r="277" spans="1:41" x14ac:dyDescent="0.4">
      <c r="A277" s="1">
        <v>1</v>
      </c>
      <c r="B277" s="1">
        <v>2</v>
      </c>
      <c r="C277" s="1" t="s">
        <v>41</v>
      </c>
      <c r="D277" s="2">
        <v>38897</v>
      </c>
      <c r="E277" s="1">
        <v>180</v>
      </c>
      <c r="F277" s="1">
        <v>2</v>
      </c>
      <c r="G277" s="3">
        <v>0.40493055555555557</v>
      </c>
      <c r="H277" s="3">
        <v>0.40569444444444441</v>
      </c>
      <c r="I277" s="3">
        <v>7.6388888888884177E-4</v>
      </c>
      <c r="J277" s="3">
        <v>7.6388888888884177E-4</v>
      </c>
      <c r="K277" s="5">
        <f t="shared" si="71"/>
        <v>66</v>
      </c>
      <c r="L277" s="3">
        <v>3.4490740740741321E-3</v>
      </c>
      <c r="N277" s="1" t="s">
        <v>75</v>
      </c>
      <c r="O277" s="1" t="s">
        <v>286</v>
      </c>
      <c r="P277" s="1" t="s">
        <v>44</v>
      </c>
      <c r="Q277" s="1" t="s">
        <v>76</v>
      </c>
      <c r="R277" s="1" t="s">
        <v>76</v>
      </c>
      <c r="S277" s="1" t="s">
        <v>46</v>
      </c>
      <c r="T277" s="1" t="s">
        <v>47</v>
      </c>
      <c r="U277" s="1" t="s">
        <v>66</v>
      </c>
      <c r="V277" s="1" t="s">
        <v>102</v>
      </c>
      <c r="W277" s="1" t="s">
        <v>103</v>
      </c>
      <c r="X277" s="1" t="s">
        <v>96</v>
      </c>
      <c r="Y277" s="1">
        <v>50</v>
      </c>
      <c r="AB277" s="1" t="s">
        <v>543</v>
      </c>
      <c r="AC277" s="1">
        <v>0</v>
      </c>
      <c r="AD277" s="1" t="s">
        <v>105</v>
      </c>
      <c r="AE277" s="1" t="s">
        <v>70</v>
      </c>
      <c r="AG277" s="1" t="s">
        <v>544</v>
      </c>
      <c r="AH277" s="1" t="s">
        <v>157</v>
      </c>
      <c r="AI277" s="1" t="s">
        <v>75</v>
      </c>
      <c r="AK277" s="1" t="s">
        <v>86</v>
      </c>
      <c r="AL277" s="1" t="s">
        <v>133</v>
      </c>
      <c r="AM277" s="1">
        <v>1</v>
      </c>
      <c r="AN277" s="1">
        <v>0</v>
      </c>
      <c r="AO277" s="1">
        <f t="shared" si="72"/>
        <v>1</v>
      </c>
    </row>
    <row r="278" spans="1:41" x14ac:dyDescent="0.4">
      <c r="A278" s="1">
        <v>1</v>
      </c>
      <c r="B278" s="1">
        <v>2</v>
      </c>
      <c r="C278" s="1" t="s">
        <v>41</v>
      </c>
      <c r="D278" s="2">
        <v>38897</v>
      </c>
      <c r="E278" s="1">
        <v>180</v>
      </c>
      <c r="F278" s="1">
        <v>3</v>
      </c>
      <c r="G278" s="3">
        <v>0.40914351851851855</v>
      </c>
      <c r="H278" s="3">
        <v>0.41641203703703705</v>
      </c>
      <c r="I278" s="3">
        <v>7.2685185185185075E-3</v>
      </c>
      <c r="J278" s="3">
        <v>3.9814814814814747E-3</v>
      </c>
      <c r="K278" s="5">
        <f t="shared" si="71"/>
        <v>344</v>
      </c>
      <c r="L278" s="3">
        <v>7.1643518518518245E-3</v>
      </c>
      <c r="N278" s="1" t="s">
        <v>75</v>
      </c>
      <c r="O278" s="1" t="s">
        <v>286</v>
      </c>
      <c r="P278" s="1" t="s">
        <v>44</v>
      </c>
      <c r="Q278" s="1" t="s">
        <v>76</v>
      </c>
      <c r="R278" s="1" t="s">
        <v>76</v>
      </c>
      <c r="S278" s="1" t="s">
        <v>46</v>
      </c>
      <c r="T278" s="1" t="s">
        <v>47</v>
      </c>
      <c r="U278" s="1" t="s">
        <v>66</v>
      </c>
      <c r="V278" s="1" t="s">
        <v>49</v>
      </c>
      <c r="W278" s="1" t="s">
        <v>77</v>
      </c>
      <c r="X278" s="1" t="s">
        <v>538</v>
      </c>
      <c r="Y278" s="1" t="s">
        <v>276</v>
      </c>
      <c r="Z278" s="1" t="s">
        <v>277</v>
      </c>
      <c r="AA278" s="1">
        <v>1</v>
      </c>
      <c r="AB278" s="1" t="s">
        <v>539</v>
      </c>
      <c r="AC278" s="1">
        <v>0</v>
      </c>
      <c r="AD278" s="1" t="s">
        <v>56</v>
      </c>
      <c r="AE278" s="1" t="s">
        <v>181</v>
      </c>
      <c r="AF278" s="1" t="s">
        <v>113</v>
      </c>
      <c r="AG278" s="1" t="s">
        <v>545</v>
      </c>
      <c r="AH278" s="1" t="s">
        <v>115</v>
      </c>
      <c r="AI278" s="1" t="s">
        <v>75</v>
      </c>
      <c r="AK278" s="1" t="s">
        <v>116</v>
      </c>
      <c r="AL278" s="1" t="s">
        <v>117</v>
      </c>
      <c r="AM278" s="1">
        <v>1</v>
      </c>
      <c r="AN278" s="1">
        <v>0</v>
      </c>
      <c r="AO278" s="1">
        <f t="shared" si="72"/>
        <v>1</v>
      </c>
    </row>
    <row r="279" spans="1:41" x14ac:dyDescent="0.4">
      <c r="A279" s="1">
        <v>1</v>
      </c>
      <c r="B279" s="1">
        <v>2</v>
      </c>
      <c r="C279" s="1" t="s">
        <v>41</v>
      </c>
      <c r="D279" s="2">
        <v>38897</v>
      </c>
      <c r="E279" s="1">
        <v>180</v>
      </c>
      <c r="F279" s="1">
        <v>4</v>
      </c>
      <c r="G279" s="3">
        <v>0.42357638888888888</v>
      </c>
      <c r="H279" s="3">
        <v>0.42398148148148151</v>
      </c>
      <c r="I279" s="3">
        <v>4.0509259259263741E-4</v>
      </c>
      <c r="J279" s="3">
        <v>4.0509259259263741E-4</v>
      </c>
      <c r="K279" s="5">
        <f t="shared" si="71"/>
        <v>35</v>
      </c>
      <c r="L279" s="3">
        <v>4.0856481481481022E-3</v>
      </c>
      <c r="N279" s="1" t="s">
        <v>75</v>
      </c>
      <c r="O279" s="1" t="s">
        <v>286</v>
      </c>
      <c r="P279" s="1" t="s">
        <v>44</v>
      </c>
      <c r="Q279" s="1" t="s">
        <v>132</v>
      </c>
      <c r="R279" s="1" t="s">
        <v>76</v>
      </c>
      <c r="S279" s="1" t="s">
        <v>46</v>
      </c>
      <c r="T279" s="1" t="s">
        <v>47</v>
      </c>
      <c r="U279" s="1" t="s">
        <v>66</v>
      </c>
      <c r="V279" s="1" t="s">
        <v>102</v>
      </c>
      <c r="W279" s="1" t="s">
        <v>103</v>
      </c>
      <c r="X279" s="1" t="s">
        <v>96</v>
      </c>
      <c r="AB279" s="1" t="s">
        <v>104</v>
      </c>
      <c r="AC279" s="1">
        <v>0</v>
      </c>
      <c r="AD279" s="1" t="s">
        <v>105</v>
      </c>
      <c r="AE279" s="1" t="s">
        <v>70</v>
      </c>
      <c r="AG279" s="1" t="s">
        <v>546</v>
      </c>
      <c r="AH279" s="1" t="s">
        <v>157</v>
      </c>
      <c r="AI279" s="1" t="s">
        <v>75</v>
      </c>
      <c r="AK279" s="1" t="s">
        <v>61</v>
      </c>
      <c r="AL279" s="1" t="s">
        <v>133</v>
      </c>
      <c r="AM279" s="1">
        <v>1</v>
      </c>
      <c r="AN279" s="1">
        <v>0</v>
      </c>
      <c r="AO279" s="1">
        <f t="shared" si="72"/>
        <v>1</v>
      </c>
    </row>
    <row r="280" spans="1:41" x14ac:dyDescent="0.4">
      <c r="A280" s="1">
        <v>1</v>
      </c>
      <c r="B280" s="1">
        <v>2</v>
      </c>
      <c r="C280" s="1" t="s">
        <v>41</v>
      </c>
      <c r="D280" s="2">
        <v>38897</v>
      </c>
      <c r="E280" s="1">
        <v>180</v>
      </c>
      <c r="F280" s="1">
        <v>5</v>
      </c>
      <c r="G280" s="3">
        <v>0.42806712962962962</v>
      </c>
      <c r="H280" s="3">
        <v>0.42824074074074076</v>
      </c>
      <c r="I280" s="3">
        <v>1.7361111111113825E-4</v>
      </c>
      <c r="J280" s="3">
        <v>1.7361111111113825E-4</v>
      </c>
      <c r="K280" s="5">
        <f t="shared" si="71"/>
        <v>15</v>
      </c>
      <c r="L280" s="3">
        <v>2.1412037037036979E-2</v>
      </c>
      <c r="N280" s="1" t="s">
        <v>75</v>
      </c>
      <c r="O280" s="1" t="s">
        <v>286</v>
      </c>
      <c r="P280" s="1" t="s">
        <v>44</v>
      </c>
      <c r="Q280" s="1" t="s">
        <v>76</v>
      </c>
      <c r="R280" s="1" t="s">
        <v>76</v>
      </c>
      <c r="S280" s="1" t="s">
        <v>46</v>
      </c>
      <c r="T280" s="1" t="s">
        <v>47</v>
      </c>
      <c r="U280" s="1" t="s">
        <v>66</v>
      </c>
      <c r="V280" s="1" t="s">
        <v>49</v>
      </c>
      <c r="W280" s="1" t="s">
        <v>168</v>
      </c>
      <c r="X280" s="1" t="s">
        <v>96</v>
      </c>
      <c r="AB280" s="1" t="s">
        <v>258</v>
      </c>
      <c r="AC280" s="1">
        <v>0</v>
      </c>
      <c r="AD280" s="1" t="s">
        <v>56</v>
      </c>
      <c r="AE280" s="1" t="s">
        <v>70</v>
      </c>
      <c r="AG280" s="1" t="s">
        <v>547</v>
      </c>
      <c r="AH280" s="1" t="s">
        <v>157</v>
      </c>
      <c r="AI280" s="1" t="s">
        <v>75</v>
      </c>
      <c r="AK280" s="1" t="s">
        <v>61</v>
      </c>
      <c r="AL280" s="1" t="s">
        <v>133</v>
      </c>
      <c r="AM280" s="1">
        <v>1</v>
      </c>
      <c r="AN280" s="1">
        <v>0</v>
      </c>
      <c r="AO280" s="1">
        <f t="shared" si="72"/>
        <v>1</v>
      </c>
    </row>
    <row r="281" spans="1:41" x14ac:dyDescent="0.4">
      <c r="A281" s="1">
        <v>1</v>
      </c>
      <c r="B281" s="1">
        <v>2</v>
      </c>
      <c r="C281" s="1" t="s">
        <v>41</v>
      </c>
      <c r="D281" s="2">
        <v>38897</v>
      </c>
      <c r="E281" s="1">
        <v>180</v>
      </c>
      <c r="F281" s="1">
        <v>6</v>
      </c>
      <c r="G281" s="3">
        <v>0.44965277777777773</v>
      </c>
      <c r="H281" s="3">
        <v>0.45288194444444446</v>
      </c>
      <c r="I281" s="3">
        <v>3.2291666666667274E-3</v>
      </c>
      <c r="J281" s="3">
        <v>3.2291666666667274E-3</v>
      </c>
      <c r="K281" s="5">
        <f t="shared" si="71"/>
        <v>279</v>
      </c>
      <c r="L281" s="3">
        <v>1.7986111111111092E-2</v>
      </c>
      <c r="N281" s="1" t="s">
        <v>75</v>
      </c>
      <c r="O281" s="1" t="s">
        <v>286</v>
      </c>
      <c r="P281" s="1" t="s">
        <v>44</v>
      </c>
      <c r="Q281" s="1" t="s">
        <v>76</v>
      </c>
      <c r="R281" s="1" t="s">
        <v>76</v>
      </c>
      <c r="S281" s="1" t="s">
        <v>46</v>
      </c>
      <c r="T281" s="1" t="s">
        <v>45</v>
      </c>
      <c r="U281" s="1" t="s">
        <v>66</v>
      </c>
      <c r="V281" s="1" t="s">
        <v>49</v>
      </c>
      <c r="W281" s="1" t="s">
        <v>168</v>
      </c>
      <c r="X281" s="1" t="s">
        <v>538</v>
      </c>
      <c r="AB281" s="1" t="s">
        <v>258</v>
      </c>
      <c r="AC281" s="1">
        <v>0</v>
      </c>
      <c r="AD281" s="1" t="s">
        <v>56</v>
      </c>
      <c r="AE281" s="1" t="s">
        <v>181</v>
      </c>
      <c r="AG281" s="1" t="s">
        <v>548</v>
      </c>
      <c r="AH281" s="1" t="s">
        <v>157</v>
      </c>
      <c r="AI281" s="1" t="s">
        <v>75</v>
      </c>
      <c r="AK281" s="1" t="s">
        <v>86</v>
      </c>
      <c r="AL281" s="1" t="s">
        <v>87</v>
      </c>
      <c r="AM281" s="1">
        <v>2</v>
      </c>
      <c r="AN281" s="1">
        <v>0</v>
      </c>
      <c r="AO281" s="1">
        <f t="shared" si="72"/>
        <v>2</v>
      </c>
    </row>
    <row r="282" spans="1:41" x14ac:dyDescent="0.4">
      <c r="A282" s="1">
        <v>1</v>
      </c>
      <c r="B282" s="1">
        <v>2</v>
      </c>
      <c r="C282" s="1" t="s">
        <v>41</v>
      </c>
      <c r="D282" s="2">
        <v>38897</v>
      </c>
      <c r="E282" s="1">
        <v>180</v>
      </c>
      <c r="F282" s="1">
        <v>7</v>
      </c>
      <c r="G282" s="3">
        <v>0.47086805555555555</v>
      </c>
      <c r="H282" s="3">
        <v>0.47217592592592594</v>
      </c>
      <c r="I282" s="3">
        <v>1.3078703703703898E-3</v>
      </c>
      <c r="J282" s="3">
        <v>1.3078703703703898E-3</v>
      </c>
      <c r="K282" s="5">
        <f t="shared" si="71"/>
        <v>113</v>
      </c>
      <c r="L282" s="3">
        <v>3.0601851851851825E-2</v>
      </c>
      <c r="N282" s="1" t="s">
        <v>75</v>
      </c>
      <c r="O282" s="1" t="s">
        <v>286</v>
      </c>
      <c r="P282" s="1" t="s">
        <v>44</v>
      </c>
      <c r="Q282" s="1" t="s">
        <v>45</v>
      </c>
      <c r="R282" s="1" t="s">
        <v>45</v>
      </c>
      <c r="S282" s="1" t="s">
        <v>46</v>
      </c>
      <c r="T282" s="1" t="s">
        <v>47</v>
      </c>
      <c r="U282" s="1" t="s">
        <v>66</v>
      </c>
      <c r="V282" s="1" t="s">
        <v>102</v>
      </c>
      <c r="W282" s="1" t="s">
        <v>103</v>
      </c>
      <c r="X282" s="1" t="s">
        <v>96</v>
      </c>
      <c r="AB282" s="1" t="s">
        <v>104</v>
      </c>
      <c r="AC282" s="1">
        <v>0</v>
      </c>
      <c r="AD282" s="1" t="s">
        <v>105</v>
      </c>
      <c r="AE282" s="1" t="s">
        <v>70</v>
      </c>
      <c r="AF282" s="1" t="s">
        <v>113</v>
      </c>
      <c r="AG282" s="1" t="s">
        <v>548</v>
      </c>
      <c r="AH282" s="1" t="s">
        <v>157</v>
      </c>
      <c r="AI282" s="1" t="s">
        <v>75</v>
      </c>
      <c r="AK282" s="1" t="s">
        <v>86</v>
      </c>
      <c r="AL282" s="1" t="s">
        <v>87</v>
      </c>
      <c r="AM282" s="1">
        <v>2</v>
      </c>
      <c r="AN282" s="1">
        <v>0</v>
      </c>
      <c r="AO282" s="1">
        <f t="shared" si="72"/>
        <v>2</v>
      </c>
    </row>
    <row r="283" spans="1:41" x14ac:dyDescent="0.4">
      <c r="A283" s="1">
        <v>1</v>
      </c>
      <c r="B283" s="1">
        <v>2</v>
      </c>
      <c r="C283" s="1" t="s">
        <v>41</v>
      </c>
      <c r="D283" s="2">
        <v>38897</v>
      </c>
      <c r="E283" s="1">
        <v>180</v>
      </c>
      <c r="F283" s="1">
        <v>8</v>
      </c>
      <c r="G283" s="3">
        <v>0.50277777777777777</v>
      </c>
      <c r="H283" s="3">
        <v>0.50515046296296295</v>
      </c>
      <c r="I283" s="3">
        <v>2.372685185185186E-3</v>
      </c>
      <c r="J283" s="3">
        <v>2.372685185185186E-3</v>
      </c>
      <c r="K283" s="5">
        <f t="shared" si="71"/>
        <v>205</v>
      </c>
      <c r="L283" s="3">
        <v>1.2997685185185182E-2</v>
      </c>
      <c r="N283" s="1" t="s">
        <v>75</v>
      </c>
      <c r="O283" s="1" t="s">
        <v>286</v>
      </c>
      <c r="P283" s="1" t="s">
        <v>44</v>
      </c>
      <c r="Q283" s="1" t="s">
        <v>76</v>
      </c>
      <c r="R283" s="1" t="s">
        <v>76</v>
      </c>
      <c r="S283" s="1" t="s">
        <v>46</v>
      </c>
      <c r="T283" s="1" t="s">
        <v>47</v>
      </c>
      <c r="U283" s="1" t="s">
        <v>66</v>
      </c>
      <c r="V283" s="1" t="s">
        <v>49</v>
      </c>
      <c r="W283" s="1" t="s">
        <v>77</v>
      </c>
      <c r="X283" s="1" t="s">
        <v>527</v>
      </c>
      <c r="Y283" s="1" t="s">
        <v>528</v>
      </c>
      <c r="Z283" s="1" t="s">
        <v>529</v>
      </c>
      <c r="AA283" s="1" t="s">
        <v>530</v>
      </c>
      <c r="AB283" s="1" t="s">
        <v>531</v>
      </c>
      <c r="AC283" s="1">
        <v>0</v>
      </c>
      <c r="AD283" s="1" t="s">
        <v>56</v>
      </c>
      <c r="AE283" s="1" t="s">
        <v>83</v>
      </c>
      <c r="AF283" s="1" t="s">
        <v>113</v>
      </c>
      <c r="AG283" s="1" t="s">
        <v>549</v>
      </c>
      <c r="AH283" s="1" t="s">
        <v>115</v>
      </c>
      <c r="AI283" s="1" t="s">
        <v>75</v>
      </c>
      <c r="AK283" s="1" t="s">
        <v>116</v>
      </c>
      <c r="AL283" s="1" t="s">
        <v>155</v>
      </c>
      <c r="AM283" s="1">
        <v>1</v>
      </c>
      <c r="AN283" s="1">
        <v>0</v>
      </c>
      <c r="AO283" s="1">
        <f t="shared" si="72"/>
        <v>1</v>
      </c>
    </row>
    <row r="284" spans="1:41" x14ac:dyDescent="0.4">
      <c r="A284" s="1">
        <v>1</v>
      </c>
      <c r="B284" s="1">
        <v>2</v>
      </c>
      <c r="C284" s="1" t="s">
        <v>41</v>
      </c>
      <c r="D284" s="2">
        <v>38897</v>
      </c>
      <c r="E284" s="1">
        <v>180</v>
      </c>
      <c r="F284" s="1">
        <v>8.5</v>
      </c>
      <c r="G284" s="3">
        <v>0.51814814814814814</v>
      </c>
      <c r="H284" s="3">
        <v>0.51817129629629632</v>
      </c>
      <c r="I284" s="3">
        <v>2.3148148148188774E-5</v>
      </c>
      <c r="J284" s="3">
        <v>2.3148148148188774E-5</v>
      </c>
      <c r="K284" s="5">
        <f t="shared" si="71"/>
        <v>2</v>
      </c>
      <c r="L284" s="3">
        <v>2.2673611111111103E-2</v>
      </c>
      <c r="N284" s="1" t="s">
        <v>75</v>
      </c>
      <c r="O284" s="1" t="s">
        <v>286</v>
      </c>
      <c r="P284" s="1" t="s">
        <v>44</v>
      </c>
      <c r="Q284" s="1" t="s">
        <v>45</v>
      </c>
      <c r="R284" s="1" t="s">
        <v>76</v>
      </c>
      <c r="S284" s="1" t="s">
        <v>46</v>
      </c>
      <c r="T284" s="1" t="s">
        <v>47</v>
      </c>
      <c r="U284" s="1" t="s">
        <v>66</v>
      </c>
      <c r="V284" s="1" t="s">
        <v>67</v>
      </c>
      <c r="W284" s="1" t="s">
        <v>68</v>
      </c>
      <c r="X284" s="1" t="s">
        <v>313</v>
      </c>
      <c r="Y284" s="1" t="s">
        <v>68</v>
      </c>
      <c r="AB284" s="1" t="s">
        <v>69</v>
      </c>
      <c r="AC284" s="1">
        <v>0</v>
      </c>
      <c r="AD284" s="1" t="s">
        <v>68</v>
      </c>
      <c r="AE284" s="1" t="s">
        <v>70</v>
      </c>
      <c r="AG284" s="1" t="s">
        <v>550</v>
      </c>
      <c r="AH284" s="1" t="s">
        <v>157</v>
      </c>
      <c r="AI284" s="1" t="s">
        <v>75</v>
      </c>
      <c r="AK284" s="1" t="s">
        <v>86</v>
      </c>
      <c r="AL284" s="1" t="s">
        <v>133</v>
      </c>
      <c r="AM284" s="1">
        <v>1</v>
      </c>
      <c r="AN284" s="1">
        <v>0</v>
      </c>
      <c r="AO284" s="1">
        <f t="shared" si="72"/>
        <v>1</v>
      </c>
    </row>
    <row r="285" spans="1:41" x14ac:dyDescent="0.4">
      <c r="A285" s="1">
        <v>1</v>
      </c>
      <c r="B285" s="1">
        <v>2</v>
      </c>
      <c r="C285" s="1" t="s">
        <v>41</v>
      </c>
      <c r="D285" s="2">
        <v>38897</v>
      </c>
      <c r="E285" s="1">
        <v>180</v>
      </c>
      <c r="F285" s="1">
        <v>9.5</v>
      </c>
      <c r="G285" s="3">
        <v>0.54084490740740743</v>
      </c>
      <c r="H285" s="3">
        <v>0.5411111111111111</v>
      </c>
      <c r="I285" s="3">
        <v>2.662037037036713E-4</v>
      </c>
      <c r="J285" s="3">
        <v>2.662037037036713E-4</v>
      </c>
      <c r="K285" s="5">
        <f t="shared" si="71"/>
        <v>23</v>
      </c>
      <c r="L285" s="3">
        <v>6.9629629629629597E-2</v>
      </c>
      <c r="N285" s="1" t="s">
        <v>42</v>
      </c>
      <c r="O285" s="1" t="s">
        <v>286</v>
      </c>
      <c r="P285" s="1" t="s">
        <v>44</v>
      </c>
      <c r="Q285" s="1" t="s">
        <v>76</v>
      </c>
      <c r="R285" s="1" t="s">
        <v>76</v>
      </c>
      <c r="S285" s="1" t="s">
        <v>46</v>
      </c>
      <c r="T285" s="1" t="s">
        <v>45</v>
      </c>
      <c r="U285" s="1" t="s">
        <v>66</v>
      </c>
      <c r="V285" s="1" t="s">
        <v>102</v>
      </c>
      <c r="W285" s="1" t="s">
        <v>103</v>
      </c>
      <c r="X285" s="1" t="s">
        <v>121</v>
      </c>
      <c r="AB285" s="1" t="s">
        <v>104</v>
      </c>
      <c r="AC285" s="1">
        <v>0</v>
      </c>
      <c r="AE285" s="1" t="s">
        <v>70</v>
      </c>
      <c r="AI285" s="1" t="s">
        <v>71</v>
      </c>
      <c r="AK285" s="1" t="s">
        <v>86</v>
      </c>
      <c r="AL285" s="1" t="s">
        <v>87</v>
      </c>
      <c r="AN285" s="1">
        <v>1</v>
      </c>
      <c r="AO285" s="1">
        <f t="shared" si="72"/>
        <v>1</v>
      </c>
    </row>
    <row r="286" spans="1:41" x14ac:dyDescent="0.4">
      <c r="A286" s="1">
        <v>1</v>
      </c>
      <c r="B286" s="1">
        <v>2</v>
      </c>
      <c r="C286" s="1" t="s">
        <v>41</v>
      </c>
      <c r="D286" s="2">
        <v>38897</v>
      </c>
      <c r="E286" s="1">
        <v>180</v>
      </c>
      <c r="F286" s="1">
        <v>10</v>
      </c>
      <c r="G286" s="3">
        <v>0.6107407407407407</v>
      </c>
      <c r="H286" s="3">
        <v>0.61195601851851855</v>
      </c>
      <c r="I286" s="3">
        <v>1.2152777777778567E-3</v>
      </c>
      <c r="J286" s="3">
        <v>1.2152777777778567E-3</v>
      </c>
      <c r="K286" s="5">
        <f t="shared" si="71"/>
        <v>105</v>
      </c>
      <c r="L286" s="3">
        <v>7.407407407407085E-4</v>
      </c>
      <c r="N286" s="1" t="s">
        <v>42</v>
      </c>
      <c r="O286" s="1" t="s">
        <v>286</v>
      </c>
      <c r="P286" s="1" t="s">
        <v>44</v>
      </c>
      <c r="Q286" s="1" t="s">
        <v>76</v>
      </c>
      <c r="R286" s="1" t="s">
        <v>76</v>
      </c>
      <c r="S286" s="1" t="s">
        <v>46</v>
      </c>
      <c r="T286" s="1" t="s">
        <v>45</v>
      </c>
      <c r="U286" s="1" t="s">
        <v>156</v>
      </c>
      <c r="V286" s="1" t="s">
        <v>49</v>
      </c>
      <c r="W286" s="1" t="s">
        <v>268</v>
      </c>
      <c r="X286" s="1" t="s">
        <v>269</v>
      </c>
      <c r="Y286" s="1" t="s">
        <v>270</v>
      </c>
      <c r="Z286" s="1" t="s">
        <v>271</v>
      </c>
      <c r="AA286" s="1" t="s">
        <v>272</v>
      </c>
      <c r="AB286" s="1" t="s">
        <v>273</v>
      </c>
      <c r="AC286" s="1">
        <v>0</v>
      </c>
      <c r="AD286" s="1" t="s">
        <v>56</v>
      </c>
      <c r="AE286" s="1" t="s">
        <v>57</v>
      </c>
      <c r="AF286" s="1" t="s">
        <v>213</v>
      </c>
      <c r="AG286" s="1" t="s">
        <v>551</v>
      </c>
      <c r="AH286" s="1" t="s">
        <v>59</v>
      </c>
      <c r="AI286" s="1" t="s">
        <v>75</v>
      </c>
      <c r="AK286" s="1" t="s">
        <v>116</v>
      </c>
      <c r="AL286" s="1" t="s">
        <v>116</v>
      </c>
      <c r="AM286" s="1">
        <v>1</v>
      </c>
      <c r="AN286" s="1">
        <v>0</v>
      </c>
      <c r="AO286" s="1">
        <f t="shared" si="72"/>
        <v>1</v>
      </c>
    </row>
    <row r="287" spans="1:41" x14ac:dyDescent="0.4">
      <c r="A287" s="1">
        <v>1</v>
      </c>
      <c r="B287" s="1">
        <v>2</v>
      </c>
      <c r="C287" s="1" t="s">
        <v>41</v>
      </c>
      <c r="D287" s="2">
        <v>38897</v>
      </c>
      <c r="E287" s="1">
        <v>180</v>
      </c>
      <c r="F287" s="1">
        <v>11</v>
      </c>
      <c r="G287" s="3">
        <v>0.61269675925925926</v>
      </c>
      <c r="H287" s="3">
        <v>0.61428240740740747</v>
      </c>
      <c r="I287" s="3">
        <v>1.585648148148211E-3</v>
      </c>
      <c r="J287" s="3">
        <v>1.585648148148211E-3</v>
      </c>
      <c r="K287" s="5">
        <f t="shared" si="71"/>
        <v>137</v>
      </c>
      <c r="L287" s="3" t="s">
        <v>120</v>
      </c>
      <c r="N287" s="1" t="s">
        <v>42</v>
      </c>
      <c r="O287" s="1" t="s">
        <v>286</v>
      </c>
      <c r="P287" s="1" t="s">
        <v>44</v>
      </c>
      <c r="Q287" s="1" t="s">
        <v>76</v>
      </c>
      <c r="R287" s="1" t="s">
        <v>76</v>
      </c>
      <c r="S287" s="1" t="s">
        <v>46</v>
      </c>
      <c r="T287" s="1" t="s">
        <v>45</v>
      </c>
      <c r="V287" s="1" t="s">
        <v>49</v>
      </c>
      <c r="W287" s="1" t="s">
        <v>140</v>
      </c>
      <c r="X287" s="1" t="s">
        <v>552</v>
      </c>
      <c r="Y287" s="1" t="s">
        <v>553</v>
      </c>
      <c r="Z287" s="1" t="s">
        <v>554</v>
      </c>
      <c r="AA287" s="1" t="s">
        <v>555</v>
      </c>
      <c r="AB287" s="1" t="s">
        <v>556</v>
      </c>
      <c r="AC287" s="1">
        <v>0</v>
      </c>
      <c r="AD287" s="1" t="s">
        <v>56</v>
      </c>
      <c r="AE287" s="1" t="s">
        <v>83</v>
      </c>
      <c r="AF287" s="1" t="s">
        <v>113</v>
      </c>
      <c r="AG287" s="1" t="s">
        <v>557</v>
      </c>
      <c r="AH287" s="1" t="s">
        <v>59</v>
      </c>
      <c r="AK287" s="1" t="s">
        <v>61</v>
      </c>
      <c r="AL287" s="1" t="s">
        <v>133</v>
      </c>
      <c r="AM287" s="1">
        <v>1</v>
      </c>
      <c r="AN287" s="1">
        <v>0</v>
      </c>
      <c r="AO287" s="1">
        <f t="shared" si="72"/>
        <v>1</v>
      </c>
    </row>
    <row r="288" spans="1:41" x14ac:dyDescent="0.4">
      <c r="A288" s="1">
        <v>1</v>
      </c>
      <c r="B288" s="1">
        <v>2</v>
      </c>
      <c r="C288" s="1" t="s">
        <v>41</v>
      </c>
      <c r="D288" s="2">
        <v>38915</v>
      </c>
      <c r="E288" s="1">
        <v>198</v>
      </c>
      <c r="F288" s="1">
        <v>1</v>
      </c>
      <c r="G288" s="3">
        <v>0.55991898148148145</v>
      </c>
      <c r="H288" s="3">
        <v>0.56706018518518519</v>
      </c>
      <c r="I288" s="3">
        <v>7.1412037037037468E-3</v>
      </c>
      <c r="J288" s="3">
        <v>3.8773148148147918E-3</v>
      </c>
      <c r="K288" s="5">
        <f t="shared" si="71"/>
        <v>335</v>
      </c>
      <c r="L288" s="3">
        <v>8.3877314814814752E-2</v>
      </c>
      <c r="N288" s="1" t="s">
        <v>42</v>
      </c>
      <c r="O288" s="1" t="s">
        <v>286</v>
      </c>
      <c r="P288" s="1" t="s">
        <v>44</v>
      </c>
      <c r="Q288" s="1" t="s">
        <v>76</v>
      </c>
      <c r="R288" s="1" t="s">
        <v>76</v>
      </c>
      <c r="S288" s="1" t="s">
        <v>46</v>
      </c>
      <c r="T288" s="1" t="s">
        <v>45</v>
      </c>
      <c r="U288" s="1" t="s">
        <v>66</v>
      </c>
      <c r="V288" s="1" t="s">
        <v>297</v>
      </c>
      <c r="W288" s="1" t="s">
        <v>558</v>
      </c>
      <c r="X288" s="1" t="s">
        <v>559</v>
      </c>
      <c r="Y288" s="1" t="s">
        <v>560</v>
      </c>
      <c r="Z288" s="1" t="s">
        <v>561</v>
      </c>
      <c r="AA288" s="1" t="s">
        <v>562</v>
      </c>
      <c r="AB288" s="1" t="s">
        <v>563</v>
      </c>
      <c r="AC288" s="1">
        <v>0</v>
      </c>
      <c r="AD288" s="1" t="s">
        <v>105</v>
      </c>
      <c r="AE288" s="1" t="s">
        <v>181</v>
      </c>
      <c r="AG288" s="1" t="s">
        <v>564</v>
      </c>
      <c r="AI288" s="1" t="s">
        <v>71</v>
      </c>
      <c r="AK288" s="1" t="s">
        <v>116</v>
      </c>
      <c r="AL288" s="1" t="s">
        <v>117</v>
      </c>
      <c r="AM288" s="1">
        <v>3</v>
      </c>
      <c r="AN288" s="1">
        <v>0</v>
      </c>
      <c r="AO288" s="1">
        <f t="shared" si="72"/>
        <v>3</v>
      </c>
    </row>
    <row r="289" spans="1:41" x14ac:dyDescent="0.4">
      <c r="A289" s="1">
        <v>1</v>
      </c>
      <c r="B289" s="1">
        <v>2</v>
      </c>
      <c r="C289" s="1" t="s">
        <v>41</v>
      </c>
      <c r="D289" s="2">
        <v>38915</v>
      </c>
      <c r="E289" s="1">
        <v>198</v>
      </c>
      <c r="F289" s="1">
        <v>2</v>
      </c>
      <c r="G289" s="3">
        <v>0.65093749999999995</v>
      </c>
      <c r="H289" s="3">
        <v>0.6514699074074074</v>
      </c>
      <c r="I289" s="3">
        <v>5.3240740740745363E-4</v>
      </c>
      <c r="J289" s="3">
        <v>5.3240740740745363E-4</v>
      </c>
      <c r="K289" s="5">
        <f t="shared" si="71"/>
        <v>46</v>
      </c>
      <c r="L289" s="3">
        <v>1.4490740740740748E-2</v>
      </c>
      <c r="N289" s="1" t="s">
        <v>75</v>
      </c>
      <c r="O289" s="1" t="s">
        <v>286</v>
      </c>
      <c r="P289" s="1" t="s">
        <v>44</v>
      </c>
      <c r="Q289" s="1" t="s">
        <v>76</v>
      </c>
      <c r="R289" s="1" t="s">
        <v>91</v>
      </c>
      <c r="S289" s="1" t="s">
        <v>46</v>
      </c>
      <c r="T289" s="1" t="s">
        <v>45</v>
      </c>
      <c r="U289" s="1" t="s">
        <v>92</v>
      </c>
      <c r="V289" s="1" t="s">
        <v>102</v>
      </c>
      <c r="W289" s="1" t="s">
        <v>103</v>
      </c>
      <c r="X289" s="1" t="s">
        <v>96</v>
      </c>
      <c r="AB289" s="1" t="s">
        <v>104</v>
      </c>
      <c r="AC289" s="1">
        <v>0</v>
      </c>
      <c r="AD289" s="1" t="s">
        <v>105</v>
      </c>
      <c r="AE289" s="1" t="s">
        <v>70</v>
      </c>
      <c r="AG289" s="1" t="s">
        <v>565</v>
      </c>
      <c r="AH289" s="1" t="s">
        <v>157</v>
      </c>
      <c r="AI289" s="1" t="s">
        <v>75</v>
      </c>
      <c r="AK289" s="1" t="s">
        <v>86</v>
      </c>
      <c r="AL289" s="1" t="s">
        <v>133</v>
      </c>
      <c r="AM289" s="1">
        <v>1</v>
      </c>
      <c r="AN289" s="1">
        <v>0</v>
      </c>
      <c r="AO289" s="1">
        <f t="shared" si="72"/>
        <v>1</v>
      </c>
    </row>
    <row r="290" spans="1:41" x14ac:dyDescent="0.4">
      <c r="A290" s="1">
        <v>1</v>
      </c>
      <c r="B290" s="1">
        <v>2</v>
      </c>
      <c r="C290" s="1" t="s">
        <v>41</v>
      </c>
      <c r="D290" s="2">
        <v>38915</v>
      </c>
      <c r="E290" s="1">
        <v>198</v>
      </c>
      <c r="F290" s="1">
        <v>3</v>
      </c>
      <c r="G290" s="3">
        <v>0.66596064814814815</v>
      </c>
      <c r="H290" s="3">
        <v>0.66714120370370367</v>
      </c>
      <c r="I290" s="3">
        <v>1.1805555555555181E-3</v>
      </c>
      <c r="J290" s="3">
        <v>1.1805555555555181E-3</v>
      </c>
      <c r="K290" s="5">
        <f t="shared" si="71"/>
        <v>102</v>
      </c>
      <c r="L290" s="3">
        <v>1.8726851851851856E-2</v>
      </c>
      <c r="N290" s="1" t="s">
        <v>75</v>
      </c>
      <c r="O290" s="1" t="s">
        <v>286</v>
      </c>
      <c r="P290" s="1" t="s">
        <v>44</v>
      </c>
      <c r="Q290" s="1" t="s">
        <v>45</v>
      </c>
      <c r="R290" s="1" t="s">
        <v>76</v>
      </c>
      <c r="S290" s="1" t="s">
        <v>46</v>
      </c>
      <c r="T290" s="1" t="s">
        <v>45</v>
      </c>
      <c r="U290" s="1" t="s">
        <v>66</v>
      </c>
      <c r="V290" s="1" t="s">
        <v>102</v>
      </c>
      <c r="W290" s="1" t="s">
        <v>103</v>
      </c>
      <c r="X290" s="1" t="s">
        <v>96</v>
      </c>
      <c r="AB290" s="1" t="s">
        <v>104</v>
      </c>
      <c r="AC290" s="1">
        <v>0</v>
      </c>
      <c r="AD290" s="1" t="s">
        <v>105</v>
      </c>
      <c r="AE290" s="1" t="s">
        <v>70</v>
      </c>
      <c r="AH290" s="1" t="s">
        <v>157</v>
      </c>
      <c r="AI290" s="1" t="s">
        <v>75</v>
      </c>
      <c r="AK290" s="1" t="s">
        <v>61</v>
      </c>
      <c r="AL290" s="1" t="s">
        <v>133</v>
      </c>
      <c r="AN290" s="1">
        <v>1</v>
      </c>
      <c r="AO290" s="1">
        <f t="shared" si="72"/>
        <v>1</v>
      </c>
    </row>
    <row r="291" spans="1:41" x14ac:dyDescent="0.4">
      <c r="A291" s="1">
        <v>1</v>
      </c>
      <c r="B291" s="1">
        <v>2</v>
      </c>
      <c r="C291" s="1" t="s">
        <v>41</v>
      </c>
      <c r="D291" s="2">
        <v>38915</v>
      </c>
      <c r="E291" s="1">
        <v>198</v>
      </c>
      <c r="F291" s="1">
        <v>5</v>
      </c>
      <c r="G291" s="3">
        <v>0.68586805555555552</v>
      </c>
      <c r="H291" s="3">
        <v>0.68608796296296293</v>
      </c>
      <c r="I291" s="3">
        <v>2.1990740740740478E-4</v>
      </c>
      <c r="J291" s="3">
        <v>2.1990740740740478E-4</v>
      </c>
      <c r="K291" s="5">
        <f t="shared" si="71"/>
        <v>19</v>
      </c>
      <c r="L291" s="3">
        <v>3.1828703703704608E-3</v>
      </c>
      <c r="N291" s="1" t="s">
        <v>75</v>
      </c>
      <c r="O291" s="1" t="s">
        <v>286</v>
      </c>
      <c r="P291" s="1" t="s">
        <v>44</v>
      </c>
      <c r="Q291" s="1" t="s">
        <v>76</v>
      </c>
      <c r="R291" s="1" t="s">
        <v>76</v>
      </c>
      <c r="S291" s="1" t="s">
        <v>46</v>
      </c>
      <c r="T291" s="1" t="s">
        <v>47</v>
      </c>
      <c r="U291" s="1" t="s">
        <v>66</v>
      </c>
      <c r="V291" s="1" t="s">
        <v>102</v>
      </c>
      <c r="W291" s="1" t="s">
        <v>103</v>
      </c>
      <c r="X291" s="1" t="s">
        <v>96</v>
      </c>
      <c r="AB291" s="1" t="s">
        <v>104</v>
      </c>
      <c r="AC291" s="1">
        <v>0</v>
      </c>
      <c r="AD291" s="1" t="s">
        <v>105</v>
      </c>
      <c r="AE291" s="1" t="s">
        <v>70</v>
      </c>
      <c r="AG291" s="1" t="s">
        <v>461</v>
      </c>
      <c r="AH291" s="1" t="s">
        <v>157</v>
      </c>
      <c r="AI291" s="1" t="s">
        <v>75</v>
      </c>
      <c r="AK291" s="1" t="s">
        <v>86</v>
      </c>
      <c r="AL291" s="1" t="s">
        <v>133</v>
      </c>
      <c r="AM291" s="1">
        <v>3</v>
      </c>
      <c r="AN291" s="1">
        <v>0</v>
      </c>
      <c r="AO291" s="1">
        <f t="shared" si="72"/>
        <v>3</v>
      </c>
    </row>
    <row r="292" spans="1:41" x14ac:dyDescent="0.4">
      <c r="A292" s="1">
        <v>1</v>
      </c>
      <c r="B292" s="1">
        <v>2</v>
      </c>
      <c r="C292" s="1" t="s">
        <v>41</v>
      </c>
      <c r="D292" s="2">
        <v>38915</v>
      </c>
      <c r="E292" s="1">
        <v>198</v>
      </c>
      <c r="F292" s="1">
        <v>7</v>
      </c>
      <c r="G292" s="3">
        <v>0.68927083333333339</v>
      </c>
      <c r="H292" s="3">
        <v>0.69008101851851855</v>
      </c>
      <c r="I292" s="3">
        <v>8.101851851851638E-4</v>
      </c>
      <c r="J292" s="3">
        <v>8.101851851851638E-4</v>
      </c>
      <c r="K292" s="5">
        <f t="shared" si="71"/>
        <v>70</v>
      </c>
      <c r="L292" s="3">
        <v>4.641203703703578E-3</v>
      </c>
      <c r="N292" s="1" t="s">
        <v>75</v>
      </c>
      <c r="O292" s="1" t="s">
        <v>286</v>
      </c>
      <c r="P292" s="1" t="s">
        <v>44</v>
      </c>
      <c r="Q292" s="1" t="s">
        <v>45</v>
      </c>
      <c r="R292" s="1" t="s">
        <v>76</v>
      </c>
      <c r="S292" s="1" t="s">
        <v>46</v>
      </c>
      <c r="T292" s="1" t="s">
        <v>47</v>
      </c>
      <c r="U292" s="1" t="s">
        <v>66</v>
      </c>
      <c r="V292" s="1" t="s">
        <v>297</v>
      </c>
      <c r="W292" s="1" t="s">
        <v>558</v>
      </c>
      <c r="X292" s="1" t="s">
        <v>559</v>
      </c>
      <c r="Y292" s="1" t="s">
        <v>560</v>
      </c>
      <c r="Z292" s="1" t="s">
        <v>561</v>
      </c>
      <c r="AA292" s="1" t="s">
        <v>562</v>
      </c>
      <c r="AB292" s="1" t="s">
        <v>563</v>
      </c>
      <c r="AC292" s="1">
        <v>0</v>
      </c>
      <c r="AD292" s="1" t="s">
        <v>105</v>
      </c>
      <c r="AE292" s="1" t="s">
        <v>181</v>
      </c>
      <c r="AG292" s="1" t="s">
        <v>463</v>
      </c>
      <c r="AI292" s="1" t="s">
        <v>75</v>
      </c>
      <c r="AK292" s="1" t="s">
        <v>86</v>
      </c>
      <c r="AL292" s="1" t="s">
        <v>133</v>
      </c>
      <c r="AM292" s="1">
        <v>2</v>
      </c>
      <c r="AN292" s="1">
        <v>0</v>
      </c>
      <c r="AO292" s="1">
        <f t="shared" si="72"/>
        <v>2</v>
      </c>
    </row>
    <row r="293" spans="1:41" x14ac:dyDescent="0.4">
      <c r="A293" s="1">
        <v>1</v>
      </c>
      <c r="B293" s="1">
        <v>2</v>
      </c>
      <c r="C293" s="1" t="s">
        <v>41</v>
      </c>
      <c r="D293" s="2">
        <v>38915</v>
      </c>
      <c r="E293" s="1">
        <v>198</v>
      </c>
      <c r="F293" s="1">
        <v>8</v>
      </c>
      <c r="G293" s="3">
        <v>0.69472222222222213</v>
      </c>
      <c r="H293" s="3">
        <v>0.69478009259259255</v>
      </c>
      <c r="I293" s="3">
        <v>5.7870370370416424E-5</v>
      </c>
      <c r="J293" s="3">
        <v>5.7870370370416424E-5</v>
      </c>
      <c r="K293" s="5">
        <f t="shared" si="71"/>
        <v>5</v>
      </c>
      <c r="L293" s="3" t="s">
        <v>120</v>
      </c>
      <c r="N293" s="1" t="s">
        <v>75</v>
      </c>
      <c r="O293" s="1" t="s">
        <v>286</v>
      </c>
      <c r="P293" s="1" t="s">
        <v>44</v>
      </c>
      <c r="Q293" s="1" t="s">
        <v>76</v>
      </c>
      <c r="R293" s="1" t="s">
        <v>76</v>
      </c>
      <c r="S293" s="1" t="s">
        <v>46</v>
      </c>
      <c r="T293" s="1" t="s">
        <v>47</v>
      </c>
      <c r="U293" s="1" t="s">
        <v>92</v>
      </c>
      <c r="AB293" s="1" t="s">
        <v>93</v>
      </c>
      <c r="AC293" s="1">
        <v>1</v>
      </c>
      <c r="AG293" s="1" t="s">
        <v>566</v>
      </c>
      <c r="AI293" s="1" t="s">
        <v>75</v>
      </c>
      <c r="AK293" s="1" t="s">
        <v>86</v>
      </c>
      <c r="AL293" s="1" t="s">
        <v>133</v>
      </c>
      <c r="AM293" s="1">
        <v>1</v>
      </c>
      <c r="AN293" s="1">
        <v>0</v>
      </c>
      <c r="AO293" s="1">
        <f t="shared" si="72"/>
        <v>1</v>
      </c>
    </row>
    <row r="294" spans="1:41" x14ac:dyDescent="0.4">
      <c r="A294" s="1">
        <v>1</v>
      </c>
      <c r="B294" s="1">
        <v>2</v>
      </c>
      <c r="C294" s="1" t="s">
        <v>41</v>
      </c>
      <c r="D294" s="2">
        <v>38923</v>
      </c>
      <c r="E294" s="1">
        <v>206</v>
      </c>
      <c r="F294" s="1">
        <v>1</v>
      </c>
      <c r="G294" s="3">
        <v>0.33368055555555554</v>
      </c>
      <c r="H294" s="3">
        <v>0.33445601851851853</v>
      </c>
      <c r="I294" s="3">
        <v>7.7546296296299166E-4</v>
      </c>
      <c r="J294" s="3">
        <v>7.7546296296299166E-4</v>
      </c>
      <c r="K294" s="5">
        <f t="shared" si="71"/>
        <v>67</v>
      </c>
      <c r="L294" s="3">
        <v>9.8495370370370594E-3</v>
      </c>
      <c r="N294" s="1" t="s">
        <v>251</v>
      </c>
      <c r="O294" s="1" t="s">
        <v>286</v>
      </c>
      <c r="P294" s="1" t="s">
        <v>44</v>
      </c>
      <c r="Q294" s="1" t="s">
        <v>191</v>
      </c>
      <c r="R294" s="1" t="s">
        <v>191</v>
      </c>
      <c r="S294" s="1" t="s">
        <v>46</v>
      </c>
      <c r="T294" s="1" t="s">
        <v>47</v>
      </c>
      <c r="U294" s="1" t="s">
        <v>156</v>
      </c>
      <c r="V294" s="1" t="s">
        <v>49</v>
      </c>
      <c r="W294" s="1" t="s">
        <v>200</v>
      </c>
      <c r="X294" s="1" t="s">
        <v>567</v>
      </c>
      <c r="Y294" s="1" t="s">
        <v>126</v>
      </c>
      <c r="Z294" s="1" t="s">
        <v>202</v>
      </c>
      <c r="AA294" s="1" t="s">
        <v>397</v>
      </c>
      <c r="AB294" s="1" t="s">
        <v>398</v>
      </c>
      <c r="AC294" s="1">
        <v>0</v>
      </c>
      <c r="AD294" s="1" t="s">
        <v>56</v>
      </c>
      <c r="AE294" s="1" t="s">
        <v>83</v>
      </c>
      <c r="AG294" s="1" t="s">
        <v>568</v>
      </c>
      <c r="AH294" s="1" t="s">
        <v>206</v>
      </c>
      <c r="AI294" s="1" t="s">
        <v>255</v>
      </c>
      <c r="AK294" s="1" t="s">
        <v>61</v>
      </c>
      <c r="AL294" s="1" t="s">
        <v>61</v>
      </c>
      <c r="AM294" s="1">
        <v>1</v>
      </c>
      <c r="AN294" s="1">
        <v>0</v>
      </c>
      <c r="AO294" s="1">
        <f t="shared" si="72"/>
        <v>1</v>
      </c>
    </row>
    <row r="295" spans="1:41" x14ac:dyDescent="0.4">
      <c r="A295" s="1">
        <v>1</v>
      </c>
      <c r="B295" s="1">
        <v>2</v>
      </c>
      <c r="C295" s="1" t="s">
        <v>41</v>
      </c>
      <c r="D295" s="2">
        <v>38923</v>
      </c>
      <c r="E295" s="1">
        <v>206</v>
      </c>
      <c r="F295" s="1">
        <v>1.5</v>
      </c>
      <c r="G295" s="3">
        <v>0.34430555555555559</v>
      </c>
      <c r="H295" s="3">
        <v>0.34449074074074071</v>
      </c>
      <c r="I295" s="3">
        <v>1.8518518518512161E-4</v>
      </c>
      <c r="J295" s="3">
        <v>1.8518518518512161E-4</v>
      </c>
      <c r="K295" s="5">
        <f t="shared" si="71"/>
        <v>16</v>
      </c>
      <c r="L295" s="3">
        <v>2.1064814814815147E-3</v>
      </c>
      <c r="N295" s="1" t="s">
        <v>251</v>
      </c>
      <c r="O295" s="1" t="s">
        <v>286</v>
      </c>
      <c r="P295" s="1" t="s">
        <v>44</v>
      </c>
      <c r="Q295" s="1" t="s">
        <v>76</v>
      </c>
      <c r="R295" s="1" t="s">
        <v>76</v>
      </c>
      <c r="S295" s="1" t="s">
        <v>46</v>
      </c>
      <c r="T295" s="1" t="s">
        <v>45</v>
      </c>
      <c r="U295" s="1" t="s">
        <v>156</v>
      </c>
      <c r="AB295" s="1" t="s">
        <v>93</v>
      </c>
      <c r="AC295" s="1">
        <v>1</v>
      </c>
      <c r="AI295" s="1" t="s">
        <v>255</v>
      </c>
      <c r="AK295" s="1" t="s">
        <v>86</v>
      </c>
      <c r="AL295" s="1" t="s">
        <v>133</v>
      </c>
      <c r="AN295" s="1">
        <v>1</v>
      </c>
      <c r="AO295" s="1">
        <f t="shared" si="72"/>
        <v>1</v>
      </c>
    </row>
    <row r="296" spans="1:41" x14ac:dyDescent="0.4">
      <c r="A296" s="1">
        <v>1</v>
      </c>
      <c r="B296" s="1">
        <v>2</v>
      </c>
      <c r="C296" s="1" t="s">
        <v>41</v>
      </c>
      <c r="D296" s="2">
        <v>38923</v>
      </c>
      <c r="E296" s="1">
        <v>206</v>
      </c>
      <c r="F296" s="1">
        <v>2</v>
      </c>
      <c r="G296" s="3">
        <v>0.34659722222222222</v>
      </c>
      <c r="H296" s="3">
        <v>0.39833333333333337</v>
      </c>
      <c r="I296" s="3">
        <v>5.1736111111111149E-2</v>
      </c>
      <c r="J296" s="3">
        <v>4.4803240740740491E-2</v>
      </c>
      <c r="K296" s="5">
        <f t="shared" si="71"/>
        <v>3871</v>
      </c>
      <c r="L296" s="3">
        <v>1.6562499999999925E-2</v>
      </c>
      <c r="N296" s="1" t="s">
        <v>251</v>
      </c>
      <c r="O296" s="1" t="s">
        <v>286</v>
      </c>
      <c r="P296" s="1" t="s">
        <v>44</v>
      </c>
      <c r="Q296" s="1" t="s">
        <v>76</v>
      </c>
      <c r="R296" s="1" t="s">
        <v>76</v>
      </c>
      <c r="S296" s="1" t="s">
        <v>46</v>
      </c>
      <c r="T296" s="1" t="s">
        <v>45</v>
      </c>
      <c r="U296" s="1" t="s">
        <v>66</v>
      </c>
      <c r="V296" s="1" t="s">
        <v>49</v>
      </c>
      <c r="W296" s="1" t="s">
        <v>77</v>
      </c>
      <c r="X296" s="1" t="s">
        <v>534</v>
      </c>
      <c r="Y296" s="1" t="s">
        <v>260</v>
      </c>
      <c r="Z296" s="1" t="s">
        <v>261</v>
      </c>
      <c r="AA296" s="1" t="s">
        <v>535</v>
      </c>
      <c r="AB296" s="1" t="s">
        <v>536</v>
      </c>
      <c r="AC296" s="1">
        <v>0</v>
      </c>
      <c r="AD296" s="1" t="s">
        <v>56</v>
      </c>
      <c r="AE296" s="1" t="s">
        <v>83</v>
      </c>
      <c r="AF296" s="1" t="s">
        <v>113</v>
      </c>
      <c r="AG296" s="1" t="s">
        <v>569</v>
      </c>
      <c r="AH296" s="1" t="s">
        <v>115</v>
      </c>
      <c r="AI296" s="1" t="s">
        <v>257</v>
      </c>
      <c r="AK296" s="1" t="s">
        <v>116</v>
      </c>
      <c r="AL296" s="1" t="s">
        <v>117</v>
      </c>
      <c r="AM296" s="1">
        <v>1</v>
      </c>
      <c r="AN296" s="1">
        <v>0</v>
      </c>
      <c r="AO296" s="1">
        <f t="shared" si="72"/>
        <v>1</v>
      </c>
    </row>
    <row r="297" spans="1:41" x14ac:dyDescent="0.4">
      <c r="A297" s="1">
        <v>1</v>
      </c>
      <c r="B297" s="1">
        <v>2</v>
      </c>
      <c r="C297" s="1" t="s">
        <v>41</v>
      </c>
      <c r="D297" s="2">
        <v>38923</v>
      </c>
      <c r="E297" s="1">
        <v>206</v>
      </c>
      <c r="F297" s="1">
        <v>2.5</v>
      </c>
      <c r="G297" s="3">
        <v>0.4148958333333333</v>
      </c>
      <c r="H297" s="3">
        <v>0.41495370370370371</v>
      </c>
      <c r="I297" s="3">
        <v>5.7870370370416424E-5</v>
      </c>
      <c r="J297" s="3">
        <v>5.7870370370416424E-5</v>
      </c>
      <c r="K297" s="5">
        <f t="shared" si="71"/>
        <v>5</v>
      </c>
      <c r="L297" s="3">
        <v>6.9444444444444198E-3</v>
      </c>
      <c r="N297" s="1" t="s">
        <v>75</v>
      </c>
      <c r="O297" s="1" t="s">
        <v>286</v>
      </c>
      <c r="P297" s="1" t="s">
        <v>44</v>
      </c>
      <c r="Q297" s="1" t="s">
        <v>45</v>
      </c>
      <c r="R297" s="1" t="s">
        <v>76</v>
      </c>
      <c r="S297" s="1" t="s">
        <v>46</v>
      </c>
      <c r="T297" s="1" t="s">
        <v>45</v>
      </c>
      <c r="U297" s="1" t="s">
        <v>66</v>
      </c>
      <c r="AB297" s="1" t="s">
        <v>93</v>
      </c>
      <c r="AC297" s="1">
        <v>1</v>
      </c>
      <c r="AG297" s="1" t="s">
        <v>570</v>
      </c>
      <c r="AI297" s="1" t="s">
        <v>75</v>
      </c>
      <c r="AK297" s="1" t="s">
        <v>86</v>
      </c>
      <c r="AL297" s="1" t="s">
        <v>87</v>
      </c>
      <c r="AM297" s="1">
        <v>2</v>
      </c>
      <c r="AN297" s="1">
        <v>0</v>
      </c>
      <c r="AO297" s="1">
        <f t="shared" si="72"/>
        <v>2</v>
      </c>
    </row>
    <row r="298" spans="1:41" x14ac:dyDescent="0.4">
      <c r="A298" s="1">
        <v>1</v>
      </c>
      <c r="B298" s="1">
        <v>2</v>
      </c>
      <c r="C298" s="1" t="s">
        <v>41</v>
      </c>
      <c r="D298" s="2">
        <v>38923</v>
      </c>
      <c r="E298" s="1">
        <v>206</v>
      </c>
      <c r="F298" s="1">
        <v>3</v>
      </c>
      <c r="G298" s="3">
        <v>0.42189814814814813</v>
      </c>
      <c r="H298" s="3">
        <v>0.45825231481481482</v>
      </c>
      <c r="I298" s="3">
        <v>3.6354166666666687E-2</v>
      </c>
      <c r="J298" s="3">
        <v>1.8472222222222168E-2</v>
      </c>
      <c r="K298" s="5">
        <f t="shared" si="71"/>
        <v>1596</v>
      </c>
      <c r="L298" s="3">
        <v>0.2021296296296296</v>
      </c>
      <c r="N298" s="1" t="s">
        <v>42</v>
      </c>
      <c r="O298" s="1" t="s">
        <v>286</v>
      </c>
      <c r="P298" s="1" t="s">
        <v>44</v>
      </c>
      <c r="Q298" s="1" t="s">
        <v>45</v>
      </c>
      <c r="R298" s="1" t="s">
        <v>76</v>
      </c>
      <c r="S298" s="1" t="s">
        <v>46</v>
      </c>
      <c r="T298" s="1" t="s">
        <v>47</v>
      </c>
      <c r="U298" s="1" t="s">
        <v>66</v>
      </c>
      <c r="V298" s="1" t="s">
        <v>49</v>
      </c>
      <c r="W298" s="1" t="s">
        <v>77</v>
      </c>
      <c r="X298" s="1" t="s">
        <v>375</v>
      </c>
      <c r="Y298" s="1" t="s">
        <v>376</v>
      </c>
      <c r="Z298" s="1">
        <v>2</v>
      </c>
      <c r="AB298" s="1" t="s">
        <v>377</v>
      </c>
      <c r="AC298" s="1">
        <v>0</v>
      </c>
      <c r="AD298" s="1" t="s">
        <v>56</v>
      </c>
      <c r="AE298" s="1" t="s">
        <v>83</v>
      </c>
      <c r="AF298" s="1" t="s">
        <v>113</v>
      </c>
      <c r="AG298" s="1" t="s">
        <v>570</v>
      </c>
      <c r="AH298" s="1" t="s">
        <v>59</v>
      </c>
      <c r="AI298" s="1" t="s">
        <v>71</v>
      </c>
      <c r="AK298" s="1" t="s">
        <v>86</v>
      </c>
      <c r="AL298" s="1" t="s">
        <v>86</v>
      </c>
      <c r="AM298" s="1">
        <v>2</v>
      </c>
      <c r="AN298" s="1">
        <v>0</v>
      </c>
      <c r="AO298" s="1">
        <f t="shared" si="72"/>
        <v>2</v>
      </c>
    </row>
    <row r="299" spans="1:41" x14ac:dyDescent="0.4">
      <c r="A299" s="1">
        <v>1</v>
      </c>
      <c r="B299" s="1">
        <v>2</v>
      </c>
      <c r="C299" s="1" t="s">
        <v>41</v>
      </c>
      <c r="D299" s="2">
        <v>38923</v>
      </c>
      <c r="E299" s="1">
        <v>206</v>
      </c>
      <c r="F299" s="1">
        <v>4</v>
      </c>
      <c r="G299" s="3">
        <v>0.66038194444444442</v>
      </c>
      <c r="H299" s="3">
        <v>0.66074074074074074</v>
      </c>
      <c r="I299" s="3">
        <v>3.5879629629631538E-4</v>
      </c>
      <c r="J299" s="3">
        <v>3.5879629629631538E-4</v>
      </c>
      <c r="K299" s="5">
        <f t="shared" si="71"/>
        <v>31</v>
      </c>
      <c r="L299" s="3">
        <v>3.1481481481481222E-3</v>
      </c>
      <c r="N299" s="1" t="s">
        <v>42</v>
      </c>
      <c r="O299" s="1" t="s">
        <v>286</v>
      </c>
      <c r="P299" s="1" t="s">
        <v>44</v>
      </c>
      <c r="S299" s="1" t="s">
        <v>46</v>
      </c>
      <c r="T299" s="1" t="s">
        <v>45</v>
      </c>
      <c r="V299" s="1" t="s">
        <v>102</v>
      </c>
      <c r="W299" s="1" t="s">
        <v>103</v>
      </c>
      <c r="X299" s="1" t="s">
        <v>96</v>
      </c>
      <c r="AB299" s="1" t="s">
        <v>104</v>
      </c>
      <c r="AC299" s="1">
        <v>0</v>
      </c>
      <c r="AD299" s="1" t="s">
        <v>105</v>
      </c>
      <c r="AE299" s="1" t="s">
        <v>70</v>
      </c>
      <c r="AG299" s="1" t="s">
        <v>571</v>
      </c>
      <c r="AH299" s="1" t="s">
        <v>157</v>
      </c>
      <c r="AK299" s="1" t="s">
        <v>86</v>
      </c>
      <c r="AL299" s="1" t="s">
        <v>133</v>
      </c>
      <c r="AM299" s="1">
        <v>1</v>
      </c>
      <c r="AN299" s="1">
        <v>0</v>
      </c>
      <c r="AO299" s="1">
        <f t="shared" si="72"/>
        <v>1</v>
      </c>
    </row>
    <row r="300" spans="1:41" x14ac:dyDescent="0.4">
      <c r="A300" s="1">
        <v>1</v>
      </c>
      <c r="B300" s="1">
        <v>2</v>
      </c>
      <c r="C300" s="1" t="s">
        <v>41</v>
      </c>
      <c r="D300" s="2">
        <v>38923</v>
      </c>
      <c r="E300" s="1">
        <v>206</v>
      </c>
      <c r="F300" s="1">
        <v>5</v>
      </c>
      <c r="G300" s="3">
        <v>0.66388888888888886</v>
      </c>
      <c r="H300" s="3">
        <v>0.67024305555555552</v>
      </c>
      <c r="I300" s="3">
        <v>6.3541666666666607E-3</v>
      </c>
      <c r="J300" s="3">
        <v>5.9027777777778123E-3</v>
      </c>
      <c r="K300" s="5">
        <f t="shared" si="71"/>
        <v>510</v>
      </c>
      <c r="L300" s="3">
        <v>1.6631944444444491E-2</v>
      </c>
      <c r="N300" s="1" t="s">
        <v>42</v>
      </c>
      <c r="O300" s="1" t="s">
        <v>286</v>
      </c>
      <c r="P300" s="1" t="s">
        <v>44</v>
      </c>
      <c r="Q300" s="1" t="s">
        <v>76</v>
      </c>
      <c r="R300" s="1" t="s">
        <v>76</v>
      </c>
      <c r="S300" s="1" t="s">
        <v>46</v>
      </c>
      <c r="T300" s="1" t="s">
        <v>45</v>
      </c>
      <c r="U300" s="1" t="s">
        <v>48</v>
      </c>
      <c r="V300" s="1" t="s">
        <v>49</v>
      </c>
      <c r="W300" s="1" t="s">
        <v>140</v>
      </c>
      <c r="X300" s="1" t="s">
        <v>177</v>
      </c>
      <c r="Y300" s="1" t="s">
        <v>79</v>
      </c>
      <c r="Z300" s="1" t="s">
        <v>178</v>
      </c>
      <c r="AA300" s="1" t="s">
        <v>572</v>
      </c>
      <c r="AB300" s="1" t="s">
        <v>573</v>
      </c>
      <c r="AC300" s="1">
        <v>0</v>
      </c>
      <c r="AD300" s="1" t="s">
        <v>56</v>
      </c>
      <c r="AE300" s="1" t="s">
        <v>181</v>
      </c>
      <c r="AG300" s="1" t="s">
        <v>574</v>
      </c>
      <c r="AH300" s="1" t="s">
        <v>115</v>
      </c>
      <c r="AI300" s="1" t="s">
        <v>60</v>
      </c>
      <c r="AK300" s="1" t="s">
        <v>86</v>
      </c>
      <c r="AL300" s="1" t="s">
        <v>87</v>
      </c>
      <c r="AM300" s="1">
        <v>1</v>
      </c>
      <c r="AN300" s="1">
        <v>0</v>
      </c>
      <c r="AO300" s="1">
        <f t="shared" si="72"/>
        <v>1</v>
      </c>
    </row>
    <row r="301" spans="1:41" x14ac:dyDescent="0.4">
      <c r="A301" s="1">
        <v>1</v>
      </c>
      <c r="B301" s="1">
        <v>2</v>
      </c>
      <c r="C301" s="1" t="s">
        <v>41</v>
      </c>
      <c r="D301" s="2">
        <v>38923</v>
      </c>
      <c r="E301" s="1">
        <v>206</v>
      </c>
      <c r="F301" s="1">
        <v>6</v>
      </c>
      <c r="G301" s="3">
        <v>0.68687500000000001</v>
      </c>
      <c r="H301" s="3">
        <v>0.69633101851851853</v>
      </c>
      <c r="I301" s="3">
        <v>9.4560185185185164E-3</v>
      </c>
      <c r="J301" s="3">
        <v>9.2708333333334503E-3</v>
      </c>
      <c r="K301" s="5">
        <f t="shared" si="71"/>
        <v>801</v>
      </c>
      <c r="L301" s="3" t="s">
        <v>120</v>
      </c>
      <c r="N301" s="1" t="s">
        <v>42</v>
      </c>
      <c r="O301" s="1" t="s">
        <v>286</v>
      </c>
      <c r="P301" s="1" t="s">
        <v>44</v>
      </c>
      <c r="Q301" s="1" t="s">
        <v>76</v>
      </c>
      <c r="R301" s="1" t="s">
        <v>76</v>
      </c>
      <c r="S301" s="1" t="s">
        <v>46</v>
      </c>
      <c r="T301" s="1" t="s">
        <v>124</v>
      </c>
      <c r="U301" s="1" t="s">
        <v>66</v>
      </c>
      <c r="V301" s="1" t="s">
        <v>49</v>
      </c>
      <c r="W301" s="1" t="s">
        <v>308</v>
      </c>
      <c r="X301" s="1" t="s">
        <v>575</v>
      </c>
      <c r="Y301" s="1" t="s">
        <v>126</v>
      </c>
      <c r="Z301" s="1" t="s">
        <v>127</v>
      </c>
      <c r="AA301" s="1" t="s">
        <v>576</v>
      </c>
      <c r="AB301" s="1" t="s">
        <v>577</v>
      </c>
      <c r="AC301" s="1">
        <v>0</v>
      </c>
      <c r="AD301" s="1" t="s">
        <v>56</v>
      </c>
      <c r="AE301" s="1" t="s">
        <v>181</v>
      </c>
      <c r="AF301" s="1" t="s">
        <v>113</v>
      </c>
      <c r="AG301" s="1" t="s">
        <v>578</v>
      </c>
      <c r="AH301" s="1" t="s">
        <v>165</v>
      </c>
      <c r="AI301" s="1" t="s">
        <v>71</v>
      </c>
      <c r="AK301" s="1" t="s">
        <v>116</v>
      </c>
      <c r="AL301" s="1" t="s">
        <v>117</v>
      </c>
      <c r="AM301" s="1">
        <v>4</v>
      </c>
      <c r="AN301" s="1">
        <v>0</v>
      </c>
      <c r="AO301" s="1">
        <f t="shared" si="72"/>
        <v>4</v>
      </c>
    </row>
    <row r="302" spans="1:41" x14ac:dyDescent="0.4">
      <c r="A302" s="1">
        <v>1</v>
      </c>
      <c r="B302" s="1">
        <v>2</v>
      </c>
      <c r="C302" s="1" t="s">
        <v>41</v>
      </c>
      <c r="D302" s="2">
        <v>38943</v>
      </c>
      <c r="E302" s="1">
        <v>226</v>
      </c>
      <c r="F302" s="1">
        <v>1</v>
      </c>
      <c r="G302" s="3">
        <v>0.27822916666666669</v>
      </c>
      <c r="H302" s="3">
        <v>0.28249999999999997</v>
      </c>
      <c r="I302" s="3">
        <v>4.2708333333332793E-3</v>
      </c>
      <c r="J302" s="3">
        <v>4.2708333333332793E-3</v>
      </c>
      <c r="K302" s="5">
        <f t="shared" si="71"/>
        <v>369</v>
      </c>
      <c r="L302" s="3">
        <v>2.0740740740740782E-2</v>
      </c>
      <c r="N302" s="1" t="s">
        <v>251</v>
      </c>
      <c r="O302" s="1" t="s">
        <v>286</v>
      </c>
      <c r="P302" s="1" t="s">
        <v>44</v>
      </c>
      <c r="Q302" s="1" t="s">
        <v>76</v>
      </c>
      <c r="R302" s="1" t="s">
        <v>76</v>
      </c>
      <c r="S302" s="1" t="s">
        <v>46</v>
      </c>
      <c r="T302" s="1" t="s">
        <v>47</v>
      </c>
      <c r="U302" s="1" t="s">
        <v>66</v>
      </c>
      <c r="V302" s="1" t="s">
        <v>49</v>
      </c>
      <c r="W302" s="1" t="s">
        <v>77</v>
      </c>
      <c r="X302" s="1" t="s">
        <v>375</v>
      </c>
      <c r="Y302" s="1" t="s">
        <v>376</v>
      </c>
      <c r="Z302" s="1">
        <v>2</v>
      </c>
      <c r="AB302" s="1" t="s">
        <v>377</v>
      </c>
      <c r="AC302" s="1">
        <v>0</v>
      </c>
      <c r="AD302" s="1" t="s">
        <v>56</v>
      </c>
      <c r="AE302" s="1" t="s">
        <v>83</v>
      </c>
      <c r="AF302" s="1" t="s">
        <v>113</v>
      </c>
      <c r="AG302" s="1" t="s">
        <v>579</v>
      </c>
      <c r="AH302" s="1" t="s">
        <v>59</v>
      </c>
      <c r="AI302" s="1" t="s">
        <v>257</v>
      </c>
      <c r="AK302" s="1" t="s">
        <v>86</v>
      </c>
      <c r="AL302" s="1" t="s">
        <v>133</v>
      </c>
      <c r="AM302" s="1">
        <v>1</v>
      </c>
      <c r="AN302" s="1">
        <v>0</v>
      </c>
      <c r="AO302" s="1">
        <f t="shared" si="72"/>
        <v>1</v>
      </c>
    </row>
    <row r="303" spans="1:41" x14ac:dyDescent="0.4">
      <c r="A303" s="1">
        <v>1</v>
      </c>
      <c r="B303" s="1">
        <v>2</v>
      </c>
      <c r="C303" s="1" t="s">
        <v>41</v>
      </c>
      <c r="D303" s="2">
        <v>38943</v>
      </c>
      <c r="E303" s="1">
        <v>226</v>
      </c>
      <c r="F303" s="1">
        <v>3</v>
      </c>
      <c r="G303" s="3">
        <v>0.30324074074074076</v>
      </c>
      <c r="H303" s="3">
        <v>0.32137731481481485</v>
      </c>
      <c r="I303" s="3">
        <v>1.8136574074074097E-2</v>
      </c>
      <c r="J303" s="3">
        <v>1.70717592592593E-2</v>
      </c>
      <c r="K303" s="5">
        <f t="shared" si="71"/>
        <v>1475</v>
      </c>
      <c r="L303" s="3">
        <v>9.562499999999996E-2</v>
      </c>
      <c r="N303" s="1" t="s">
        <v>42</v>
      </c>
      <c r="O303" s="1" t="s">
        <v>286</v>
      </c>
      <c r="P303" s="1" t="s">
        <v>44</v>
      </c>
      <c r="Q303" s="1" t="s">
        <v>76</v>
      </c>
      <c r="R303" s="1" t="s">
        <v>76</v>
      </c>
      <c r="S303" s="1" t="s">
        <v>46</v>
      </c>
      <c r="T303" s="1" t="s">
        <v>47</v>
      </c>
      <c r="U303" s="1" t="s">
        <v>66</v>
      </c>
      <c r="V303" s="1" t="s">
        <v>49</v>
      </c>
      <c r="W303" s="1" t="s">
        <v>77</v>
      </c>
      <c r="X303" s="1" t="s">
        <v>375</v>
      </c>
      <c r="Y303" s="1" t="s">
        <v>376</v>
      </c>
      <c r="Z303" s="1">
        <v>2</v>
      </c>
      <c r="AB303" s="1" t="s">
        <v>377</v>
      </c>
      <c r="AC303" s="1">
        <v>0</v>
      </c>
      <c r="AD303" s="1" t="s">
        <v>56</v>
      </c>
      <c r="AE303" s="1" t="s">
        <v>83</v>
      </c>
      <c r="AF303" s="1" t="s">
        <v>84</v>
      </c>
      <c r="AG303" s="1" t="s">
        <v>580</v>
      </c>
      <c r="AH303" s="1" t="s">
        <v>59</v>
      </c>
      <c r="AI303" s="1" t="s">
        <v>71</v>
      </c>
      <c r="AK303" s="1" t="s">
        <v>86</v>
      </c>
      <c r="AL303" s="1" t="s">
        <v>87</v>
      </c>
      <c r="AM303" s="1">
        <v>4</v>
      </c>
      <c r="AN303" s="1">
        <v>0</v>
      </c>
      <c r="AO303" s="1">
        <f t="shared" si="72"/>
        <v>4</v>
      </c>
    </row>
    <row r="304" spans="1:41" x14ac:dyDescent="0.4">
      <c r="A304" s="1">
        <v>1</v>
      </c>
      <c r="B304" s="1">
        <v>2</v>
      </c>
      <c r="C304" s="1" t="s">
        <v>41</v>
      </c>
      <c r="D304" s="2">
        <v>38943</v>
      </c>
      <c r="E304" s="1">
        <v>226</v>
      </c>
      <c r="F304" s="1">
        <v>3.5</v>
      </c>
      <c r="G304" s="3">
        <v>0.41700231481481481</v>
      </c>
      <c r="H304" s="3">
        <v>0.417025462962963</v>
      </c>
      <c r="I304" s="3">
        <v>2.3148148148188774E-5</v>
      </c>
      <c r="J304" s="3">
        <v>2.3148148148188774E-5</v>
      </c>
      <c r="K304" s="5">
        <f t="shared" si="71"/>
        <v>2</v>
      </c>
      <c r="L304" s="3">
        <v>7.0902777777777759E-2</v>
      </c>
      <c r="N304" s="1" t="s">
        <v>42</v>
      </c>
      <c r="O304" s="1" t="s">
        <v>286</v>
      </c>
      <c r="P304" s="1" t="s">
        <v>44</v>
      </c>
      <c r="Q304" s="1" t="s">
        <v>91</v>
      </c>
      <c r="R304" s="1" t="s">
        <v>91</v>
      </c>
      <c r="S304" s="1" t="s">
        <v>46</v>
      </c>
      <c r="T304" s="1" t="s">
        <v>47</v>
      </c>
      <c r="U304" s="1" t="s">
        <v>156</v>
      </c>
      <c r="AB304" s="1" t="s">
        <v>93</v>
      </c>
      <c r="AC304" s="1">
        <v>1</v>
      </c>
      <c r="AG304" s="1" t="s">
        <v>581</v>
      </c>
      <c r="AI304" s="1" t="s">
        <v>75</v>
      </c>
      <c r="AK304" s="1" t="s">
        <v>86</v>
      </c>
      <c r="AL304" s="1" t="s">
        <v>87</v>
      </c>
      <c r="AM304" s="1">
        <v>1</v>
      </c>
      <c r="AN304" s="1">
        <v>0</v>
      </c>
      <c r="AO304" s="1">
        <f t="shared" si="72"/>
        <v>1</v>
      </c>
    </row>
    <row r="305" spans="1:41" x14ac:dyDescent="0.4">
      <c r="A305" s="1">
        <v>1</v>
      </c>
      <c r="B305" s="1">
        <v>2</v>
      </c>
      <c r="C305" s="1" t="s">
        <v>41</v>
      </c>
      <c r="D305" s="2">
        <v>38943</v>
      </c>
      <c r="E305" s="1">
        <v>226</v>
      </c>
      <c r="F305" s="1">
        <v>3.7</v>
      </c>
      <c r="G305" s="3">
        <v>0.48792824074074076</v>
      </c>
      <c r="H305" s="3">
        <v>0.48804398148148148</v>
      </c>
      <c r="I305" s="3">
        <v>1.1574074074072183E-4</v>
      </c>
      <c r="J305" s="3">
        <v>1.1574074074072183E-4</v>
      </c>
      <c r="K305" s="5">
        <f t="shared" si="71"/>
        <v>10</v>
      </c>
      <c r="L305" s="3">
        <v>1.1956018518518519E-2</v>
      </c>
      <c r="N305" s="1" t="s">
        <v>42</v>
      </c>
      <c r="O305" s="1" t="s">
        <v>286</v>
      </c>
      <c r="P305" s="1" t="s">
        <v>44</v>
      </c>
      <c r="Q305" s="1" t="s">
        <v>76</v>
      </c>
      <c r="R305" s="1" t="s">
        <v>76</v>
      </c>
      <c r="S305" s="1" t="s">
        <v>46</v>
      </c>
      <c r="T305" s="1" t="s">
        <v>47</v>
      </c>
      <c r="U305" s="1" t="s">
        <v>156</v>
      </c>
      <c r="AB305" s="1" t="s">
        <v>93</v>
      </c>
      <c r="AC305" s="1">
        <v>1</v>
      </c>
      <c r="AF305" s="1" t="s">
        <v>113</v>
      </c>
      <c r="AG305" s="1" t="s">
        <v>582</v>
      </c>
      <c r="AI305" s="1" t="s">
        <v>75</v>
      </c>
      <c r="AK305" s="1" t="s">
        <v>116</v>
      </c>
      <c r="AL305" s="1" t="s">
        <v>116</v>
      </c>
      <c r="AM305" s="1">
        <v>1</v>
      </c>
      <c r="AN305" s="1">
        <v>0</v>
      </c>
      <c r="AO305" s="1">
        <f t="shared" si="72"/>
        <v>1</v>
      </c>
    </row>
    <row r="306" spans="1:41" x14ac:dyDescent="0.4">
      <c r="A306" s="1">
        <v>1</v>
      </c>
      <c r="B306" s="1">
        <v>2</v>
      </c>
      <c r="C306" s="1" t="s">
        <v>41</v>
      </c>
      <c r="D306" s="2">
        <v>38943</v>
      </c>
      <c r="E306" s="1">
        <v>226</v>
      </c>
      <c r="F306" s="1">
        <v>4</v>
      </c>
      <c r="G306" s="3">
        <v>0.5</v>
      </c>
      <c r="H306" s="3">
        <v>0.50182870370370369</v>
      </c>
      <c r="I306" s="3">
        <v>1.8287037037036935E-3</v>
      </c>
      <c r="J306" s="3">
        <v>1.0648148148149073E-3</v>
      </c>
      <c r="K306" s="5">
        <f t="shared" si="71"/>
        <v>92</v>
      </c>
      <c r="L306" s="3">
        <v>4.1666666666662078E-4</v>
      </c>
      <c r="N306" s="1" t="s">
        <v>42</v>
      </c>
      <c r="O306" s="1" t="s">
        <v>286</v>
      </c>
      <c r="P306" s="1" t="s">
        <v>44</v>
      </c>
      <c r="Q306" s="1" t="s">
        <v>76</v>
      </c>
      <c r="R306" s="1" t="s">
        <v>76</v>
      </c>
      <c r="S306" s="1" t="s">
        <v>46</v>
      </c>
      <c r="T306" s="1" t="s">
        <v>47</v>
      </c>
      <c r="U306" s="1" t="s">
        <v>156</v>
      </c>
      <c r="X306" s="1" t="s">
        <v>313</v>
      </c>
      <c r="AB306" s="1" t="s">
        <v>93</v>
      </c>
      <c r="AC306" s="1">
        <v>1</v>
      </c>
      <c r="AD306" s="1" t="s">
        <v>105</v>
      </c>
      <c r="AG306" s="1" t="s">
        <v>583</v>
      </c>
      <c r="AH306" s="1" t="s">
        <v>157</v>
      </c>
      <c r="AI306" s="1" t="s">
        <v>75</v>
      </c>
      <c r="AK306" s="1" t="s">
        <v>86</v>
      </c>
      <c r="AL306" s="1" t="s">
        <v>87</v>
      </c>
      <c r="AM306" s="1">
        <v>2</v>
      </c>
      <c r="AN306" s="1">
        <v>0</v>
      </c>
      <c r="AO306" s="1">
        <f t="shared" si="72"/>
        <v>2</v>
      </c>
    </row>
    <row r="307" spans="1:41" x14ac:dyDescent="0.4">
      <c r="A307" s="1">
        <v>1</v>
      </c>
      <c r="B307" s="1">
        <v>2</v>
      </c>
      <c r="C307" s="1" t="s">
        <v>41</v>
      </c>
      <c r="D307" s="2">
        <v>38943</v>
      </c>
      <c r="E307" s="1">
        <v>226</v>
      </c>
      <c r="F307" s="1">
        <v>5</v>
      </c>
      <c r="G307" s="3">
        <v>0.50224537037037031</v>
      </c>
      <c r="H307" s="3">
        <v>0.50238425925925922</v>
      </c>
      <c r="I307" s="3">
        <v>1.388888888889106E-4</v>
      </c>
      <c r="J307" s="3">
        <v>1.388888888889106E-4</v>
      </c>
      <c r="K307" s="5">
        <f t="shared" si="71"/>
        <v>12</v>
      </c>
      <c r="L307" s="3">
        <v>3.4710648148148171E-2</v>
      </c>
      <c r="N307" s="1" t="s">
        <v>42</v>
      </c>
      <c r="O307" s="1" t="s">
        <v>286</v>
      </c>
      <c r="P307" s="1" t="s">
        <v>44</v>
      </c>
      <c r="Q307" s="1" t="s">
        <v>76</v>
      </c>
      <c r="R307" s="1" t="s">
        <v>76</v>
      </c>
      <c r="S307" s="1" t="s">
        <v>46</v>
      </c>
      <c r="T307" s="1" t="s">
        <v>47</v>
      </c>
      <c r="U307" s="1" t="s">
        <v>92</v>
      </c>
      <c r="V307" s="1" t="s">
        <v>67</v>
      </c>
      <c r="W307" s="1" t="s">
        <v>68</v>
      </c>
      <c r="X307" s="1" t="s">
        <v>313</v>
      </c>
      <c r="Y307" s="1" t="s">
        <v>68</v>
      </c>
      <c r="AB307" s="1" t="s">
        <v>69</v>
      </c>
      <c r="AC307" s="1">
        <v>0</v>
      </c>
      <c r="AD307" s="1" t="s">
        <v>68</v>
      </c>
      <c r="AE307" s="1" t="s">
        <v>70</v>
      </c>
      <c r="AG307" s="1" t="s">
        <v>583</v>
      </c>
      <c r="AH307" s="1" t="s">
        <v>157</v>
      </c>
      <c r="AI307" s="1" t="s">
        <v>75</v>
      </c>
      <c r="AK307" s="1" t="s">
        <v>86</v>
      </c>
      <c r="AL307" s="1" t="s">
        <v>133</v>
      </c>
      <c r="AM307" s="1">
        <v>2</v>
      </c>
      <c r="AN307" s="1">
        <v>0</v>
      </c>
      <c r="AO307" s="1">
        <f t="shared" si="72"/>
        <v>2</v>
      </c>
    </row>
    <row r="308" spans="1:41" x14ac:dyDescent="0.4">
      <c r="A308" s="1">
        <v>1</v>
      </c>
      <c r="B308" s="1">
        <v>2</v>
      </c>
      <c r="C308" s="1" t="s">
        <v>41</v>
      </c>
      <c r="D308" s="2">
        <v>38943</v>
      </c>
      <c r="E308" s="1">
        <v>226</v>
      </c>
      <c r="F308" s="1">
        <v>6</v>
      </c>
      <c r="G308" s="3">
        <v>0.5370949074074074</v>
      </c>
      <c r="H308" s="3">
        <v>0.54568287037037033</v>
      </c>
      <c r="I308" s="3">
        <v>8.5879629629629362E-3</v>
      </c>
      <c r="J308" s="3">
        <v>3.8310185185185253E-3</v>
      </c>
      <c r="K308" s="5">
        <f t="shared" si="71"/>
        <v>331</v>
      </c>
      <c r="L308" s="3" t="s">
        <v>120</v>
      </c>
      <c r="N308" s="1" t="s">
        <v>42</v>
      </c>
      <c r="O308" s="1" t="s">
        <v>286</v>
      </c>
      <c r="P308" s="1" t="s">
        <v>44</v>
      </c>
      <c r="Q308" s="1" t="s">
        <v>76</v>
      </c>
      <c r="R308" s="1" t="s">
        <v>76</v>
      </c>
      <c r="S308" s="1" t="s">
        <v>46</v>
      </c>
      <c r="T308" s="1" t="s">
        <v>45</v>
      </c>
      <c r="U308" s="1" t="s">
        <v>92</v>
      </c>
      <c r="V308" s="1" t="s">
        <v>102</v>
      </c>
      <c r="W308" s="1" t="s">
        <v>103</v>
      </c>
      <c r="X308" s="1" t="s">
        <v>96</v>
      </c>
      <c r="Y308" s="1">
        <v>46</v>
      </c>
      <c r="AB308" s="1" t="s">
        <v>584</v>
      </c>
      <c r="AC308" s="1">
        <v>0</v>
      </c>
      <c r="AD308" s="1" t="s">
        <v>105</v>
      </c>
      <c r="AE308" s="1" t="s">
        <v>70</v>
      </c>
      <c r="AG308" s="1" t="s">
        <v>481</v>
      </c>
      <c r="AH308" s="1" t="s">
        <v>157</v>
      </c>
      <c r="AI308" s="1" t="s">
        <v>75</v>
      </c>
      <c r="AK308" s="1" t="s">
        <v>86</v>
      </c>
      <c r="AL308" s="1" t="s">
        <v>87</v>
      </c>
      <c r="AM308" s="1">
        <v>6</v>
      </c>
      <c r="AN308" s="1">
        <v>0</v>
      </c>
      <c r="AO308" s="1">
        <f t="shared" si="72"/>
        <v>6</v>
      </c>
    </row>
    <row r="309" spans="1:41" x14ac:dyDescent="0.4">
      <c r="A309" s="1">
        <v>1</v>
      </c>
      <c r="B309" s="1">
        <v>2</v>
      </c>
      <c r="C309" s="1" t="s">
        <v>41</v>
      </c>
      <c r="D309" s="2">
        <v>38950</v>
      </c>
      <c r="E309" s="1">
        <v>233</v>
      </c>
      <c r="F309" s="1">
        <v>1</v>
      </c>
      <c r="G309" s="3">
        <v>0.25653935185185184</v>
      </c>
      <c r="H309" s="3">
        <v>0.27319444444444446</v>
      </c>
      <c r="I309" s="3">
        <v>1.6655092592592624E-2</v>
      </c>
      <c r="J309" s="3">
        <v>1.6655092592592624E-2</v>
      </c>
      <c r="K309" s="5">
        <f t="shared" si="71"/>
        <v>1439</v>
      </c>
      <c r="L309" s="3">
        <v>5.7326388888888857E-2</v>
      </c>
      <c r="N309" s="1" t="s">
        <v>75</v>
      </c>
      <c r="O309" s="1" t="s">
        <v>286</v>
      </c>
      <c r="P309" s="1" t="s">
        <v>44</v>
      </c>
      <c r="Q309" s="1" t="s">
        <v>76</v>
      </c>
      <c r="R309" s="1" t="s">
        <v>76</v>
      </c>
      <c r="S309" s="1" t="s">
        <v>46</v>
      </c>
      <c r="T309" s="1" t="s">
        <v>47</v>
      </c>
      <c r="U309" s="1" t="s">
        <v>66</v>
      </c>
      <c r="V309" s="1" t="s">
        <v>49</v>
      </c>
      <c r="W309" s="1" t="s">
        <v>77</v>
      </c>
      <c r="X309" s="1" t="s">
        <v>375</v>
      </c>
      <c r="Y309" s="1" t="s">
        <v>376</v>
      </c>
      <c r="Z309" s="1">
        <v>2</v>
      </c>
      <c r="AB309" s="1" t="s">
        <v>377</v>
      </c>
      <c r="AC309" s="1">
        <v>0</v>
      </c>
      <c r="AD309" s="1" t="s">
        <v>56</v>
      </c>
      <c r="AE309" s="1" t="s">
        <v>83</v>
      </c>
      <c r="AF309" s="1" t="s">
        <v>113</v>
      </c>
      <c r="AG309" s="1" t="s">
        <v>580</v>
      </c>
      <c r="AH309" s="1" t="s">
        <v>59</v>
      </c>
      <c r="AI309" s="1" t="s">
        <v>122</v>
      </c>
      <c r="AJ309" s="1" t="s">
        <v>147</v>
      </c>
      <c r="AK309" s="1" t="s">
        <v>86</v>
      </c>
      <c r="AL309" s="1" t="s">
        <v>86</v>
      </c>
      <c r="AM309" s="1">
        <v>4</v>
      </c>
      <c r="AN309" s="1">
        <v>0</v>
      </c>
      <c r="AO309" s="1">
        <f t="shared" si="72"/>
        <v>4</v>
      </c>
    </row>
    <row r="310" spans="1:41" x14ac:dyDescent="0.4">
      <c r="A310" s="1">
        <v>1</v>
      </c>
      <c r="B310" s="1">
        <v>2</v>
      </c>
      <c r="C310" s="1" t="s">
        <v>41</v>
      </c>
      <c r="D310" s="2">
        <v>38950</v>
      </c>
      <c r="E310" s="1">
        <v>233</v>
      </c>
      <c r="F310" s="1">
        <v>2</v>
      </c>
      <c r="G310" s="3">
        <v>0.33052083333333332</v>
      </c>
      <c r="H310" s="3">
        <v>0.33074074074074072</v>
      </c>
      <c r="I310" s="3">
        <v>2.1990740740740478E-4</v>
      </c>
      <c r="J310" s="3">
        <v>2.1990740740740478E-4</v>
      </c>
      <c r="K310" s="5">
        <f t="shared" si="71"/>
        <v>19</v>
      </c>
      <c r="L310" s="3">
        <v>6.4201388888888877E-2</v>
      </c>
      <c r="N310" s="1" t="s">
        <v>75</v>
      </c>
      <c r="O310" s="1" t="s">
        <v>286</v>
      </c>
      <c r="P310" s="1" t="s">
        <v>44</v>
      </c>
      <c r="Q310" s="1" t="s">
        <v>76</v>
      </c>
      <c r="R310" s="1" t="s">
        <v>191</v>
      </c>
      <c r="S310" s="1" t="s">
        <v>46</v>
      </c>
      <c r="T310" s="1" t="s">
        <v>45</v>
      </c>
      <c r="U310" s="1" t="s">
        <v>66</v>
      </c>
      <c r="V310" s="1" t="s">
        <v>49</v>
      </c>
      <c r="W310" s="1" t="s">
        <v>77</v>
      </c>
      <c r="X310" s="1" t="s">
        <v>177</v>
      </c>
      <c r="Y310" s="1" t="s">
        <v>79</v>
      </c>
      <c r="Z310" s="1" t="s">
        <v>178</v>
      </c>
      <c r="AA310" s="1" t="s">
        <v>572</v>
      </c>
      <c r="AB310" s="1" t="s">
        <v>573</v>
      </c>
      <c r="AC310" s="1">
        <v>0</v>
      </c>
      <c r="AD310" s="1" t="s">
        <v>56</v>
      </c>
      <c r="AE310" s="1" t="s">
        <v>181</v>
      </c>
      <c r="AG310" s="1" t="s">
        <v>521</v>
      </c>
      <c r="AH310" s="1" t="s">
        <v>115</v>
      </c>
      <c r="AI310" s="1" t="s">
        <v>75</v>
      </c>
      <c r="AK310" s="1" t="s">
        <v>86</v>
      </c>
      <c r="AL310" s="1" t="s">
        <v>86</v>
      </c>
      <c r="AM310" s="1">
        <v>2</v>
      </c>
      <c r="AN310" s="1">
        <v>0</v>
      </c>
      <c r="AO310" s="1">
        <f t="shared" si="72"/>
        <v>2</v>
      </c>
    </row>
    <row r="311" spans="1:41" x14ac:dyDescent="0.4">
      <c r="A311" s="1">
        <v>1</v>
      </c>
      <c r="B311" s="1">
        <v>2</v>
      </c>
      <c r="C311" s="1" t="s">
        <v>41</v>
      </c>
      <c r="D311" s="2">
        <v>38950</v>
      </c>
      <c r="E311" s="1">
        <v>233</v>
      </c>
      <c r="F311" s="1">
        <v>3</v>
      </c>
      <c r="G311" s="3">
        <v>0.3949421296296296</v>
      </c>
      <c r="H311" s="3">
        <v>0.40201388888888889</v>
      </c>
      <c r="I311" s="3">
        <v>7.0717592592592915E-3</v>
      </c>
      <c r="J311" s="3">
        <v>2.8124999999999956E-3</v>
      </c>
      <c r="K311" s="5">
        <f t="shared" si="71"/>
        <v>243</v>
      </c>
      <c r="L311" s="3">
        <v>2.7361111111111114E-2</v>
      </c>
      <c r="N311" s="1" t="s">
        <v>42</v>
      </c>
      <c r="O311" s="1" t="s">
        <v>286</v>
      </c>
      <c r="P311" s="1" t="s">
        <v>44</v>
      </c>
      <c r="Q311" s="1" t="s">
        <v>76</v>
      </c>
      <c r="R311" s="1" t="s">
        <v>76</v>
      </c>
      <c r="S311" s="1" t="s">
        <v>46</v>
      </c>
      <c r="T311" s="1" t="s">
        <v>47</v>
      </c>
      <c r="U311" s="1" t="s">
        <v>66</v>
      </c>
      <c r="V311" s="1" t="s">
        <v>67</v>
      </c>
      <c r="W311" s="1" t="s">
        <v>68</v>
      </c>
      <c r="X311" s="1" t="s">
        <v>313</v>
      </c>
      <c r="Y311" s="1" t="s">
        <v>68</v>
      </c>
      <c r="AB311" s="1" t="s">
        <v>69</v>
      </c>
      <c r="AC311" s="1">
        <v>0</v>
      </c>
      <c r="AD311" s="1" t="s">
        <v>68</v>
      </c>
      <c r="AE311" s="1" t="s">
        <v>70</v>
      </c>
      <c r="AG311" s="1" t="s">
        <v>467</v>
      </c>
      <c r="AH311" s="1" t="s">
        <v>157</v>
      </c>
      <c r="AI311" s="1" t="s">
        <v>71</v>
      </c>
      <c r="AK311" s="1" t="s">
        <v>86</v>
      </c>
      <c r="AL311" s="1" t="s">
        <v>133</v>
      </c>
      <c r="AM311" s="1">
        <v>2</v>
      </c>
      <c r="AN311" s="1">
        <v>0</v>
      </c>
      <c r="AO311" s="1">
        <f t="shared" si="72"/>
        <v>2</v>
      </c>
    </row>
    <row r="312" spans="1:41" x14ac:dyDescent="0.4">
      <c r="A312" s="1">
        <v>1</v>
      </c>
      <c r="B312" s="1">
        <v>2</v>
      </c>
      <c r="C312" s="1" t="s">
        <v>41</v>
      </c>
      <c r="D312" s="2">
        <v>38950</v>
      </c>
      <c r="E312" s="1">
        <v>233</v>
      </c>
      <c r="F312" s="1">
        <v>3.5</v>
      </c>
      <c r="G312" s="3">
        <v>0.42937500000000001</v>
      </c>
      <c r="H312" s="3">
        <v>0.42939814814814814</v>
      </c>
      <c r="I312" s="3">
        <v>2.3148148148133263E-5</v>
      </c>
      <c r="J312" s="3">
        <v>2.3148148148133263E-5</v>
      </c>
      <c r="K312" s="5">
        <f t="shared" si="71"/>
        <v>2</v>
      </c>
      <c r="L312" s="3">
        <v>7.2245370370370376E-2</v>
      </c>
      <c r="N312" s="1" t="s">
        <v>42</v>
      </c>
      <c r="O312" s="1" t="s">
        <v>286</v>
      </c>
      <c r="P312" s="1" t="s">
        <v>44</v>
      </c>
      <c r="Q312" s="1" t="s">
        <v>76</v>
      </c>
      <c r="R312" s="1" t="s">
        <v>76</v>
      </c>
      <c r="S312" s="1" t="s">
        <v>46</v>
      </c>
      <c r="T312" s="1" t="s">
        <v>47</v>
      </c>
      <c r="U312" s="1" t="s">
        <v>92</v>
      </c>
      <c r="AB312" s="1" t="s">
        <v>93</v>
      </c>
      <c r="AC312" s="1">
        <v>1</v>
      </c>
      <c r="AF312" s="1" t="s">
        <v>84</v>
      </c>
      <c r="AI312" s="1" t="s">
        <v>75</v>
      </c>
      <c r="AK312" s="1" t="s">
        <v>86</v>
      </c>
      <c r="AL312" s="1" t="s">
        <v>87</v>
      </c>
      <c r="AN312" s="1">
        <v>1</v>
      </c>
      <c r="AO312" s="1">
        <f t="shared" si="72"/>
        <v>1</v>
      </c>
    </row>
    <row r="313" spans="1:41" x14ac:dyDescent="0.4">
      <c r="A313" s="1">
        <v>1</v>
      </c>
      <c r="B313" s="1">
        <v>2</v>
      </c>
      <c r="C313" s="1" t="s">
        <v>41</v>
      </c>
      <c r="D313" s="2">
        <v>38950</v>
      </c>
      <c r="E313" s="1">
        <v>233</v>
      </c>
      <c r="F313" s="1">
        <v>5</v>
      </c>
      <c r="G313" s="3">
        <v>0.50164351851851852</v>
      </c>
      <c r="H313" s="3">
        <v>0.50200231481481483</v>
      </c>
      <c r="I313" s="3">
        <v>3.5879629629631538E-4</v>
      </c>
      <c r="J313" s="3">
        <v>3.5879629629631538E-4</v>
      </c>
      <c r="K313" s="5">
        <f t="shared" si="71"/>
        <v>31</v>
      </c>
      <c r="L313" s="3">
        <v>2.0486111111110983E-3</v>
      </c>
      <c r="N313" s="1" t="s">
        <v>42</v>
      </c>
      <c r="O313" s="1" t="s">
        <v>286</v>
      </c>
      <c r="P313" s="1" t="s">
        <v>44</v>
      </c>
      <c r="Q313" s="1" t="s">
        <v>76</v>
      </c>
      <c r="R313" s="1" t="s">
        <v>76</v>
      </c>
      <c r="S313" s="1" t="s">
        <v>46</v>
      </c>
      <c r="T313" s="1" t="s">
        <v>45</v>
      </c>
      <c r="U313" s="1" t="s">
        <v>92</v>
      </c>
      <c r="V313" s="1" t="s">
        <v>67</v>
      </c>
      <c r="W313" s="1" t="s">
        <v>68</v>
      </c>
      <c r="X313" s="1" t="s">
        <v>302</v>
      </c>
      <c r="Y313" s="1" t="s">
        <v>303</v>
      </c>
      <c r="Z313" s="1" t="s">
        <v>304</v>
      </c>
      <c r="AA313" s="1" t="s">
        <v>305</v>
      </c>
      <c r="AB313" s="1" t="s">
        <v>306</v>
      </c>
      <c r="AC313" s="1">
        <v>0</v>
      </c>
      <c r="AD313" s="1" t="s">
        <v>68</v>
      </c>
      <c r="AE313" s="1" t="s">
        <v>70</v>
      </c>
      <c r="AG313" s="1" t="s">
        <v>585</v>
      </c>
      <c r="AH313" s="1" t="s">
        <v>157</v>
      </c>
      <c r="AI313" s="1" t="s">
        <v>75</v>
      </c>
      <c r="AK313" s="1" t="s">
        <v>86</v>
      </c>
      <c r="AL313" s="1" t="s">
        <v>87</v>
      </c>
      <c r="AM313" s="1">
        <v>2</v>
      </c>
      <c r="AN313" s="1">
        <v>0</v>
      </c>
      <c r="AO313" s="1">
        <f t="shared" si="72"/>
        <v>2</v>
      </c>
    </row>
    <row r="314" spans="1:41" x14ac:dyDescent="0.4">
      <c r="A314" s="1">
        <v>1</v>
      </c>
      <c r="B314" s="1">
        <v>2</v>
      </c>
      <c r="C314" s="1" t="s">
        <v>41</v>
      </c>
      <c r="D314" s="2">
        <v>38950</v>
      </c>
      <c r="E314" s="1">
        <v>233</v>
      </c>
      <c r="F314" s="1">
        <v>6</v>
      </c>
      <c r="G314" s="3">
        <v>0.50405092592592593</v>
      </c>
      <c r="H314" s="3">
        <v>0.50591435185185185</v>
      </c>
      <c r="I314" s="3">
        <v>1.8634259259259212E-3</v>
      </c>
      <c r="J314" s="3">
        <v>1.8634259259259212E-3</v>
      </c>
      <c r="K314" s="5">
        <f t="shared" si="71"/>
        <v>161</v>
      </c>
      <c r="L314" s="3">
        <v>5.8796296296296235E-3</v>
      </c>
      <c r="N314" s="1" t="s">
        <v>42</v>
      </c>
      <c r="O314" s="1" t="s">
        <v>286</v>
      </c>
      <c r="P314" s="1" t="s">
        <v>44</v>
      </c>
      <c r="Q314" s="1" t="s">
        <v>76</v>
      </c>
      <c r="R314" s="1" t="s">
        <v>76</v>
      </c>
      <c r="S314" s="1" t="s">
        <v>46</v>
      </c>
      <c r="T314" s="1" t="s">
        <v>47</v>
      </c>
      <c r="U314" s="1" t="s">
        <v>92</v>
      </c>
      <c r="V314" s="1" t="s">
        <v>49</v>
      </c>
      <c r="W314" s="1" t="s">
        <v>77</v>
      </c>
      <c r="X314" s="1" t="s">
        <v>177</v>
      </c>
      <c r="Y314" s="1" t="s">
        <v>586</v>
      </c>
      <c r="Z314" s="1" t="s">
        <v>587</v>
      </c>
      <c r="AA314" s="1" t="s">
        <v>588</v>
      </c>
      <c r="AB314" s="1" t="s">
        <v>589</v>
      </c>
      <c r="AC314" s="1">
        <v>0</v>
      </c>
      <c r="AD314" s="1" t="s">
        <v>56</v>
      </c>
      <c r="AE314" s="1" t="s">
        <v>181</v>
      </c>
      <c r="AF314" s="1" t="s">
        <v>84</v>
      </c>
      <c r="AG314" s="1" t="s">
        <v>585</v>
      </c>
      <c r="AH314" s="1" t="s">
        <v>115</v>
      </c>
      <c r="AI314" s="1" t="s">
        <v>75</v>
      </c>
      <c r="AK314" s="1" t="s">
        <v>116</v>
      </c>
      <c r="AL314" s="1" t="s">
        <v>117</v>
      </c>
      <c r="AM314" s="1">
        <v>2</v>
      </c>
      <c r="AN314" s="1">
        <v>0</v>
      </c>
      <c r="AO314" s="1">
        <f t="shared" si="72"/>
        <v>2</v>
      </c>
    </row>
    <row r="315" spans="1:41" x14ac:dyDescent="0.4">
      <c r="A315" s="1">
        <v>1</v>
      </c>
      <c r="B315" s="1">
        <v>2</v>
      </c>
      <c r="C315" s="1" t="s">
        <v>41</v>
      </c>
      <c r="D315" s="2">
        <v>38950</v>
      </c>
      <c r="E315" s="1">
        <v>233</v>
      </c>
      <c r="F315" s="1">
        <v>7</v>
      </c>
      <c r="G315" s="3">
        <v>0.51179398148148147</v>
      </c>
      <c r="H315" s="3">
        <v>0.52057870370370374</v>
      </c>
      <c r="I315" s="3">
        <v>8.7847222222222632E-3</v>
      </c>
      <c r="J315" s="3">
        <v>8.5532407407408195E-3</v>
      </c>
      <c r="K315" s="5">
        <f t="shared" si="71"/>
        <v>739</v>
      </c>
      <c r="L315" s="3">
        <v>1.5983796296296315E-2</v>
      </c>
      <c r="N315" s="1" t="s">
        <v>42</v>
      </c>
      <c r="O315" s="1" t="s">
        <v>286</v>
      </c>
      <c r="P315" s="1" t="s">
        <v>44</v>
      </c>
      <c r="Q315" s="1" t="s">
        <v>191</v>
      </c>
      <c r="R315" s="1" t="s">
        <v>76</v>
      </c>
      <c r="S315" s="1" t="s">
        <v>46</v>
      </c>
      <c r="T315" s="1" t="s">
        <v>76</v>
      </c>
      <c r="U315" s="1" t="s">
        <v>156</v>
      </c>
      <c r="V315" s="1" t="s">
        <v>67</v>
      </c>
      <c r="W315" s="1" t="s">
        <v>68</v>
      </c>
      <c r="X315" s="1" t="s">
        <v>302</v>
      </c>
      <c r="Y315" s="1" t="s">
        <v>303</v>
      </c>
      <c r="Z315" s="1" t="s">
        <v>304</v>
      </c>
      <c r="AA315" s="1" t="s">
        <v>305</v>
      </c>
      <c r="AB315" s="1" t="s">
        <v>306</v>
      </c>
      <c r="AC315" s="1">
        <v>0</v>
      </c>
      <c r="AD315" s="1" t="s">
        <v>68</v>
      </c>
      <c r="AE315" s="1" t="s">
        <v>70</v>
      </c>
      <c r="AF315" s="1" t="s">
        <v>113</v>
      </c>
      <c r="AG315" s="1" t="s">
        <v>590</v>
      </c>
      <c r="AH315" s="1" t="s">
        <v>157</v>
      </c>
      <c r="AI315" s="1" t="s">
        <v>75</v>
      </c>
      <c r="AK315" s="1" t="s">
        <v>116</v>
      </c>
      <c r="AL315" s="1" t="s">
        <v>117</v>
      </c>
      <c r="AM315" s="1">
        <v>1</v>
      </c>
      <c r="AN315" s="1">
        <v>0</v>
      </c>
      <c r="AO315" s="1">
        <f t="shared" si="72"/>
        <v>1</v>
      </c>
    </row>
    <row r="316" spans="1:41" x14ac:dyDescent="0.4">
      <c r="A316" s="1">
        <v>1</v>
      </c>
      <c r="B316" s="1">
        <v>2</v>
      </c>
      <c r="C316" s="1" t="s">
        <v>41</v>
      </c>
      <c r="D316" s="2">
        <v>38950</v>
      </c>
      <c r="E316" s="1">
        <v>233</v>
      </c>
      <c r="F316" s="1">
        <v>7.5</v>
      </c>
      <c r="G316" s="3">
        <v>0.53656250000000005</v>
      </c>
      <c r="H316" s="3">
        <v>0.53729166666666661</v>
      </c>
      <c r="I316" s="3">
        <v>7.291666666665586E-4</v>
      </c>
      <c r="J316" s="3">
        <v>2.6620370370356028E-4</v>
      </c>
      <c r="K316" s="5">
        <f t="shared" si="71"/>
        <v>23</v>
      </c>
      <c r="L316" s="3">
        <v>3.9918981481481541E-2</v>
      </c>
      <c r="N316" s="1" t="s">
        <v>251</v>
      </c>
      <c r="O316" s="1" t="s">
        <v>286</v>
      </c>
      <c r="P316" s="1" t="s">
        <v>44</v>
      </c>
      <c r="Q316" s="1" t="s">
        <v>45</v>
      </c>
      <c r="R316" s="1" t="s">
        <v>45</v>
      </c>
      <c r="S316" s="1" t="s">
        <v>46</v>
      </c>
      <c r="T316" s="1" t="s">
        <v>45</v>
      </c>
      <c r="U316" s="1" t="s">
        <v>66</v>
      </c>
      <c r="AB316" s="1" t="s">
        <v>93</v>
      </c>
      <c r="AC316" s="1">
        <v>1</v>
      </c>
      <c r="AI316" s="1" t="s">
        <v>257</v>
      </c>
      <c r="AK316" s="1" t="s">
        <v>86</v>
      </c>
      <c r="AL316" s="1" t="s">
        <v>87</v>
      </c>
      <c r="AN316" s="1">
        <v>1</v>
      </c>
      <c r="AO316" s="1">
        <f t="shared" si="72"/>
        <v>1</v>
      </c>
    </row>
    <row r="317" spans="1:41" x14ac:dyDescent="0.4">
      <c r="A317" s="1">
        <v>1</v>
      </c>
      <c r="B317" s="1">
        <v>2</v>
      </c>
      <c r="C317" s="1" t="s">
        <v>41</v>
      </c>
      <c r="D317" s="2">
        <v>38950</v>
      </c>
      <c r="E317" s="1">
        <v>233</v>
      </c>
      <c r="F317" s="1">
        <v>8</v>
      </c>
      <c r="G317" s="3">
        <v>0.57721064814814815</v>
      </c>
      <c r="H317" s="3">
        <v>0.57803240740740736</v>
      </c>
      <c r="I317" s="3">
        <v>8.2175925925920268E-4</v>
      </c>
      <c r="J317" s="3">
        <v>8.2175925925920268E-4</v>
      </c>
      <c r="K317" s="5">
        <f t="shared" si="71"/>
        <v>71</v>
      </c>
      <c r="L317" s="3">
        <v>6.8518518518518867E-3</v>
      </c>
      <c r="N317" s="1" t="s">
        <v>251</v>
      </c>
      <c r="O317" s="1" t="s">
        <v>286</v>
      </c>
      <c r="P317" s="1" t="s">
        <v>44</v>
      </c>
      <c r="Q317" s="1" t="s">
        <v>191</v>
      </c>
      <c r="R317" s="1" t="s">
        <v>191</v>
      </c>
      <c r="S317" s="1" t="s">
        <v>46</v>
      </c>
      <c r="T317" s="1" t="s">
        <v>47</v>
      </c>
      <c r="U317" s="1" t="s">
        <v>156</v>
      </c>
      <c r="V317" s="1" t="s">
        <v>102</v>
      </c>
      <c r="W317" s="1" t="s">
        <v>103</v>
      </c>
      <c r="X317" s="1" t="s">
        <v>96</v>
      </c>
      <c r="Y317" s="1">
        <v>46</v>
      </c>
      <c r="AB317" s="1" t="s">
        <v>584</v>
      </c>
      <c r="AC317" s="1">
        <v>0</v>
      </c>
      <c r="AD317" s="1" t="s">
        <v>105</v>
      </c>
      <c r="AE317" s="1" t="s">
        <v>70</v>
      </c>
      <c r="AG317" s="1" t="s">
        <v>481</v>
      </c>
      <c r="AH317" s="1" t="s">
        <v>157</v>
      </c>
      <c r="AI317" s="1" t="s">
        <v>255</v>
      </c>
      <c r="AK317" s="1" t="s">
        <v>86</v>
      </c>
      <c r="AL317" s="1" t="s">
        <v>87</v>
      </c>
      <c r="AM317" s="1">
        <v>6</v>
      </c>
      <c r="AN317" s="1">
        <v>0</v>
      </c>
      <c r="AO317" s="1">
        <f t="shared" si="72"/>
        <v>6</v>
      </c>
    </row>
    <row r="318" spans="1:41" x14ac:dyDescent="0.4">
      <c r="A318" s="1">
        <v>1</v>
      </c>
      <c r="B318" s="1">
        <v>2</v>
      </c>
      <c r="C318" s="1" t="s">
        <v>41</v>
      </c>
      <c r="D318" s="2">
        <v>38950</v>
      </c>
      <c r="E318" s="1">
        <v>233</v>
      </c>
      <c r="F318" s="1">
        <v>9</v>
      </c>
      <c r="G318" s="3">
        <v>0.58488425925925924</v>
      </c>
      <c r="H318" s="3">
        <v>0.58697916666666672</v>
      </c>
      <c r="I318" s="3">
        <v>2.0949074074074758E-3</v>
      </c>
      <c r="J318" s="3">
        <v>2.0949074074074758E-3</v>
      </c>
      <c r="K318" s="5">
        <f t="shared" si="71"/>
        <v>181</v>
      </c>
      <c r="L318" s="3">
        <v>9.8495370370369484E-3</v>
      </c>
      <c r="N318" s="1" t="s">
        <v>251</v>
      </c>
      <c r="O318" s="1" t="s">
        <v>286</v>
      </c>
      <c r="P318" s="1" t="s">
        <v>44</v>
      </c>
      <c r="Q318" s="1" t="s">
        <v>76</v>
      </c>
      <c r="R318" s="1" t="s">
        <v>76</v>
      </c>
      <c r="S318" s="1" t="s">
        <v>46</v>
      </c>
      <c r="T318" s="1" t="s">
        <v>47</v>
      </c>
      <c r="U318" s="1" t="s">
        <v>92</v>
      </c>
      <c r="V318" s="1" t="s">
        <v>67</v>
      </c>
      <c r="W318" s="1" t="s">
        <v>68</v>
      </c>
      <c r="X318" s="1" t="s">
        <v>302</v>
      </c>
      <c r="Y318" s="1" t="s">
        <v>303</v>
      </c>
      <c r="Z318" s="1" t="s">
        <v>304</v>
      </c>
      <c r="AA318" s="1" t="s">
        <v>305</v>
      </c>
      <c r="AB318" s="1" t="s">
        <v>306</v>
      </c>
      <c r="AC318" s="1">
        <v>0</v>
      </c>
      <c r="AD318" s="1" t="s">
        <v>68</v>
      </c>
      <c r="AE318" s="1" t="s">
        <v>70</v>
      </c>
      <c r="AG318" s="1" t="s">
        <v>481</v>
      </c>
      <c r="AH318" s="1" t="s">
        <v>157</v>
      </c>
      <c r="AI318" s="1" t="s">
        <v>253</v>
      </c>
      <c r="AK318" s="1" t="s">
        <v>86</v>
      </c>
      <c r="AL318" s="1" t="s">
        <v>87</v>
      </c>
      <c r="AM318" s="1">
        <v>6</v>
      </c>
      <c r="AN318" s="1">
        <v>0</v>
      </c>
      <c r="AO318" s="1">
        <f t="shared" si="72"/>
        <v>6</v>
      </c>
    </row>
    <row r="319" spans="1:41" x14ac:dyDescent="0.4">
      <c r="A319" s="1">
        <v>1</v>
      </c>
      <c r="B319" s="1">
        <v>2</v>
      </c>
      <c r="C319" s="1" t="s">
        <v>41</v>
      </c>
      <c r="D319" s="2">
        <v>38950</v>
      </c>
      <c r="E319" s="1">
        <v>233</v>
      </c>
      <c r="F319" s="1">
        <v>10</v>
      </c>
      <c r="G319" s="3">
        <v>0.59682870370370367</v>
      </c>
      <c r="H319" s="3">
        <v>0.62930555555555556</v>
      </c>
      <c r="I319" s="3">
        <v>3.2476851851851896E-2</v>
      </c>
      <c r="J319" s="3">
        <v>3.2476851851851896E-2</v>
      </c>
      <c r="K319" s="5">
        <f t="shared" si="71"/>
        <v>2806</v>
      </c>
      <c r="L319" s="3">
        <v>1.4340277777777799E-2</v>
      </c>
      <c r="N319" s="1" t="s">
        <v>251</v>
      </c>
      <c r="O319" s="1" t="s">
        <v>286</v>
      </c>
      <c r="P319" s="1" t="s">
        <v>44</v>
      </c>
      <c r="Q319" s="1" t="s">
        <v>76</v>
      </c>
      <c r="R319" s="1" t="s">
        <v>76</v>
      </c>
      <c r="S319" s="1" t="s">
        <v>46</v>
      </c>
      <c r="T319" s="1" t="s">
        <v>47</v>
      </c>
      <c r="U319" s="1" t="s">
        <v>48</v>
      </c>
      <c r="V319" s="1" t="s">
        <v>49</v>
      </c>
      <c r="W319" s="1" t="s">
        <v>77</v>
      </c>
      <c r="X319" s="1" t="s">
        <v>375</v>
      </c>
      <c r="Y319" s="1" t="s">
        <v>376</v>
      </c>
      <c r="Z319" s="1">
        <v>2</v>
      </c>
      <c r="AB319" s="1" t="s">
        <v>377</v>
      </c>
      <c r="AC319" s="1">
        <v>0</v>
      </c>
      <c r="AD319" s="1" t="s">
        <v>56</v>
      </c>
      <c r="AE319" s="1" t="s">
        <v>83</v>
      </c>
      <c r="AF319" s="1" t="s">
        <v>84</v>
      </c>
      <c r="AG319" s="1" t="s">
        <v>580</v>
      </c>
      <c r="AH319" s="1" t="s">
        <v>59</v>
      </c>
      <c r="AI319" s="1" t="s">
        <v>379</v>
      </c>
      <c r="AK319" s="1" t="s">
        <v>61</v>
      </c>
      <c r="AL319" s="1" t="s">
        <v>61</v>
      </c>
      <c r="AM319" s="1">
        <v>4</v>
      </c>
      <c r="AN319" s="1">
        <v>0</v>
      </c>
      <c r="AO319" s="1">
        <f t="shared" si="72"/>
        <v>4</v>
      </c>
    </row>
    <row r="320" spans="1:41" x14ac:dyDescent="0.4">
      <c r="A320" s="1">
        <v>1</v>
      </c>
      <c r="B320" s="1">
        <v>2</v>
      </c>
      <c r="C320" s="1" t="s">
        <v>41</v>
      </c>
      <c r="D320" s="2">
        <v>38950</v>
      </c>
      <c r="E320" s="1">
        <v>233</v>
      </c>
      <c r="F320" s="1">
        <v>11</v>
      </c>
      <c r="G320" s="3">
        <v>0.64364583333333336</v>
      </c>
      <c r="H320" s="3">
        <v>0.64399305555555553</v>
      </c>
      <c r="I320" s="3">
        <v>3.4722222222216548E-4</v>
      </c>
      <c r="J320" s="3">
        <v>3.4722222222216548E-4</v>
      </c>
      <c r="K320" s="5">
        <f t="shared" si="71"/>
        <v>30</v>
      </c>
      <c r="L320" s="3">
        <v>1.7719907407407365E-2</v>
      </c>
      <c r="N320" s="1" t="s">
        <v>251</v>
      </c>
      <c r="O320" s="1" t="s">
        <v>286</v>
      </c>
      <c r="P320" s="1" t="s">
        <v>44</v>
      </c>
      <c r="Q320" s="1" t="s">
        <v>76</v>
      </c>
      <c r="R320" s="1" t="s">
        <v>76</v>
      </c>
      <c r="S320" s="1" t="s">
        <v>46</v>
      </c>
      <c r="T320" s="1" t="s">
        <v>47</v>
      </c>
      <c r="U320" s="1" t="s">
        <v>156</v>
      </c>
      <c r="V320" s="1" t="s">
        <v>102</v>
      </c>
      <c r="W320" s="1" t="s">
        <v>231</v>
      </c>
      <c r="X320" s="1" t="s">
        <v>96</v>
      </c>
      <c r="AB320" s="1" t="s">
        <v>104</v>
      </c>
      <c r="AC320" s="1">
        <v>0</v>
      </c>
      <c r="AD320" s="1" t="s">
        <v>105</v>
      </c>
      <c r="AE320" s="1" t="s">
        <v>70</v>
      </c>
      <c r="AF320" s="1" t="s">
        <v>113</v>
      </c>
      <c r="AG320" s="1" t="s">
        <v>461</v>
      </c>
      <c r="AH320" s="1" t="s">
        <v>157</v>
      </c>
      <c r="AI320" s="1" t="s">
        <v>255</v>
      </c>
      <c r="AK320" s="1" t="s">
        <v>86</v>
      </c>
      <c r="AL320" s="1" t="s">
        <v>133</v>
      </c>
      <c r="AM320" s="1">
        <v>3</v>
      </c>
      <c r="AN320" s="1">
        <v>0</v>
      </c>
      <c r="AO320" s="1">
        <f t="shared" si="72"/>
        <v>3</v>
      </c>
    </row>
    <row r="321" spans="1:41" x14ac:dyDescent="0.4">
      <c r="A321" s="1">
        <v>1</v>
      </c>
      <c r="B321" s="1">
        <v>2</v>
      </c>
      <c r="C321" s="1" t="s">
        <v>41</v>
      </c>
      <c r="D321" s="2">
        <v>38950</v>
      </c>
      <c r="E321" s="1">
        <v>233</v>
      </c>
      <c r="F321" s="1">
        <v>12</v>
      </c>
      <c r="G321" s="3">
        <v>0.66171296296296289</v>
      </c>
      <c r="H321" s="3">
        <v>0.66831018518518526</v>
      </c>
      <c r="I321" s="3">
        <v>6.5972222222223653E-3</v>
      </c>
      <c r="J321" s="3">
        <v>1.1458333333335124E-3</v>
      </c>
      <c r="K321" s="5">
        <f t="shared" si="71"/>
        <v>99</v>
      </c>
      <c r="L321" s="3">
        <v>1.87962962962962E-2</v>
      </c>
      <c r="N321" s="1" t="s">
        <v>251</v>
      </c>
      <c r="O321" s="1" t="s">
        <v>286</v>
      </c>
      <c r="P321" s="1" t="s">
        <v>44</v>
      </c>
      <c r="Q321" s="1" t="s">
        <v>76</v>
      </c>
      <c r="R321" s="1" t="s">
        <v>191</v>
      </c>
      <c r="S321" s="1" t="s">
        <v>46</v>
      </c>
      <c r="T321" s="1" t="s">
        <v>47</v>
      </c>
      <c r="U321" s="1" t="s">
        <v>92</v>
      </c>
      <c r="V321" s="1" t="s">
        <v>67</v>
      </c>
      <c r="W321" s="1" t="s">
        <v>68</v>
      </c>
      <c r="X321" s="1" t="s">
        <v>313</v>
      </c>
      <c r="Y321" s="1" t="s">
        <v>68</v>
      </c>
      <c r="AB321" s="1" t="s">
        <v>69</v>
      </c>
      <c r="AC321" s="1">
        <v>0</v>
      </c>
      <c r="AD321" s="1" t="s">
        <v>68</v>
      </c>
      <c r="AE321" s="1" t="s">
        <v>70</v>
      </c>
      <c r="AG321" s="1" t="s">
        <v>591</v>
      </c>
      <c r="AH321" s="1" t="s">
        <v>157</v>
      </c>
      <c r="AI321" s="1" t="s">
        <v>253</v>
      </c>
      <c r="AK321" s="1" t="s">
        <v>86</v>
      </c>
      <c r="AL321" s="1" t="s">
        <v>87</v>
      </c>
      <c r="AM321" s="1">
        <v>2</v>
      </c>
      <c r="AN321" s="1">
        <v>0</v>
      </c>
      <c r="AO321" s="1">
        <f t="shared" si="72"/>
        <v>2</v>
      </c>
    </row>
    <row r="322" spans="1:41" x14ac:dyDescent="0.4">
      <c r="A322" s="1">
        <v>1</v>
      </c>
      <c r="B322" s="1">
        <v>2</v>
      </c>
      <c r="C322" s="1" t="s">
        <v>41</v>
      </c>
      <c r="D322" s="2">
        <v>38950</v>
      </c>
      <c r="E322" s="1">
        <v>233</v>
      </c>
      <c r="F322" s="1">
        <v>13</v>
      </c>
      <c r="G322" s="3">
        <v>0.68710648148148146</v>
      </c>
      <c r="H322" s="3">
        <v>0.69903935185185195</v>
      </c>
      <c r="I322" s="3">
        <v>1.1932870370370496E-2</v>
      </c>
      <c r="J322" s="3">
        <v>1.0520833333333646E-2</v>
      </c>
      <c r="K322" s="5">
        <f t="shared" ref="K322:K385" si="73">HOUR(J322)*60*60+MINUTE(J322)*60+SECOND(J322)</f>
        <v>909</v>
      </c>
      <c r="L322" s="3" t="s">
        <v>120</v>
      </c>
      <c r="N322" s="1" t="s">
        <v>251</v>
      </c>
      <c r="O322" s="1" t="s">
        <v>286</v>
      </c>
      <c r="P322" s="1" t="s">
        <v>44</v>
      </c>
      <c r="Q322" s="1" t="s">
        <v>76</v>
      </c>
      <c r="R322" s="1" t="s">
        <v>76</v>
      </c>
      <c r="S322" s="1" t="s">
        <v>46</v>
      </c>
      <c r="T322" s="1" t="s">
        <v>47</v>
      </c>
      <c r="U322" s="1" t="s">
        <v>156</v>
      </c>
      <c r="V322" s="1" t="s">
        <v>49</v>
      </c>
      <c r="W322" s="1" t="s">
        <v>200</v>
      </c>
      <c r="X322" s="1" t="s">
        <v>567</v>
      </c>
      <c r="Y322" s="1" t="s">
        <v>126</v>
      </c>
      <c r="Z322" s="1" t="s">
        <v>202</v>
      </c>
      <c r="AA322" s="1" t="s">
        <v>397</v>
      </c>
      <c r="AB322" s="1" t="s">
        <v>398</v>
      </c>
      <c r="AC322" s="1">
        <v>0</v>
      </c>
      <c r="AD322" s="1" t="s">
        <v>56</v>
      </c>
      <c r="AE322" s="1" t="s">
        <v>83</v>
      </c>
      <c r="AF322" s="1" t="s">
        <v>113</v>
      </c>
      <c r="AG322" s="1" t="s">
        <v>592</v>
      </c>
      <c r="AH322" s="1" t="s">
        <v>206</v>
      </c>
      <c r="AI322" s="1" t="s">
        <v>255</v>
      </c>
      <c r="AK322" s="1" t="s">
        <v>86</v>
      </c>
      <c r="AL322" s="1" t="s">
        <v>87</v>
      </c>
      <c r="AM322" s="1">
        <v>3</v>
      </c>
      <c r="AN322" s="1">
        <v>0</v>
      </c>
      <c r="AO322" s="1">
        <f t="shared" si="72"/>
        <v>3</v>
      </c>
    </row>
    <row r="323" spans="1:41" x14ac:dyDescent="0.4">
      <c r="A323" s="1">
        <v>1</v>
      </c>
      <c r="B323" s="1">
        <v>2</v>
      </c>
      <c r="C323" s="1" t="s">
        <v>41</v>
      </c>
      <c r="D323" s="2">
        <v>38954</v>
      </c>
      <c r="E323" s="1">
        <v>237</v>
      </c>
      <c r="F323" s="1">
        <v>1</v>
      </c>
      <c r="G323" s="3">
        <v>0.26709490740740743</v>
      </c>
      <c r="H323" s="3">
        <v>0.29468749999999999</v>
      </c>
      <c r="I323" s="3">
        <v>2.7592592592592557E-2</v>
      </c>
      <c r="J323" s="3">
        <v>2.6747685185185166E-2</v>
      </c>
      <c r="K323" s="5">
        <f t="shared" si="73"/>
        <v>2311</v>
      </c>
      <c r="L323" s="3">
        <v>5.0462962962963265E-3</v>
      </c>
      <c r="N323" s="1" t="s">
        <v>75</v>
      </c>
      <c r="O323" s="1" t="s">
        <v>286</v>
      </c>
      <c r="P323" s="1" t="s">
        <v>44</v>
      </c>
      <c r="Q323" s="1" t="s">
        <v>76</v>
      </c>
      <c r="R323" s="1" t="s">
        <v>76</v>
      </c>
      <c r="S323" s="1" t="s">
        <v>46</v>
      </c>
      <c r="T323" s="1" t="s">
        <v>47</v>
      </c>
      <c r="U323" s="1" t="s">
        <v>48</v>
      </c>
      <c r="V323" s="1" t="s">
        <v>49</v>
      </c>
      <c r="W323" s="1" t="s">
        <v>77</v>
      </c>
      <c r="X323" s="1" t="s">
        <v>375</v>
      </c>
      <c r="Y323" s="1" t="s">
        <v>376</v>
      </c>
      <c r="Z323" s="1">
        <v>2</v>
      </c>
      <c r="AB323" s="1" t="s">
        <v>377</v>
      </c>
      <c r="AC323" s="1">
        <v>0</v>
      </c>
      <c r="AD323" s="1" t="s">
        <v>56</v>
      </c>
      <c r="AE323" s="1" t="s">
        <v>83</v>
      </c>
      <c r="AF323" s="1" t="s">
        <v>113</v>
      </c>
      <c r="AG323" s="1" t="s">
        <v>580</v>
      </c>
      <c r="AH323" s="1" t="s">
        <v>59</v>
      </c>
      <c r="AI323" s="1" t="s">
        <v>122</v>
      </c>
      <c r="AJ323" s="1" t="s">
        <v>147</v>
      </c>
      <c r="AK323" s="1" t="s">
        <v>86</v>
      </c>
      <c r="AL323" s="1" t="s">
        <v>86</v>
      </c>
      <c r="AM323" s="1">
        <v>4</v>
      </c>
      <c r="AN323" s="1">
        <v>0</v>
      </c>
      <c r="AO323" s="1">
        <f t="shared" ref="AO323:AO386" si="74">SUM(AM323:AN323)</f>
        <v>4</v>
      </c>
    </row>
    <row r="324" spans="1:41" x14ac:dyDescent="0.4">
      <c r="A324" s="1">
        <v>1</v>
      </c>
      <c r="B324" s="1">
        <v>2</v>
      </c>
      <c r="C324" s="1" t="s">
        <v>41</v>
      </c>
      <c r="D324" s="2">
        <v>38954</v>
      </c>
      <c r="E324" s="1">
        <v>237</v>
      </c>
      <c r="F324" s="1">
        <v>2</v>
      </c>
      <c r="G324" s="3">
        <v>0.29973379629629632</v>
      </c>
      <c r="H324" s="3">
        <v>0.30143518518518519</v>
      </c>
      <c r="I324" s="3">
        <v>1.7013888888888773E-3</v>
      </c>
      <c r="J324" s="3">
        <v>1.3773148148147896E-3</v>
      </c>
      <c r="K324" s="5">
        <f t="shared" si="73"/>
        <v>119</v>
      </c>
      <c r="L324" s="3">
        <v>8.1666666666666665E-2</v>
      </c>
      <c r="N324" s="1" t="s">
        <v>42</v>
      </c>
      <c r="O324" s="1" t="s">
        <v>286</v>
      </c>
      <c r="P324" s="1" t="s">
        <v>44</v>
      </c>
      <c r="Q324" s="1" t="s">
        <v>76</v>
      </c>
      <c r="R324" s="1" t="s">
        <v>76</v>
      </c>
      <c r="S324" s="1" t="s">
        <v>46</v>
      </c>
      <c r="T324" s="1" t="s">
        <v>47</v>
      </c>
      <c r="U324" s="1" t="s">
        <v>156</v>
      </c>
      <c r="V324" s="1" t="s">
        <v>102</v>
      </c>
      <c r="W324" s="1" t="s">
        <v>103</v>
      </c>
      <c r="X324" s="1" t="s">
        <v>96</v>
      </c>
      <c r="AB324" s="1" t="s">
        <v>104</v>
      </c>
      <c r="AC324" s="1">
        <v>0</v>
      </c>
      <c r="AD324" s="1" t="s">
        <v>105</v>
      </c>
      <c r="AE324" s="1" t="s">
        <v>70</v>
      </c>
      <c r="AG324" s="1" t="s">
        <v>486</v>
      </c>
      <c r="AH324" s="1" t="s">
        <v>157</v>
      </c>
      <c r="AI324" s="1" t="s">
        <v>75</v>
      </c>
      <c r="AK324" s="1" t="s">
        <v>86</v>
      </c>
      <c r="AL324" s="1" t="s">
        <v>133</v>
      </c>
      <c r="AM324" s="1">
        <v>5</v>
      </c>
      <c r="AN324" s="1">
        <v>0</v>
      </c>
      <c r="AO324" s="1">
        <f t="shared" si="74"/>
        <v>5</v>
      </c>
    </row>
    <row r="325" spans="1:41" x14ac:dyDescent="0.4">
      <c r="A325" s="1">
        <v>1</v>
      </c>
      <c r="B325" s="1">
        <v>2</v>
      </c>
      <c r="C325" s="1" t="s">
        <v>41</v>
      </c>
      <c r="D325" s="2">
        <v>38954</v>
      </c>
      <c r="E325" s="1">
        <v>237</v>
      </c>
      <c r="F325" s="1">
        <v>3</v>
      </c>
      <c r="G325" s="3">
        <v>0.38310185185185186</v>
      </c>
      <c r="H325" s="3">
        <v>0.38613425925925932</v>
      </c>
      <c r="I325" s="3">
        <v>3.0324074074074558E-3</v>
      </c>
      <c r="J325" s="3">
        <v>3.0324074074074558E-3</v>
      </c>
      <c r="K325" s="5">
        <f t="shared" si="73"/>
        <v>262</v>
      </c>
      <c r="L325" s="3">
        <v>6.1342592592589229E-4</v>
      </c>
      <c r="N325" s="1" t="s">
        <v>251</v>
      </c>
      <c r="O325" s="1" t="s">
        <v>286</v>
      </c>
      <c r="P325" s="1" t="s">
        <v>44</v>
      </c>
      <c r="Q325" s="1" t="s">
        <v>76</v>
      </c>
      <c r="R325" s="1" t="s">
        <v>76</v>
      </c>
      <c r="S325" s="1" t="s">
        <v>46</v>
      </c>
      <c r="T325" s="1" t="s">
        <v>45</v>
      </c>
      <c r="U325" s="1" t="s">
        <v>156</v>
      </c>
      <c r="V325" s="1" t="s">
        <v>49</v>
      </c>
      <c r="W325" s="1" t="s">
        <v>77</v>
      </c>
      <c r="X325" s="1" t="s">
        <v>177</v>
      </c>
      <c r="Y325" s="1" t="s">
        <v>79</v>
      </c>
      <c r="Z325" s="1" t="s">
        <v>178</v>
      </c>
      <c r="AA325" s="1" t="s">
        <v>572</v>
      </c>
      <c r="AB325" s="1" t="s">
        <v>573</v>
      </c>
      <c r="AC325" s="1">
        <v>0</v>
      </c>
      <c r="AD325" s="1" t="s">
        <v>56</v>
      </c>
      <c r="AE325" s="1" t="s">
        <v>181</v>
      </c>
      <c r="AG325" s="1" t="s">
        <v>593</v>
      </c>
      <c r="AH325" s="1" t="s">
        <v>115</v>
      </c>
      <c r="AI325" s="1" t="s">
        <v>255</v>
      </c>
      <c r="AK325" s="1" t="s">
        <v>86</v>
      </c>
      <c r="AL325" s="1" t="s">
        <v>133</v>
      </c>
      <c r="AM325" s="1">
        <v>1</v>
      </c>
      <c r="AN325" s="1">
        <v>0</v>
      </c>
      <c r="AO325" s="1">
        <f t="shared" si="74"/>
        <v>1</v>
      </c>
    </row>
    <row r="326" spans="1:41" x14ac:dyDescent="0.4">
      <c r="A326" s="1">
        <v>1</v>
      </c>
      <c r="B326" s="1">
        <v>2</v>
      </c>
      <c r="C326" s="1" t="s">
        <v>41</v>
      </c>
      <c r="D326" s="2">
        <v>38954</v>
      </c>
      <c r="E326" s="1">
        <v>237</v>
      </c>
      <c r="F326" s="1">
        <v>4</v>
      </c>
      <c r="G326" s="3">
        <v>0.38674768518518521</v>
      </c>
      <c r="H326" s="3">
        <v>0.38777777777777778</v>
      </c>
      <c r="I326" s="3">
        <v>1.0300925925925686E-3</v>
      </c>
      <c r="J326" s="3">
        <v>1.0300925925925686E-3</v>
      </c>
      <c r="K326" s="5">
        <f t="shared" si="73"/>
        <v>89</v>
      </c>
      <c r="L326" s="3">
        <v>2.0833333333333814E-3</v>
      </c>
      <c r="N326" s="1" t="s">
        <v>251</v>
      </c>
      <c r="O326" s="1" t="s">
        <v>286</v>
      </c>
      <c r="P326" s="1" t="s">
        <v>44</v>
      </c>
      <c r="Q326" s="1" t="s">
        <v>76</v>
      </c>
      <c r="R326" s="1" t="s">
        <v>76</v>
      </c>
      <c r="S326" s="1" t="s">
        <v>46</v>
      </c>
      <c r="T326" s="1" t="s">
        <v>45</v>
      </c>
      <c r="U326" s="1" t="s">
        <v>66</v>
      </c>
      <c r="V326" s="1" t="s">
        <v>102</v>
      </c>
      <c r="W326" s="1" t="s">
        <v>103</v>
      </c>
      <c r="X326" s="1" t="s">
        <v>96</v>
      </c>
      <c r="AB326" s="1" t="s">
        <v>104</v>
      </c>
      <c r="AC326" s="1">
        <v>0</v>
      </c>
      <c r="AD326" s="1" t="s">
        <v>105</v>
      </c>
      <c r="AE326" s="1" t="s">
        <v>70</v>
      </c>
      <c r="AH326" s="1" t="s">
        <v>157</v>
      </c>
      <c r="AI326" s="1" t="s">
        <v>257</v>
      </c>
      <c r="AK326" s="1" t="s">
        <v>86</v>
      </c>
      <c r="AL326" s="1" t="s">
        <v>133</v>
      </c>
      <c r="AN326" s="1">
        <v>1</v>
      </c>
      <c r="AO326" s="1">
        <f t="shared" si="74"/>
        <v>1</v>
      </c>
    </row>
    <row r="327" spans="1:41" x14ac:dyDescent="0.4">
      <c r="A327" s="1">
        <v>1</v>
      </c>
      <c r="B327" s="1">
        <v>2</v>
      </c>
      <c r="C327" s="1" t="s">
        <v>41</v>
      </c>
      <c r="D327" s="2">
        <v>38954</v>
      </c>
      <c r="E327" s="1">
        <v>237</v>
      </c>
      <c r="F327" s="1">
        <v>4.25</v>
      </c>
      <c r="G327" s="3">
        <v>0.38986111111111116</v>
      </c>
      <c r="H327" s="3">
        <v>0.39008101851851856</v>
      </c>
      <c r="I327" s="3">
        <v>2.1990740740740478E-4</v>
      </c>
      <c r="J327" s="3">
        <v>2.1990740740740478E-4</v>
      </c>
      <c r="K327" s="5">
        <f t="shared" si="73"/>
        <v>19</v>
      </c>
      <c r="L327" s="3">
        <v>5.0347222222221211E-3</v>
      </c>
      <c r="N327" s="1" t="s">
        <v>251</v>
      </c>
      <c r="O327" s="1" t="s">
        <v>286</v>
      </c>
      <c r="P327" s="1" t="s">
        <v>44</v>
      </c>
      <c r="Q327" s="1" t="s">
        <v>76</v>
      </c>
      <c r="R327" s="1" t="s">
        <v>76</v>
      </c>
      <c r="S327" s="1" t="s">
        <v>46</v>
      </c>
      <c r="AB327" s="1" t="s">
        <v>93</v>
      </c>
      <c r="AC327" s="1">
        <v>1</v>
      </c>
      <c r="AK327" s="1" t="s">
        <v>86</v>
      </c>
      <c r="AL327" s="1" t="s">
        <v>86</v>
      </c>
      <c r="AN327" s="1">
        <v>1</v>
      </c>
      <c r="AO327" s="1">
        <f t="shared" si="74"/>
        <v>1</v>
      </c>
    </row>
    <row r="328" spans="1:41" x14ac:dyDescent="0.4">
      <c r="A328" s="1">
        <v>1</v>
      </c>
      <c r="B328" s="1">
        <v>2</v>
      </c>
      <c r="C328" s="1" t="s">
        <v>41</v>
      </c>
      <c r="D328" s="2">
        <v>38954</v>
      </c>
      <c r="E328" s="1">
        <v>237</v>
      </c>
      <c r="F328" s="1">
        <v>4.5</v>
      </c>
      <c r="G328" s="3">
        <v>0.39511574074074068</v>
      </c>
      <c r="H328" s="3">
        <v>0.39515046296296297</v>
      </c>
      <c r="I328" s="3">
        <v>3.4722222222283161E-5</v>
      </c>
      <c r="J328" s="3">
        <v>3.4722222222283161E-5</v>
      </c>
      <c r="K328" s="5">
        <f t="shared" si="73"/>
        <v>3</v>
      </c>
      <c r="L328" s="3">
        <v>9.3634259259259278E-3</v>
      </c>
      <c r="N328" s="1" t="s">
        <v>251</v>
      </c>
      <c r="O328" s="1" t="s">
        <v>286</v>
      </c>
      <c r="P328" s="1" t="s">
        <v>44</v>
      </c>
      <c r="Q328" s="1" t="s">
        <v>76</v>
      </c>
      <c r="R328" s="1" t="s">
        <v>76</v>
      </c>
      <c r="S328" s="1" t="s">
        <v>46</v>
      </c>
      <c r="T328" s="1" t="s">
        <v>76</v>
      </c>
      <c r="U328" s="1" t="s">
        <v>66</v>
      </c>
      <c r="AB328" s="1" t="s">
        <v>93</v>
      </c>
      <c r="AC328" s="1">
        <v>1</v>
      </c>
      <c r="AI328" s="1" t="s">
        <v>257</v>
      </c>
      <c r="AK328" s="1" t="s">
        <v>86</v>
      </c>
      <c r="AL328" s="1" t="s">
        <v>133</v>
      </c>
      <c r="AN328" s="1">
        <v>1</v>
      </c>
      <c r="AO328" s="1">
        <f t="shared" si="74"/>
        <v>1</v>
      </c>
    </row>
    <row r="329" spans="1:41" x14ac:dyDescent="0.4">
      <c r="A329" s="1">
        <v>1</v>
      </c>
      <c r="B329" s="1">
        <v>2</v>
      </c>
      <c r="C329" s="1" t="s">
        <v>41</v>
      </c>
      <c r="D329" s="2">
        <v>38954</v>
      </c>
      <c r="E329" s="1">
        <v>237</v>
      </c>
      <c r="F329" s="1">
        <v>5</v>
      </c>
      <c r="G329" s="3">
        <v>0.4045138888888889</v>
      </c>
      <c r="H329" s="3">
        <v>0.40483796296296298</v>
      </c>
      <c r="I329" s="3">
        <v>3.2407407407408773E-4</v>
      </c>
      <c r="J329" s="3">
        <v>3.2407407407408773E-4</v>
      </c>
      <c r="K329" s="5">
        <f t="shared" si="73"/>
        <v>28</v>
      </c>
      <c r="L329" s="3">
        <v>3.4722222222216548E-4</v>
      </c>
      <c r="N329" s="1" t="s">
        <v>251</v>
      </c>
      <c r="O329" s="1" t="s">
        <v>286</v>
      </c>
      <c r="P329" s="1" t="s">
        <v>44</v>
      </c>
      <c r="Q329" s="1" t="s">
        <v>76</v>
      </c>
      <c r="R329" s="1" t="s">
        <v>76</v>
      </c>
      <c r="S329" s="1" t="s">
        <v>46</v>
      </c>
      <c r="T329" s="1" t="s">
        <v>45</v>
      </c>
      <c r="U329" s="1" t="s">
        <v>48</v>
      </c>
      <c r="V329" s="1" t="s">
        <v>102</v>
      </c>
      <c r="W329" s="1" t="s">
        <v>231</v>
      </c>
      <c r="X329" s="1" t="s">
        <v>96</v>
      </c>
      <c r="AB329" s="1" t="s">
        <v>104</v>
      </c>
      <c r="AC329" s="1">
        <v>0</v>
      </c>
      <c r="AD329" s="1" t="s">
        <v>105</v>
      </c>
      <c r="AE329" s="1" t="s">
        <v>70</v>
      </c>
      <c r="AH329" s="1" t="s">
        <v>157</v>
      </c>
      <c r="AI329" s="1" t="s">
        <v>379</v>
      </c>
      <c r="AK329" s="1" t="s">
        <v>86</v>
      </c>
      <c r="AL329" s="1" t="s">
        <v>87</v>
      </c>
      <c r="AN329" s="1">
        <v>1</v>
      </c>
      <c r="AO329" s="1">
        <f t="shared" si="74"/>
        <v>1</v>
      </c>
    </row>
    <row r="330" spans="1:41" x14ac:dyDescent="0.4">
      <c r="A330" s="1">
        <v>1</v>
      </c>
      <c r="B330" s="1">
        <v>2</v>
      </c>
      <c r="C330" s="1" t="s">
        <v>41</v>
      </c>
      <c r="D330" s="2">
        <v>38954</v>
      </c>
      <c r="E330" s="1">
        <v>237</v>
      </c>
      <c r="F330" s="1">
        <v>6</v>
      </c>
      <c r="G330" s="3">
        <v>0.40518518518518515</v>
      </c>
      <c r="H330" s="3">
        <v>0.40546296296296297</v>
      </c>
      <c r="I330" s="3">
        <v>2.777777777778212E-4</v>
      </c>
      <c r="J330" s="3">
        <v>2.777777777778212E-4</v>
      </c>
      <c r="K330" s="5">
        <f t="shared" si="73"/>
        <v>24</v>
      </c>
      <c r="L330" s="3">
        <v>1.2523148148148144E-2</v>
      </c>
      <c r="N330" s="1" t="s">
        <v>251</v>
      </c>
      <c r="O330" s="1" t="s">
        <v>286</v>
      </c>
      <c r="P330" s="1" t="s">
        <v>44</v>
      </c>
      <c r="Q330" s="1" t="s">
        <v>76</v>
      </c>
      <c r="R330" s="1" t="s">
        <v>76</v>
      </c>
      <c r="S330" s="1" t="s">
        <v>46</v>
      </c>
      <c r="T330" s="1" t="s">
        <v>76</v>
      </c>
      <c r="V330" s="1" t="s">
        <v>102</v>
      </c>
      <c r="W330" s="1" t="s">
        <v>103</v>
      </c>
      <c r="X330" s="1" t="s">
        <v>594</v>
      </c>
      <c r="AB330" s="1" t="s">
        <v>104</v>
      </c>
      <c r="AC330" s="1">
        <v>0</v>
      </c>
      <c r="AD330" s="1" t="s">
        <v>105</v>
      </c>
      <c r="AE330" s="1" t="s">
        <v>57</v>
      </c>
      <c r="AH330" s="1" t="s">
        <v>157</v>
      </c>
      <c r="AK330" s="1" t="s">
        <v>86</v>
      </c>
      <c r="AL330" s="1" t="s">
        <v>133</v>
      </c>
      <c r="AN330" s="1">
        <v>1</v>
      </c>
      <c r="AO330" s="1">
        <f t="shared" si="74"/>
        <v>1</v>
      </c>
    </row>
    <row r="331" spans="1:41" x14ac:dyDescent="0.4">
      <c r="A331" s="1">
        <v>1</v>
      </c>
      <c r="B331" s="1">
        <v>2</v>
      </c>
      <c r="C331" s="1" t="s">
        <v>41</v>
      </c>
      <c r="D331" s="2">
        <v>38954</v>
      </c>
      <c r="E331" s="1">
        <v>237</v>
      </c>
      <c r="F331" s="1">
        <v>7</v>
      </c>
      <c r="G331" s="3">
        <v>0.41798611111111111</v>
      </c>
      <c r="H331" s="3">
        <v>0.41804398148148153</v>
      </c>
      <c r="I331" s="3">
        <v>5.7870370370416424E-5</v>
      </c>
      <c r="J331" s="3">
        <v>5.7870370370416424E-5</v>
      </c>
      <c r="K331" s="5">
        <f t="shared" si="73"/>
        <v>5</v>
      </c>
      <c r="L331" s="3">
        <v>4.6874999999999556E-3</v>
      </c>
      <c r="N331" s="1" t="s">
        <v>251</v>
      </c>
      <c r="O331" s="1" t="s">
        <v>286</v>
      </c>
      <c r="P331" s="1" t="s">
        <v>44</v>
      </c>
      <c r="Q331" s="1" t="s">
        <v>76</v>
      </c>
      <c r="R331" s="1" t="s">
        <v>76</v>
      </c>
      <c r="S331" s="1" t="s">
        <v>46</v>
      </c>
      <c r="T331" s="1" t="s">
        <v>45</v>
      </c>
      <c r="U331" s="1" t="s">
        <v>92</v>
      </c>
      <c r="V331" s="1" t="s">
        <v>102</v>
      </c>
      <c r="W331" s="1" t="s">
        <v>231</v>
      </c>
      <c r="X331" s="1" t="s">
        <v>96</v>
      </c>
      <c r="AB331" s="1" t="s">
        <v>104</v>
      </c>
      <c r="AC331" s="1">
        <v>0</v>
      </c>
      <c r="AD331" s="1" t="s">
        <v>105</v>
      </c>
      <c r="AE331" s="1" t="s">
        <v>70</v>
      </c>
      <c r="AF331" s="1" t="s">
        <v>153</v>
      </c>
      <c r="AG331" s="1" t="s">
        <v>595</v>
      </c>
      <c r="AH331" s="1" t="s">
        <v>157</v>
      </c>
      <c r="AI331" s="1" t="s">
        <v>253</v>
      </c>
      <c r="AK331" s="1" t="s">
        <v>86</v>
      </c>
      <c r="AL331" s="1" t="s">
        <v>87</v>
      </c>
      <c r="AM331" s="1">
        <v>2</v>
      </c>
      <c r="AN331" s="1">
        <v>0</v>
      </c>
      <c r="AO331" s="1">
        <f t="shared" si="74"/>
        <v>2</v>
      </c>
    </row>
    <row r="332" spans="1:41" x14ac:dyDescent="0.4">
      <c r="A332" s="1">
        <v>1</v>
      </c>
      <c r="B332" s="1">
        <v>2</v>
      </c>
      <c r="C332" s="1" t="s">
        <v>41</v>
      </c>
      <c r="D332" s="2">
        <v>38954</v>
      </c>
      <c r="E332" s="1">
        <v>237</v>
      </c>
      <c r="F332" s="1">
        <v>8</v>
      </c>
      <c r="G332" s="3">
        <v>0.42273148148148149</v>
      </c>
      <c r="H332" s="3">
        <v>0.42376157407407411</v>
      </c>
      <c r="I332" s="3">
        <v>1.0300925925926241E-3</v>
      </c>
      <c r="J332" s="3">
        <v>1.0300925925926241E-3</v>
      </c>
      <c r="K332" s="5">
        <f t="shared" si="73"/>
        <v>89</v>
      </c>
      <c r="L332" s="3">
        <v>2.9502314814814801E-2</v>
      </c>
      <c r="N332" s="1" t="s">
        <v>251</v>
      </c>
      <c r="O332" s="1" t="s">
        <v>286</v>
      </c>
      <c r="P332" s="1" t="s">
        <v>44</v>
      </c>
      <c r="Q332" s="1" t="s">
        <v>76</v>
      </c>
      <c r="R332" s="1" t="s">
        <v>76</v>
      </c>
      <c r="S332" s="1" t="s">
        <v>46</v>
      </c>
      <c r="T332" s="1" t="s">
        <v>47</v>
      </c>
      <c r="U332" s="1" t="s">
        <v>156</v>
      </c>
      <c r="V332" s="1" t="s">
        <v>102</v>
      </c>
      <c r="W332" s="1" t="s">
        <v>231</v>
      </c>
      <c r="X332" s="1" t="s">
        <v>96</v>
      </c>
      <c r="AB332" s="1" t="s">
        <v>104</v>
      </c>
      <c r="AC332" s="1">
        <v>0</v>
      </c>
      <c r="AD332" s="1" t="s">
        <v>105</v>
      </c>
      <c r="AE332" s="1" t="s">
        <v>70</v>
      </c>
      <c r="AG332" s="1" t="s">
        <v>564</v>
      </c>
      <c r="AH332" s="1" t="s">
        <v>157</v>
      </c>
      <c r="AI332" s="1" t="s">
        <v>255</v>
      </c>
      <c r="AK332" s="1" t="s">
        <v>86</v>
      </c>
      <c r="AL332" s="1" t="s">
        <v>133</v>
      </c>
      <c r="AM332" s="1">
        <v>3</v>
      </c>
      <c r="AN332" s="1">
        <v>0</v>
      </c>
      <c r="AO332" s="1">
        <f t="shared" si="74"/>
        <v>3</v>
      </c>
    </row>
    <row r="333" spans="1:41" x14ac:dyDescent="0.4">
      <c r="A333" s="1">
        <v>1</v>
      </c>
      <c r="B333" s="1">
        <v>2</v>
      </c>
      <c r="C333" s="1" t="s">
        <v>41</v>
      </c>
      <c r="D333" s="2">
        <v>38954</v>
      </c>
      <c r="E333" s="1">
        <v>237</v>
      </c>
      <c r="F333" s="1">
        <v>8.5</v>
      </c>
      <c r="G333" s="3">
        <v>0.45326388888888891</v>
      </c>
      <c r="H333" s="3">
        <v>0.45333333333333337</v>
      </c>
      <c r="I333" s="3">
        <v>6.94444444444553E-5</v>
      </c>
      <c r="J333" s="3">
        <v>6.94444444444553E-5</v>
      </c>
      <c r="K333" s="5">
        <f t="shared" si="73"/>
        <v>6</v>
      </c>
      <c r="L333" s="3">
        <v>6.1342592592589229E-4</v>
      </c>
      <c r="N333" s="1" t="s">
        <v>42</v>
      </c>
      <c r="O333" s="1" t="s">
        <v>286</v>
      </c>
      <c r="P333" s="1" t="s">
        <v>44</v>
      </c>
      <c r="Q333" s="1" t="s">
        <v>76</v>
      </c>
      <c r="R333" s="1" t="s">
        <v>76</v>
      </c>
      <c r="S333" s="1" t="s">
        <v>46</v>
      </c>
      <c r="AB333" s="1" t="s">
        <v>93</v>
      </c>
      <c r="AC333" s="1">
        <v>1</v>
      </c>
      <c r="AK333" s="1" t="s">
        <v>61</v>
      </c>
      <c r="AL333" s="1" t="s">
        <v>133</v>
      </c>
      <c r="AN333" s="1">
        <v>1</v>
      </c>
      <c r="AO333" s="1">
        <f t="shared" si="74"/>
        <v>1</v>
      </c>
    </row>
    <row r="334" spans="1:41" x14ac:dyDescent="0.4">
      <c r="A334" s="1">
        <v>1</v>
      </c>
      <c r="B334" s="1">
        <v>2</v>
      </c>
      <c r="C334" s="1" t="s">
        <v>41</v>
      </c>
      <c r="D334" s="2">
        <v>38954</v>
      </c>
      <c r="E334" s="1">
        <v>237</v>
      </c>
      <c r="F334" s="1">
        <v>8.75</v>
      </c>
      <c r="G334" s="3">
        <v>0.45394675925925926</v>
      </c>
      <c r="H334" s="3">
        <v>0.45402777777777775</v>
      </c>
      <c r="I334" s="3">
        <v>8.1018518518494176E-5</v>
      </c>
      <c r="J334" s="3">
        <v>8.1018518518494176E-5</v>
      </c>
      <c r="K334" s="5">
        <f t="shared" si="73"/>
        <v>7</v>
      </c>
      <c r="L334" s="3">
        <v>2.777777777778212E-4</v>
      </c>
      <c r="N334" s="1" t="s">
        <v>42</v>
      </c>
      <c r="O334" s="1" t="s">
        <v>286</v>
      </c>
      <c r="P334" s="1" t="s">
        <v>44</v>
      </c>
      <c r="Q334" s="1" t="s">
        <v>76</v>
      </c>
      <c r="R334" s="1" t="s">
        <v>76</v>
      </c>
      <c r="S334" s="1" t="s">
        <v>46</v>
      </c>
      <c r="AB334" s="1" t="s">
        <v>93</v>
      </c>
      <c r="AC334" s="1">
        <v>1</v>
      </c>
      <c r="AK334" s="1" t="s">
        <v>86</v>
      </c>
      <c r="AL334" s="1" t="s">
        <v>133</v>
      </c>
      <c r="AN334" s="1">
        <v>1</v>
      </c>
      <c r="AO334" s="1">
        <f t="shared" si="74"/>
        <v>1</v>
      </c>
    </row>
    <row r="335" spans="1:41" x14ac:dyDescent="0.4">
      <c r="A335" s="1">
        <v>1</v>
      </c>
      <c r="B335" s="1">
        <v>2</v>
      </c>
      <c r="C335" s="1" t="s">
        <v>41</v>
      </c>
      <c r="D335" s="2">
        <v>38954</v>
      </c>
      <c r="E335" s="1">
        <v>237</v>
      </c>
      <c r="F335" s="1">
        <v>9</v>
      </c>
      <c r="G335" s="3">
        <v>0.45430555555555557</v>
      </c>
      <c r="H335" s="3">
        <v>0.45447916666666671</v>
      </c>
      <c r="I335" s="3">
        <v>1.7361111111113825E-4</v>
      </c>
      <c r="J335" s="3">
        <v>1.7361111111113825E-4</v>
      </c>
      <c r="K335" s="5">
        <f t="shared" si="73"/>
        <v>15</v>
      </c>
      <c r="L335" s="3">
        <v>7.9166666666666274E-3</v>
      </c>
      <c r="N335" s="1" t="s">
        <v>42</v>
      </c>
      <c r="O335" s="1" t="s">
        <v>286</v>
      </c>
      <c r="P335" s="1" t="s">
        <v>44</v>
      </c>
      <c r="Q335" s="1" t="s">
        <v>76</v>
      </c>
      <c r="R335" s="1" t="s">
        <v>76</v>
      </c>
      <c r="S335" s="1" t="s">
        <v>46</v>
      </c>
      <c r="T335" s="1" t="s">
        <v>76</v>
      </c>
      <c r="U335" s="1" t="s">
        <v>156</v>
      </c>
      <c r="V335" s="1" t="s">
        <v>67</v>
      </c>
      <c r="W335" s="1" t="s">
        <v>68</v>
      </c>
      <c r="X335" s="1" t="s">
        <v>596</v>
      </c>
      <c r="Y335" s="1" t="s">
        <v>303</v>
      </c>
      <c r="AB335" s="1" t="s">
        <v>597</v>
      </c>
      <c r="AC335" s="1">
        <v>0</v>
      </c>
      <c r="AD335" s="1" t="s">
        <v>68</v>
      </c>
      <c r="AE335" s="1" t="s">
        <v>57</v>
      </c>
      <c r="AH335" s="1" t="s">
        <v>157</v>
      </c>
      <c r="AI335" s="1" t="s">
        <v>75</v>
      </c>
      <c r="AK335" s="1" t="s">
        <v>86</v>
      </c>
      <c r="AL335" s="1" t="s">
        <v>133</v>
      </c>
      <c r="AN335" s="1">
        <v>1</v>
      </c>
      <c r="AO335" s="1">
        <f t="shared" si="74"/>
        <v>1</v>
      </c>
    </row>
    <row r="336" spans="1:41" x14ac:dyDescent="0.4">
      <c r="A336" s="1">
        <v>1</v>
      </c>
      <c r="B336" s="1">
        <v>2</v>
      </c>
      <c r="C336" s="1" t="s">
        <v>41</v>
      </c>
      <c r="D336" s="2">
        <v>38954</v>
      </c>
      <c r="E336" s="1">
        <v>237</v>
      </c>
      <c r="F336" s="1">
        <v>10</v>
      </c>
      <c r="G336" s="3">
        <v>0.46239583333333334</v>
      </c>
      <c r="H336" s="3">
        <v>0.46270833333333333</v>
      </c>
      <c r="I336" s="3">
        <v>3.1249999999999334E-4</v>
      </c>
      <c r="J336" s="3">
        <v>3.1249999999999334E-4</v>
      </c>
      <c r="K336" s="5">
        <f t="shared" si="73"/>
        <v>27</v>
      </c>
      <c r="L336" s="3">
        <v>3.9236111111111138E-3</v>
      </c>
      <c r="N336" s="1" t="s">
        <v>42</v>
      </c>
      <c r="O336" s="1" t="s">
        <v>286</v>
      </c>
      <c r="P336" s="1" t="s">
        <v>44</v>
      </c>
      <c r="Q336" s="1" t="s">
        <v>76</v>
      </c>
      <c r="R336" s="1" t="s">
        <v>76</v>
      </c>
      <c r="S336" s="1" t="s">
        <v>46</v>
      </c>
      <c r="T336" s="1" t="s">
        <v>45</v>
      </c>
      <c r="U336" s="1" t="s">
        <v>66</v>
      </c>
      <c r="V336" s="1" t="s">
        <v>102</v>
      </c>
      <c r="W336" s="1" t="s">
        <v>103</v>
      </c>
      <c r="X336" s="1" t="s">
        <v>96</v>
      </c>
      <c r="AB336" s="1" t="s">
        <v>104</v>
      </c>
      <c r="AC336" s="1">
        <v>0</v>
      </c>
      <c r="AE336" s="1" t="s">
        <v>70</v>
      </c>
      <c r="AF336" s="1" t="s">
        <v>153</v>
      </c>
      <c r="AG336" s="1" t="s">
        <v>598</v>
      </c>
      <c r="AH336" s="1" t="s">
        <v>157</v>
      </c>
      <c r="AI336" s="1" t="s">
        <v>71</v>
      </c>
      <c r="AK336" s="1" t="s">
        <v>86</v>
      </c>
      <c r="AL336" s="1" t="s">
        <v>133</v>
      </c>
      <c r="AM336" s="1">
        <v>1</v>
      </c>
      <c r="AN336" s="1">
        <v>0</v>
      </c>
      <c r="AO336" s="1">
        <f t="shared" si="74"/>
        <v>1</v>
      </c>
    </row>
    <row r="337" spans="1:41" x14ac:dyDescent="0.4">
      <c r="A337" s="1">
        <v>1</v>
      </c>
      <c r="B337" s="1">
        <v>2</v>
      </c>
      <c r="C337" s="1" t="s">
        <v>41</v>
      </c>
      <c r="D337" s="2">
        <v>38954</v>
      </c>
      <c r="E337" s="1">
        <v>237</v>
      </c>
      <c r="F337" s="1">
        <v>10.5</v>
      </c>
      <c r="G337" s="3">
        <v>0.46663194444444445</v>
      </c>
      <c r="H337" s="3">
        <v>0.46665509259259258</v>
      </c>
      <c r="I337" s="3">
        <v>2.3148148148133263E-5</v>
      </c>
      <c r="J337" s="3">
        <v>2.3148148148133263E-5</v>
      </c>
      <c r="K337" s="5">
        <f t="shared" si="73"/>
        <v>2</v>
      </c>
      <c r="L337" s="3">
        <v>1.6273148148148175E-2</v>
      </c>
      <c r="N337" s="1" t="s">
        <v>42</v>
      </c>
      <c r="O337" s="1" t="s">
        <v>286</v>
      </c>
      <c r="P337" s="1" t="s">
        <v>44</v>
      </c>
      <c r="Q337" s="1" t="s">
        <v>76</v>
      </c>
      <c r="R337" s="1" t="s">
        <v>191</v>
      </c>
      <c r="S337" s="1" t="s">
        <v>46</v>
      </c>
      <c r="T337" s="1" t="s">
        <v>45</v>
      </c>
      <c r="U337" s="1" t="s">
        <v>92</v>
      </c>
      <c r="AB337" s="1" t="s">
        <v>93</v>
      </c>
      <c r="AC337" s="1">
        <v>1</v>
      </c>
      <c r="AI337" s="1" t="s">
        <v>75</v>
      </c>
      <c r="AK337" s="1" t="s">
        <v>61</v>
      </c>
      <c r="AL337" s="1" t="s">
        <v>72</v>
      </c>
      <c r="AN337" s="1">
        <v>1</v>
      </c>
      <c r="AO337" s="1">
        <f t="shared" si="74"/>
        <v>1</v>
      </c>
    </row>
    <row r="338" spans="1:41" x14ac:dyDescent="0.4">
      <c r="A338" s="1">
        <v>1</v>
      </c>
      <c r="B338" s="1">
        <v>2</v>
      </c>
      <c r="C338" s="1" t="s">
        <v>41</v>
      </c>
      <c r="D338" s="2">
        <v>38954</v>
      </c>
      <c r="E338" s="1">
        <v>237</v>
      </c>
      <c r="F338" s="1">
        <v>11</v>
      </c>
      <c r="G338" s="3">
        <v>0.48292824074074076</v>
      </c>
      <c r="H338" s="3">
        <v>0.48501157407407408</v>
      </c>
      <c r="I338" s="3">
        <v>2.0833333333333259E-3</v>
      </c>
      <c r="J338" s="3">
        <v>2.0833333333333259E-3</v>
      </c>
      <c r="K338" s="5">
        <f t="shared" si="73"/>
        <v>180</v>
      </c>
      <c r="L338" s="3">
        <v>0.15255787037037033</v>
      </c>
      <c r="N338" s="1" t="s">
        <v>42</v>
      </c>
      <c r="O338" s="1" t="s">
        <v>286</v>
      </c>
      <c r="P338" s="1" t="s">
        <v>44</v>
      </c>
      <c r="Q338" s="1" t="s">
        <v>76</v>
      </c>
      <c r="R338" s="1" t="s">
        <v>76</v>
      </c>
      <c r="S338" s="1" t="s">
        <v>46</v>
      </c>
      <c r="T338" s="1" t="s">
        <v>45</v>
      </c>
      <c r="U338" s="1" t="s">
        <v>66</v>
      </c>
      <c r="V338" s="1" t="s">
        <v>49</v>
      </c>
      <c r="W338" s="1" t="s">
        <v>383</v>
      </c>
      <c r="X338" s="1" t="s">
        <v>599</v>
      </c>
      <c r="Y338" s="1" t="s">
        <v>600</v>
      </c>
      <c r="Z338" s="1" t="s">
        <v>601</v>
      </c>
      <c r="AA338" s="1" t="s">
        <v>602</v>
      </c>
      <c r="AB338" s="1" t="s">
        <v>603</v>
      </c>
      <c r="AC338" s="1">
        <v>0</v>
      </c>
      <c r="AD338" s="1" t="s">
        <v>56</v>
      </c>
      <c r="AE338" s="1" t="s">
        <v>83</v>
      </c>
      <c r="AF338" s="1" t="s">
        <v>198</v>
      </c>
      <c r="AG338" s="1" t="s">
        <v>604</v>
      </c>
      <c r="AH338" s="1" t="s">
        <v>59</v>
      </c>
      <c r="AI338" s="1" t="s">
        <v>71</v>
      </c>
      <c r="AK338" s="1" t="s">
        <v>86</v>
      </c>
      <c r="AL338" s="1" t="s">
        <v>87</v>
      </c>
      <c r="AM338" s="1">
        <v>1</v>
      </c>
      <c r="AN338" s="1">
        <v>0</v>
      </c>
      <c r="AO338" s="1">
        <f t="shared" si="74"/>
        <v>1</v>
      </c>
    </row>
    <row r="339" spans="1:41" x14ac:dyDescent="0.4">
      <c r="A339" s="1">
        <v>1</v>
      </c>
      <c r="B339" s="1">
        <v>2</v>
      </c>
      <c r="C339" s="1" t="s">
        <v>41</v>
      </c>
      <c r="D339" s="2">
        <v>38954</v>
      </c>
      <c r="E339" s="1">
        <v>237</v>
      </c>
      <c r="F339" s="1">
        <v>12</v>
      </c>
      <c r="G339" s="3">
        <v>0.63756944444444441</v>
      </c>
      <c r="H339" s="3">
        <v>0.63775462962962959</v>
      </c>
      <c r="I339" s="3">
        <v>1.8518518518517713E-4</v>
      </c>
      <c r="J339" s="3">
        <v>1.8518518518517713E-4</v>
      </c>
      <c r="K339" s="5">
        <f t="shared" si="73"/>
        <v>16</v>
      </c>
      <c r="L339" s="3">
        <v>1.0891203703703778E-2</v>
      </c>
      <c r="N339" s="1" t="s">
        <v>42</v>
      </c>
      <c r="O339" s="1" t="s">
        <v>286</v>
      </c>
      <c r="P339" s="1" t="s">
        <v>44</v>
      </c>
      <c r="Q339" s="1" t="s">
        <v>76</v>
      </c>
      <c r="R339" s="1" t="s">
        <v>76</v>
      </c>
      <c r="S339" s="1" t="s">
        <v>46</v>
      </c>
      <c r="T339" s="1" t="s">
        <v>45</v>
      </c>
      <c r="U339" s="1" t="s">
        <v>48</v>
      </c>
      <c r="V339" s="1" t="s">
        <v>49</v>
      </c>
      <c r="W339" s="1" t="s">
        <v>268</v>
      </c>
      <c r="X339" s="1" t="s">
        <v>605</v>
      </c>
      <c r="Y339" s="1" t="s">
        <v>560</v>
      </c>
      <c r="Z339" s="1" t="s">
        <v>561</v>
      </c>
      <c r="AA339" s="1" t="s">
        <v>562</v>
      </c>
      <c r="AB339" s="1" t="s">
        <v>606</v>
      </c>
      <c r="AC339" s="1">
        <v>0</v>
      </c>
      <c r="AD339" s="1" t="s">
        <v>105</v>
      </c>
      <c r="AE339" s="1" t="s">
        <v>83</v>
      </c>
      <c r="AG339" s="1" t="s">
        <v>607</v>
      </c>
      <c r="AH339" s="1" t="s">
        <v>165</v>
      </c>
      <c r="AI339" s="1" t="s">
        <v>60</v>
      </c>
      <c r="AK339" s="1" t="s">
        <v>61</v>
      </c>
      <c r="AL339" s="1" t="s">
        <v>61</v>
      </c>
      <c r="AM339" s="1">
        <v>2</v>
      </c>
      <c r="AN339" s="1">
        <v>0</v>
      </c>
      <c r="AO339" s="1">
        <f t="shared" si="74"/>
        <v>2</v>
      </c>
    </row>
    <row r="340" spans="1:41" x14ac:dyDescent="0.4">
      <c r="A340" s="1">
        <v>1</v>
      </c>
      <c r="B340" s="1">
        <v>2</v>
      </c>
      <c r="C340" s="1" t="s">
        <v>41</v>
      </c>
      <c r="D340" s="2">
        <v>38954</v>
      </c>
      <c r="E340" s="1">
        <v>237</v>
      </c>
      <c r="F340" s="1">
        <v>13</v>
      </c>
      <c r="G340" s="3">
        <v>0.64864583333333337</v>
      </c>
      <c r="H340" s="3">
        <v>0.6575347222222222</v>
      </c>
      <c r="I340" s="3">
        <v>8.8888888888888351E-3</v>
      </c>
      <c r="J340" s="3">
        <v>8.8888888888888351E-3</v>
      </c>
      <c r="K340" s="5">
        <f t="shared" si="73"/>
        <v>768</v>
      </c>
      <c r="L340" s="3">
        <v>2.0138888888889817E-3</v>
      </c>
      <c r="N340" s="1" t="s">
        <v>42</v>
      </c>
      <c r="O340" s="1" t="s">
        <v>286</v>
      </c>
      <c r="P340" s="1" t="s">
        <v>44</v>
      </c>
      <c r="Q340" s="1" t="s">
        <v>191</v>
      </c>
      <c r="R340" s="1" t="s">
        <v>191</v>
      </c>
      <c r="S340" s="1" t="s">
        <v>46</v>
      </c>
      <c r="T340" s="1" t="s">
        <v>76</v>
      </c>
      <c r="U340" s="1" t="s">
        <v>66</v>
      </c>
      <c r="V340" s="1" t="s">
        <v>49</v>
      </c>
      <c r="W340" s="1" t="s">
        <v>383</v>
      </c>
      <c r="X340" s="1" t="s">
        <v>599</v>
      </c>
      <c r="Y340" s="1" t="s">
        <v>600</v>
      </c>
      <c r="Z340" s="1" t="s">
        <v>601</v>
      </c>
      <c r="AA340" s="1" t="s">
        <v>602</v>
      </c>
      <c r="AB340" s="1" t="s">
        <v>603</v>
      </c>
      <c r="AC340" s="1">
        <v>0</v>
      </c>
      <c r="AD340" s="1" t="s">
        <v>56</v>
      </c>
      <c r="AE340" s="1" t="s">
        <v>83</v>
      </c>
      <c r="AF340" s="1" t="s">
        <v>198</v>
      </c>
      <c r="AG340" s="1" t="s">
        <v>608</v>
      </c>
      <c r="AH340" s="1" t="s">
        <v>59</v>
      </c>
      <c r="AI340" s="1" t="s">
        <v>71</v>
      </c>
      <c r="AK340" s="1" t="s">
        <v>86</v>
      </c>
      <c r="AL340" s="1" t="s">
        <v>86</v>
      </c>
      <c r="AM340" s="1">
        <v>3</v>
      </c>
      <c r="AN340" s="1">
        <v>0</v>
      </c>
      <c r="AO340" s="1">
        <f t="shared" si="74"/>
        <v>3</v>
      </c>
    </row>
    <row r="341" spans="1:41" x14ac:dyDescent="0.4">
      <c r="A341" s="1">
        <v>1</v>
      </c>
      <c r="B341" s="1">
        <v>2</v>
      </c>
      <c r="C341" s="1" t="s">
        <v>41</v>
      </c>
      <c r="D341" s="2">
        <v>38954</v>
      </c>
      <c r="E341" s="1">
        <v>237</v>
      </c>
      <c r="F341" s="1">
        <v>14</v>
      </c>
      <c r="G341" s="3">
        <v>0.65954861111111118</v>
      </c>
      <c r="H341" s="3">
        <v>0.68228009259259259</v>
      </c>
      <c r="I341" s="3">
        <v>2.2731481481481408E-2</v>
      </c>
      <c r="J341" s="3">
        <v>2.2731481481481408E-2</v>
      </c>
      <c r="K341" s="5">
        <f t="shared" si="73"/>
        <v>1964</v>
      </c>
      <c r="L341" s="3">
        <v>2.1689814814814801E-2</v>
      </c>
      <c r="N341" s="1" t="s">
        <v>42</v>
      </c>
      <c r="O341" s="1" t="s">
        <v>286</v>
      </c>
      <c r="P341" s="1" t="s">
        <v>44</v>
      </c>
      <c r="Q341" s="1" t="s">
        <v>76</v>
      </c>
      <c r="R341" s="1" t="s">
        <v>191</v>
      </c>
      <c r="S341" s="1" t="s">
        <v>46</v>
      </c>
      <c r="T341" s="1" t="s">
        <v>45</v>
      </c>
      <c r="U341" s="1" t="s">
        <v>66</v>
      </c>
      <c r="V341" s="1" t="s">
        <v>49</v>
      </c>
      <c r="W341" s="1" t="s">
        <v>200</v>
      </c>
      <c r="X341" s="1" t="s">
        <v>567</v>
      </c>
      <c r="Y341" s="1" t="s">
        <v>126</v>
      </c>
      <c r="Z341" s="1" t="s">
        <v>202</v>
      </c>
      <c r="AA341" s="1" t="s">
        <v>397</v>
      </c>
      <c r="AB341" s="1" t="s">
        <v>398</v>
      </c>
      <c r="AC341" s="1">
        <v>0</v>
      </c>
      <c r="AD341" s="1" t="s">
        <v>56</v>
      </c>
      <c r="AE341" s="1" t="s">
        <v>83</v>
      </c>
      <c r="AF341" s="1" t="s">
        <v>153</v>
      </c>
      <c r="AG341" s="1" t="s">
        <v>592</v>
      </c>
      <c r="AH341" s="1" t="s">
        <v>206</v>
      </c>
      <c r="AI341" s="1" t="s">
        <v>71</v>
      </c>
      <c r="AK341" s="1" t="s">
        <v>116</v>
      </c>
      <c r="AL341" s="1" t="s">
        <v>117</v>
      </c>
      <c r="AM341" s="1">
        <v>3</v>
      </c>
      <c r="AN341" s="1">
        <v>0</v>
      </c>
      <c r="AO341" s="1">
        <f t="shared" si="74"/>
        <v>3</v>
      </c>
    </row>
    <row r="342" spans="1:41" x14ac:dyDescent="0.4">
      <c r="A342" s="1">
        <v>1</v>
      </c>
      <c r="B342" s="1">
        <v>2</v>
      </c>
      <c r="C342" s="1" t="s">
        <v>41</v>
      </c>
      <c r="D342" s="2">
        <v>38954</v>
      </c>
      <c r="E342" s="1">
        <v>237</v>
      </c>
      <c r="F342" s="1">
        <v>15</v>
      </c>
      <c r="G342" s="3">
        <v>0.70396990740740739</v>
      </c>
      <c r="H342" s="3">
        <v>0.70407407407407396</v>
      </c>
      <c r="I342" s="3">
        <v>1.0416666666657193E-4</v>
      </c>
      <c r="J342" s="3">
        <v>1.0416666666657193E-4</v>
      </c>
      <c r="K342" s="5">
        <f t="shared" si="73"/>
        <v>9</v>
      </c>
      <c r="L342" s="3" t="s">
        <v>120</v>
      </c>
      <c r="N342" s="1" t="s">
        <v>42</v>
      </c>
      <c r="O342" s="1" t="s">
        <v>286</v>
      </c>
      <c r="P342" s="1" t="s">
        <v>44</v>
      </c>
      <c r="Q342" s="1" t="s">
        <v>76</v>
      </c>
      <c r="R342" s="1" t="s">
        <v>191</v>
      </c>
      <c r="S342" s="1" t="s">
        <v>46</v>
      </c>
      <c r="T342" s="1" t="s">
        <v>47</v>
      </c>
      <c r="V342" s="1" t="s">
        <v>49</v>
      </c>
      <c r="W342" s="1" t="s">
        <v>609</v>
      </c>
      <c r="X342" s="1" t="s">
        <v>610</v>
      </c>
      <c r="Y342" s="1" t="s">
        <v>52</v>
      </c>
      <c r="Z342" s="1">
        <v>19</v>
      </c>
      <c r="AB342" s="1" t="s">
        <v>611</v>
      </c>
      <c r="AC342" s="1">
        <v>0</v>
      </c>
      <c r="AD342" s="1" t="s">
        <v>56</v>
      </c>
      <c r="AE342" s="1" t="s">
        <v>57</v>
      </c>
      <c r="AF342" s="1" t="s">
        <v>84</v>
      </c>
      <c r="AG342" s="1" t="s">
        <v>612</v>
      </c>
      <c r="AH342" s="1" t="s">
        <v>157</v>
      </c>
      <c r="AK342" s="1" t="s">
        <v>86</v>
      </c>
      <c r="AL342" s="1" t="s">
        <v>87</v>
      </c>
      <c r="AM342" s="1">
        <v>1</v>
      </c>
      <c r="AN342" s="1">
        <v>0</v>
      </c>
      <c r="AO342" s="1">
        <f t="shared" si="74"/>
        <v>1</v>
      </c>
    </row>
    <row r="343" spans="1:41" x14ac:dyDescent="0.4">
      <c r="A343" s="1">
        <v>1</v>
      </c>
      <c r="B343" s="1">
        <v>2</v>
      </c>
      <c r="C343" s="1" t="s">
        <v>41</v>
      </c>
      <c r="D343" s="2">
        <v>38966</v>
      </c>
      <c r="E343" s="1">
        <v>249</v>
      </c>
      <c r="F343" s="1">
        <v>1</v>
      </c>
      <c r="G343" s="3">
        <v>0.49206018518518518</v>
      </c>
      <c r="H343" s="3">
        <v>0.49230324074074078</v>
      </c>
      <c r="I343" s="3">
        <v>2.4305555555559355E-4</v>
      </c>
      <c r="J343" s="3">
        <v>2.4305555555559355E-4</v>
      </c>
      <c r="K343" s="5">
        <f t="shared" si="73"/>
        <v>21</v>
      </c>
      <c r="L343" s="3">
        <v>4.6967592592592589E-2</v>
      </c>
      <c r="N343" s="1" t="s">
        <v>42</v>
      </c>
      <c r="O343" s="1" t="s">
        <v>286</v>
      </c>
      <c r="P343" s="1" t="s">
        <v>44</v>
      </c>
      <c r="Q343" s="1" t="s">
        <v>76</v>
      </c>
      <c r="R343" s="1" t="s">
        <v>76</v>
      </c>
      <c r="S343" s="1" t="s">
        <v>46</v>
      </c>
      <c r="T343" s="1" t="s">
        <v>47</v>
      </c>
      <c r="U343" s="1" t="s">
        <v>92</v>
      </c>
      <c r="V343" s="1" t="s">
        <v>102</v>
      </c>
      <c r="W343" s="1" t="s">
        <v>103</v>
      </c>
      <c r="X343" s="1" t="s">
        <v>96</v>
      </c>
      <c r="AB343" s="1" t="s">
        <v>104</v>
      </c>
      <c r="AC343" s="1">
        <v>0</v>
      </c>
      <c r="AD343" s="1" t="s">
        <v>105</v>
      </c>
      <c r="AE343" s="1" t="s">
        <v>70</v>
      </c>
      <c r="AG343" s="1" t="s">
        <v>613</v>
      </c>
      <c r="AH343" s="1" t="s">
        <v>157</v>
      </c>
      <c r="AI343" s="1" t="s">
        <v>75</v>
      </c>
      <c r="AK343" s="1" t="s">
        <v>86</v>
      </c>
      <c r="AL343" s="1" t="s">
        <v>133</v>
      </c>
      <c r="AM343" s="1">
        <v>1</v>
      </c>
      <c r="AN343" s="1">
        <v>0</v>
      </c>
      <c r="AO343" s="1">
        <f t="shared" si="74"/>
        <v>1</v>
      </c>
    </row>
    <row r="344" spans="1:41" x14ac:dyDescent="0.4">
      <c r="A344" s="1">
        <v>1</v>
      </c>
      <c r="B344" s="1">
        <v>2</v>
      </c>
      <c r="C344" s="1" t="s">
        <v>41</v>
      </c>
      <c r="D344" s="2">
        <v>38966</v>
      </c>
      <c r="E344" s="1">
        <v>249</v>
      </c>
      <c r="F344" s="1">
        <v>2</v>
      </c>
      <c r="G344" s="3">
        <v>0.53927083333333337</v>
      </c>
      <c r="H344" s="3">
        <v>0.53951388888888896</v>
      </c>
      <c r="I344" s="3">
        <v>2.4305555555559355E-4</v>
      </c>
      <c r="J344" s="3">
        <v>2.4305555555559355E-4</v>
      </c>
      <c r="K344" s="5">
        <f t="shared" si="73"/>
        <v>21</v>
      </c>
      <c r="L344" s="3">
        <v>1.3229166666666625E-2</v>
      </c>
      <c r="N344" s="1" t="s">
        <v>42</v>
      </c>
      <c r="O344" s="1" t="s">
        <v>286</v>
      </c>
      <c r="P344" s="1" t="s">
        <v>44</v>
      </c>
      <c r="Q344" s="1" t="s">
        <v>76</v>
      </c>
      <c r="R344" s="1" t="s">
        <v>76</v>
      </c>
      <c r="S344" s="1" t="s">
        <v>46</v>
      </c>
      <c r="T344" s="1" t="s">
        <v>45</v>
      </c>
      <c r="U344" s="1" t="s">
        <v>156</v>
      </c>
      <c r="V344" s="1" t="s">
        <v>297</v>
      </c>
      <c r="W344" s="1" t="s">
        <v>167</v>
      </c>
      <c r="X344" s="1" t="s">
        <v>614</v>
      </c>
      <c r="Y344" s="1" t="s">
        <v>376</v>
      </c>
      <c r="Z344" s="1">
        <v>4</v>
      </c>
      <c r="AB344" s="1" t="s">
        <v>615</v>
      </c>
      <c r="AC344" s="1">
        <v>0</v>
      </c>
      <c r="AD344" s="1" t="s">
        <v>56</v>
      </c>
      <c r="AE344" s="1" t="s">
        <v>57</v>
      </c>
      <c r="AG344" s="1" t="s">
        <v>616</v>
      </c>
      <c r="AH344" s="1" t="s">
        <v>157</v>
      </c>
      <c r="AI344" s="1" t="s">
        <v>75</v>
      </c>
      <c r="AK344" s="1" t="s">
        <v>86</v>
      </c>
      <c r="AL344" s="1" t="s">
        <v>133</v>
      </c>
      <c r="AM344" s="1">
        <v>1</v>
      </c>
      <c r="AN344" s="1">
        <v>0</v>
      </c>
      <c r="AO344" s="1">
        <f t="shared" si="74"/>
        <v>1</v>
      </c>
    </row>
    <row r="345" spans="1:41" x14ac:dyDescent="0.4">
      <c r="A345" s="1">
        <v>1</v>
      </c>
      <c r="B345" s="1">
        <v>2</v>
      </c>
      <c r="C345" s="1" t="s">
        <v>41</v>
      </c>
      <c r="D345" s="2">
        <v>38966</v>
      </c>
      <c r="E345" s="1">
        <v>249</v>
      </c>
      <c r="F345" s="1">
        <v>3</v>
      </c>
      <c r="G345" s="3">
        <v>0.55274305555555558</v>
      </c>
      <c r="H345" s="3">
        <v>0.55388888888888888</v>
      </c>
      <c r="I345" s="3">
        <v>1.1458333333332904E-3</v>
      </c>
      <c r="J345" s="3">
        <v>1.1458333333332904E-3</v>
      </c>
      <c r="K345" s="5">
        <f t="shared" si="73"/>
        <v>99</v>
      </c>
      <c r="L345" s="3">
        <v>6.2731481481481666E-3</v>
      </c>
      <c r="N345" s="1" t="s">
        <v>42</v>
      </c>
      <c r="O345" s="1" t="s">
        <v>286</v>
      </c>
      <c r="P345" s="1" t="s">
        <v>44</v>
      </c>
      <c r="Q345" s="1" t="s">
        <v>76</v>
      </c>
      <c r="R345" s="1" t="s">
        <v>76</v>
      </c>
      <c r="S345" s="1" t="s">
        <v>46</v>
      </c>
      <c r="T345" s="1" t="s">
        <v>45</v>
      </c>
      <c r="U345" s="1" t="s">
        <v>156</v>
      </c>
      <c r="V345" s="1" t="s">
        <v>49</v>
      </c>
      <c r="W345" s="1" t="s">
        <v>140</v>
      </c>
      <c r="X345" s="1" t="s">
        <v>389</v>
      </c>
      <c r="Y345" s="1" t="s">
        <v>239</v>
      </c>
      <c r="Z345" s="1" t="s">
        <v>240</v>
      </c>
      <c r="AA345" s="1" t="s">
        <v>241</v>
      </c>
      <c r="AB345" s="1" t="s">
        <v>242</v>
      </c>
      <c r="AC345" s="1">
        <v>0</v>
      </c>
      <c r="AD345" s="1" t="s">
        <v>105</v>
      </c>
      <c r="AE345" s="1" t="s">
        <v>181</v>
      </c>
      <c r="AG345" s="1" t="s">
        <v>617</v>
      </c>
      <c r="AH345" s="1" t="s">
        <v>115</v>
      </c>
      <c r="AI345" s="1" t="s">
        <v>75</v>
      </c>
      <c r="AK345" s="1" t="s">
        <v>86</v>
      </c>
      <c r="AL345" s="1" t="s">
        <v>87</v>
      </c>
      <c r="AM345" s="1">
        <v>1</v>
      </c>
      <c r="AN345" s="1">
        <v>0</v>
      </c>
      <c r="AO345" s="1">
        <f t="shared" si="74"/>
        <v>1</v>
      </c>
    </row>
    <row r="346" spans="1:41" x14ac:dyDescent="0.4">
      <c r="A346" s="1">
        <v>1</v>
      </c>
      <c r="B346" s="1">
        <v>2</v>
      </c>
      <c r="C346" s="1" t="s">
        <v>41</v>
      </c>
      <c r="D346" s="2">
        <v>38966</v>
      </c>
      <c r="E346" s="1">
        <v>249</v>
      </c>
      <c r="F346" s="1">
        <v>3.3</v>
      </c>
      <c r="G346" s="3">
        <v>0.56016203703703704</v>
      </c>
      <c r="H346" s="3">
        <v>0.56042824074074071</v>
      </c>
      <c r="I346" s="3">
        <v>2.662037037036713E-4</v>
      </c>
      <c r="J346" s="3">
        <v>2.662037037036713E-4</v>
      </c>
      <c r="K346" s="5">
        <f t="shared" si="73"/>
        <v>23</v>
      </c>
      <c r="L346" s="3">
        <v>2.3449074074074039E-2</v>
      </c>
      <c r="N346" s="1" t="s">
        <v>42</v>
      </c>
      <c r="O346" s="1" t="s">
        <v>286</v>
      </c>
      <c r="P346" s="1" t="s">
        <v>44</v>
      </c>
      <c r="Q346" s="1" t="s">
        <v>132</v>
      </c>
      <c r="R346" s="1" t="s">
        <v>45</v>
      </c>
      <c r="S346" s="1" t="s">
        <v>46</v>
      </c>
      <c r="T346" s="1" t="s">
        <v>45</v>
      </c>
      <c r="U346" s="1" t="s">
        <v>66</v>
      </c>
      <c r="AB346" s="1" t="s">
        <v>93</v>
      </c>
      <c r="AC346" s="1">
        <v>1</v>
      </c>
      <c r="AI346" s="1" t="s">
        <v>71</v>
      </c>
      <c r="AK346" s="1" t="s">
        <v>86</v>
      </c>
      <c r="AL346" s="1" t="s">
        <v>133</v>
      </c>
      <c r="AN346" s="1">
        <v>1</v>
      </c>
      <c r="AO346" s="1">
        <f t="shared" si="74"/>
        <v>1</v>
      </c>
    </row>
    <row r="347" spans="1:41" x14ac:dyDescent="0.4">
      <c r="A347" s="1">
        <v>1</v>
      </c>
      <c r="B347" s="1">
        <v>2</v>
      </c>
      <c r="C347" s="1" t="s">
        <v>41</v>
      </c>
      <c r="D347" s="2">
        <v>38966</v>
      </c>
      <c r="E347" s="1">
        <v>249</v>
      </c>
      <c r="F347" s="1">
        <v>3.5</v>
      </c>
      <c r="G347" s="3">
        <v>0.58387731481481475</v>
      </c>
      <c r="H347" s="3">
        <v>0.58390046296296294</v>
      </c>
      <c r="I347" s="3">
        <v>2.3148148148188774E-5</v>
      </c>
      <c r="J347" s="3">
        <v>2.3148148148188774E-5</v>
      </c>
      <c r="K347" s="5">
        <f t="shared" si="73"/>
        <v>2</v>
      </c>
      <c r="L347" s="3">
        <v>4.1666666666662078E-4</v>
      </c>
      <c r="N347" s="1" t="s">
        <v>42</v>
      </c>
      <c r="O347" s="1" t="s">
        <v>286</v>
      </c>
      <c r="P347" s="1" t="s">
        <v>44</v>
      </c>
      <c r="Q347" s="1" t="s">
        <v>132</v>
      </c>
      <c r="R347" s="1" t="s">
        <v>132</v>
      </c>
      <c r="S347" s="1" t="s">
        <v>46</v>
      </c>
      <c r="T347" s="1" t="s">
        <v>45</v>
      </c>
      <c r="U347" s="1" t="s">
        <v>156</v>
      </c>
      <c r="AB347" s="1" t="s">
        <v>93</v>
      </c>
      <c r="AC347" s="1">
        <v>1</v>
      </c>
      <c r="AI347" s="1" t="s">
        <v>75</v>
      </c>
      <c r="AK347" s="1" t="s">
        <v>86</v>
      </c>
      <c r="AL347" s="1" t="s">
        <v>133</v>
      </c>
      <c r="AN347" s="1">
        <v>1</v>
      </c>
      <c r="AO347" s="1">
        <f t="shared" si="74"/>
        <v>1</v>
      </c>
    </row>
    <row r="348" spans="1:41" x14ac:dyDescent="0.4">
      <c r="A348" s="1">
        <v>1</v>
      </c>
      <c r="B348" s="1">
        <v>2</v>
      </c>
      <c r="C348" s="1" t="s">
        <v>41</v>
      </c>
      <c r="D348" s="2">
        <v>38966</v>
      </c>
      <c r="E348" s="1">
        <v>249</v>
      </c>
      <c r="F348" s="1">
        <v>3.7</v>
      </c>
      <c r="G348" s="3">
        <v>0.58431712962962956</v>
      </c>
      <c r="H348" s="3">
        <v>0.58442129629629636</v>
      </c>
      <c r="I348" s="3">
        <v>1.0416666666679397E-4</v>
      </c>
      <c r="J348" s="3">
        <v>1.0416666666679397E-4</v>
      </c>
      <c r="K348" s="5">
        <f t="shared" si="73"/>
        <v>9</v>
      </c>
      <c r="L348" s="3">
        <v>6.8055555555555092E-3</v>
      </c>
      <c r="N348" s="1" t="s">
        <v>42</v>
      </c>
      <c r="O348" s="1" t="s">
        <v>286</v>
      </c>
      <c r="P348" s="1" t="s">
        <v>44</v>
      </c>
      <c r="Q348" s="1" t="s">
        <v>132</v>
      </c>
      <c r="R348" s="1" t="s">
        <v>132</v>
      </c>
      <c r="S348" s="1" t="s">
        <v>46</v>
      </c>
      <c r="AB348" s="1" t="s">
        <v>93</v>
      </c>
      <c r="AC348" s="1">
        <v>1</v>
      </c>
      <c r="AK348" s="1" t="s">
        <v>61</v>
      </c>
      <c r="AL348" s="1" t="s">
        <v>133</v>
      </c>
      <c r="AN348" s="1">
        <v>1</v>
      </c>
      <c r="AO348" s="1">
        <f t="shared" si="74"/>
        <v>1</v>
      </c>
    </row>
    <row r="349" spans="1:41" x14ac:dyDescent="0.4">
      <c r="A349" s="1">
        <v>1</v>
      </c>
      <c r="B349" s="1">
        <v>2</v>
      </c>
      <c r="C349" s="1" t="s">
        <v>41</v>
      </c>
      <c r="D349" s="2">
        <v>38966</v>
      </c>
      <c r="E349" s="1">
        <v>249</v>
      </c>
      <c r="F349" s="1">
        <v>4</v>
      </c>
      <c r="G349" s="3">
        <v>0.59122685185185186</v>
      </c>
      <c r="H349" s="3">
        <v>0.59891203703703699</v>
      </c>
      <c r="I349" s="3">
        <v>7.6851851851851283E-3</v>
      </c>
      <c r="J349" s="3">
        <v>7.6851851851851283E-3</v>
      </c>
      <c r="K349" s="5">
        <f t="shared" si="73"/>
        <v>664</v>
      </c>
      <c r="L349" s="3">
        <v>3.3217592592593714E-3</v>
      </c>
      <c r="N349" s="1" t="s">
        <v>42</v>
      </c>
      <c r="O349" s="1" t="s">
        <v>286</v>
      </c>
      <c r="P349" s="1" t="s">
        <v>44</v>
      </c>
      <c r="Q349" s="1" t="s">
        <v>76</v>
      </c>
      <c r="R349" s="1" t="s">
        <v>76</v>
      </c>
      <c r="S349" s="1" t="s">
        <v>46</v>
      </c>
      <c r="T349" s="1" t="s">
        <v>124</v>
      </c>
      <c r="U349" s="1" t="s">
        <v>48</v>
      </c>
      <c r="V349" s="1" t="s">
        <v>49</v>
      </c>
      <c r="W349" s="1" t="s">
        <v>140</v>
      </c>
      <c r="X349" s="1" t="s">
        <v>405</v>
      </c>
      <c r="Y349" s="1" t="s">
        <v>126</v>
      </c>
      <c r="Z349" s="1" t="s">
        <v>127</v>
      </c>
      <c r="AA349" s="1" t="s">
        <v>576</v>
      </c>
      <c r="AB349" s="1" t="s">
        <v>577</v>
      </c>
      <c r="AC349" s="1">
        <v>0</v>
      </c>
      <c r="AD349" s="1" t="s">
        <v>56</v>
      </c>
      <c r="AE349" s="1" t="s">
        <v>181</v>
      </c>
      <c r="AF349" s="1" t="s">
        <v>113</v>
      </c>
      <c r="AG349" s="1" t="s">
        <v>578</v>
      </c>
      <c r="AH349" s="1" t="s">
        <v>59</v>
      </c>
      <c r="AI349" s="1" t="s">
        <v>60</v>
      </c>
      <c r="AK349" s="1" t="s">
        <v>116</v>
      </c>
      <c r="AL349" s="1" t="s">
        <v>117</v>
      </c>
      <c r="AM349" s="1">
        <v>4</v>
      </c>
      <c r="AN349" s="1">
        <v>0</v>
      </c>
      <c r="AO349" s="1">
        <f t="shared" si="74"/>
        <v>4</v>
      </c>
    </row>
    <row r="350" spans="1:41" x14ac:dyDescent="0.4">
      <c r="A350" s="1">
        <v>1</v>
      </c>
      <c r="B350" s="1">
        <v>2</v>
      </c>
      <c r="C350" s="1" t="s">
        <v>41</v>
      </c>
      <c r="D350" s="2">
        <v>38966</v>
      </c>
      <c r="E350" s="1">
        <v>249</v>
      </c>
      <c r="F350" s="1">
        <v>5</v>
      </c>
      <c r="G350" s="3">
        <v>0.60223379629629636</v>
      </c>
      <c r="H350" s="3">
        <v>0.61496527777777776</v>
      </c>
      <c r="I350" s="3">
        <v>1.2731481481481399E-2</v>
      </c>
      <c r="J350" s="3">
        <v>1.2731481481481399E-2</v>
      </c>
      <c r="K350" s="5">
        <f t="shared" si="73"/>
        <v>1100</v>
      </c>
      <c r="L350" s="3">
        <v>4.7777777777777808E-2</v>
      </c>
      <c r="N350" s="1" t="s">
        <v>42</v>
      </c>
      <c r="O350" s="1" t="s">
        <v>286</v>
      </c>
      <c r="P350" s="1" t="s">
        <v>44</v>
      </c>
      <c r="Q350" s="1" t="s">
        <v>76</v>
      </c>
      <c r="R350" s="1" t="s">
        <v>76</v>
      </c>
      <c r="S350" s="1" t="s">
        <v>46</v>
      </c>
      <c r="T350" s="1" t="s">
        <v>47</v>
      </c>
      <c r="V350" s="1" t="s">
        <v>49</v>
      </c>
      <c r="W350" s="1" t="s">
        <v>77</v>
      </c>
      <c r="X350" s="1" t="s">
        <v>259</v>
      </c>
      <c r="Y350" s="1" t="s">
        <v>126</v>
      </c>
      <c r="Z350" s="1" t="s">
        <v>618</v>
      </c>
      <c r="AA350" s="1" t="s">
        <v>619</v>
      </c>
      <c r="AB350" s="1" t="s">
        <v>620</v>
      </c>
      <c r="AC350" s="1">
        <v>0</v>
      </c>
      <c r="AD350" s="1" t="s">
        <v>56</v>
      </c>
      <c r="AE350" s="1" t="s">
        <v>83</v>
      </c>
      <c r="AF350" s="1" t="s">
        <v>113</v>
      </c>
      <c r="AG350" s="1" t="s">
        <v>621</v>
      </c>
      <c r="AK350" s="1" t="s">
        <v>86</v>
      </c>
      <c r="AL350" s="1" t="s">
        <v>86</v>
      </c>
      <c r="AM350" s="1">
        <v>1</v>
      </c>
      <c r="AN350" s="1">
        <v>0</v>
      </c>
      <c r="AO350" s="1">
        <f t="shared" si="74"/>
        <v>1</v>
      </c>
    </row>
    <row r="351" spans="1:41" x14ac:dyDescent="0.4">
      <c r="A351" s="1">
        <v>1</v>
      </c>
      <c r="B351" s="1">
        <v>2</v>
      </c>
      <c r="C351" s="1" t="s">
        <v>41</v>
      </c>
      <c r="D351" s="2">
        <v>38966</v>
      </c>
      <c r="E351" s="1">
        <v>249</v>
      </c>
      <c r="F351" s="1">
        <v>6</v>
      </c>
      <c r="G351" s="3">
        <v>0.66274305555555557</v>
      </c>
      <c r="H351" s="3">
        <v>0.67826388888888889</v>
      </c>
      <c r="I351" s="3">
        <v>1.5520833333333317E-2</v>
      </c>
      <c r="J351" s="3">
        <v>1.4618055555555509E-2</v>
      </c>
      <c r="K351" s="5">
        <f t="shared" si="73"/>
        <v>1263</v>
      </c>
      <c r="L351" s="3">
        <v>8.1365740740740877E-3</v>
      </c>
      <c r="N351" s="1" t="s">
        <v>42</v>
      </c>
      <c r="O351" s="1" t="s">
        <v>286</v>
      </c>
      <c r="P351" s="1" t="s">
        <v>44</v>
      </c>
      <c r="Q351" s="1" t="s">
        <v>191</v>
      </c>
      <c r="R351" s="1" t="s">
        <v>191</v>
      </c>
      <c r="S351" s="1" t="s">
        <v>46</v>
      </c>
      <c r="T351" s="1" t="s">
        <v>45</v>
      </c>
      <c r="U351" s="1" t="s">
        <v>66</v>
      </c>
      <c r="V351" s="1" t="s">
        <v>49</v>
      </c>
      <c r="W351" s="1" t="s">
        <v>233</v>
      </c>
      <c r="X351" s="1" t="s">
        <v>567</v>
      </c>
      <c r="Y351" s="1" t="s">
        <v>126</v>
      </c>
      <c r="Z351" s="1" t="s">
        <v>202</v>
      </c>
      <c r="AA351" s="1" t="s">
        <v>397</v>
      </c>
      <c r="AB351" s="1" t="s">
        <v>398</v>
      </c>
      <c r="AC351" s="1">
        <v>0</v>
      </c>
      <c r="AD351" s="1" t="s">
        <v>56</v>
      </c>
      <c r="AE351" s="1" t="s">
        <v>83</v>
      </c>
      <c r="AF351" s="1" t="s">
        <v>163</v>
      </c>
      <c r="AG351" s="1" t="s">
        <v>622</v>
      </c>
      <c r="AH351" s="1" t="s">
        <v>206</v>
      </c>
      <c r="AI351" s="1" t="s">
        <v>71</v>
      </c>
      <c r="AK351" s="1" t="s">
        <v>116</v>
      </c>
      <c r="AL351" s="1" t="s">
        <v>117</v>
      </c>
      <c r="AM351" s="1">
        <v>1</v>
      </c>
      <c r="AN351" s="1">
        <v>0</v>
      </c>
      <c r="AO351" s="1">
        <f t="shared" si="74"/>
        <v>1</v>
      </c>
    </row>
    <row r="352" spans="1:41" x14ac:dyDescent="0.4">
      <c r="A352" s="1">
        <v>1</v>
      </c>
      <c r="B352" s="1">
        <v>2</v>
      </c>
      <c r="C352" s="1" t="s">
        <v>41</v>
      </c>
      <c r="D352" s="2">
        <v>38966</v>
      </c>
      <c r="E352" s="1">
        <v>249</v>
      </c>
      <c r="F352" s="1">
        <v>6.5</v>
      </c>
      <c r="G352" s="3">
        <v>0.68640046296296298</v>
      </c>
      <c r="H352" s="3">
        <v>0.68642361111111105</v>
      </c>
      <c r="I352" s="3">
        <v>2.3148148148077752E-5</v>
      </c>
      <c r="J352" s="3">
        <v>2.3148148148077752E-5</v>
      </c>
      <c r="K352" s="5">
        <f t="shared" si="73"/>
        <v>2</v>
      </c>
      <c r="L352" s="3" t="s">
        <v>120</v>
      </c>
      <c r="N352" s="1" t="s">
        <v>42</v>
      </c>
      <c r="O352" s="1" t="s">
        <v>286</v>
      </c>
      <c r="P352" s="1" t="s">
        <v>44</v>
      </c>
      <c r="Q352" s="1" t="s">
        <v>76</v>
      </c>
      <c r="R352" s="1" t="s">
        <v>76</v>
      </c>
      <c r="S352" s="1" t="s">
        <v>46</v>
      </c>
      <c r="T352" s="1" t="s">
        <v>45</v>
      </c>
      <c r="U352" s="1" t="s">
        <v>92</v>
      </c>
      <c r="AB352" s="1" t="s">
        <v>93</v>
      </c>
      <c r="AC352" s="1">
        <v>1</v>
      </c>
      <c r="AI352" s="1" t="s">
        <v>75</v>
      </c>
      <c r="AK352" s="1" t="s">
        <v>86</v>
      </c>
      <c r="AL352" s="1" t="s">
        <v>133</v>
      </c>
      <c r="AN352" s="1">
        <v>1</v>
      </c>
      <c r="AO352" s="1">
        <f t="shared" si="74"/>
        <v>1</v>
      </c>
    </row>
    <row r="353" spans="1:41" x14ac:dyDescent="0.4">
      <c r="A353" s="1">
        <v>1</v>
      </c>
      <c r="B353" s="1">
        <v>2</v>
      </c>
      <c r="C353" s="1" t="s">
        <v>41</v>
      </c>
      <c r="D353" s="2">
        <v>38968</v>
      </c>
      <c r="E353" s="1">
        <v>251</v>
      </c>
      <c r="F353" s="1">
        <v>1</v>
      </c>
      <c r="G353" s="3">
        <v>0.2744907407407407</v>
      </c>
      <c r="H353" s="3">
        <v>0.27511574074074074</v>
      </c>
      <c r="I353" s="3">
        <v>6.2500000000004219E-4</v>
      </c>
      <c r="J353" s="3">
        <v>3.2407407407414324E-4</v>
      </c>
      <c r="K353" s="5">
        <f t="shared" si="73"/>
        <v>28</v>
      </c>
      <c r="L353" s="3">
        <v>2.3842592592592804E-3</v>
      </c>
      <c r="N353" s="1" t="s">
        <v>75</v>
      </c>
      <c r="O353" s="1" t="s">
        <v>286</v>
      </c>
      <c r="P353" s="1" t="s">
        <v>44</v>
      </c>
      <c r="Q353" s="1" t="s">
        <v>45</v>
      </c>
      <c r="S353" s="1" t="s">
        <v>46</v>
      </c>
      <c r="T353" s="1" t="s">
        <v>76</v>
      </c>
      <c r="U353" s="1" t="s">
        <v>156</v>
      </c>
      <c r="V353" s="1" t="s">
        <v>102</v>
      </c>
      <c r="W353" s="1" t="s">
        <v>103</v>
      </c>
      <c r="X353" s="1" t="s">
        <v>96</v>
      </c>
      <c r="AB353" s="1" t="s">
        <v>104</v>
      </c>
      <c r="AC353" s="1">
        <v>0</v>
      </c>
      <c r="AD353" s="1" t="s">
        <v>105</v>
      </c>
      <c r="AE353" s="1" t="s">
        <v>70</v>
      </c>
      <c r="AG353" s="1" t="s">
        <v>623</v>
      </c>
      <c r="AH353" s="1" t="s">
        <v>157</v>
      </c>
      <c r="AI353" s="1" t="s">
        <v>75</v>
      </c>
      <c r="AK353" s="1" t="s">
        <v>86</v>
      </c>
      <c r="AL353" s="1" t="s">
        <v>87</v>
      </c>
      <c r="AM353" s="1">
        <v>3</v>
      </c>
      <c r="AN353" s="1">
        <v>0</v>
      </c>
      <c r="AO353" s="1">
        <f t="shared" si="74"/>
        <v>3</v>
      </c>
    </row>
    <row r="354" spans="1:41" x14ac:dyDescent="0.4">
      <c r="A354" s="1">
        <v>1</v>
      </c>
      <c r="B354" s="1">
        <v>2</v>
      </c>
      <c r="C354" s="1" t="s">
        <v>41</v>
      </c>
      <c r="D354" s="2">
        <v>38968</v>
      </c>
      <c r="E354" s="1">
        <v>251</v>
      </c>
      <c r="F354" s="1">
        <v>1.1000000000000001</v>
      </c>
      <c r="G354" s="3">
        <v>0.27750000000000002</v>
      </c>
      <c r="H354" s="3">
        <v>0.27809027777777778</v>
      </c>
      <c r="I354" s="3">
        <v>5.9027777777775903E-4</v>
      </c>
      <c r="J354" s="3">
        <v>1.388888888889106E-4</v>
      </c>
      <c r="K354" s="5">
        <f t="shared" si="73"/>
        <v>12</v>
      </c>
      <c r="L354" s="3">
        <v>4.3287037037037068E-2</v>
      </c>
      <c r="N354" s="1" t="s">
        <v>42</v>
      </c>
      <c r="O354" s="1" t="s">
        <v>286</v>
      </c>
      <c r="P354" s="1" t="s">
        <v>44</v>
      </c>
      <c r="Q354" s="1" t="s">
        <v>76</v>
      </c>
      <c r="R354" s="1" t="s">
        <v>76</v>
      </c>
      <c r="S354" s="1" t="s">
        <v>46</v>
      </c>
      <c r="T354" s="1" t="s">
        <v>45</v>
      </c>
      <c r="U354" s="1" t="s">
        <v>156</v>
      </c>
      <c r="AB354" s="1" t="s">
        <v>93</v>
      </c>
      <c r="AC354" s="1">
        <v>1</v>
      </c>
      <c r="AG354" s="1" t="s">
        <v>623</v>
      </c>
      <c r="AI354" s="1" t="s">
        <v>75</v>
      </c>
      <c r="AK354" s="1" t="s">
        <v>86</v>
      </c>
      <c r="AL354" s="1" t="s">
        <v>87</v>
      </c>
      <c r="AM354" s="1">
        <v>3</v>
      </c>
      <c r="AN354" s="1">
        <v>0</v>
      </c>
      <c r="AO354" s="1">
        <f t="shared" si="74"/>
        <v>3</v>
      </c>
    </row>
    <row r="355" spans="1:41" x14ac:dyDescent="0.4">
      <c r="A355" s="1">
        <v>1</v>
      </c>
      <c r="B355" s="1">
        <v>2</v>
      </c>
      <c r="C355" s="1" t="s">
        <v>41</v>
      </c>
      <c r="D355" s="2">
        <v>38968</v>
      </c>
      <c r="E355" s="1">
        <v>251</v>
      </c>
      <c r="F355" s="1">
        <v>1.25</v>
      </c>
      <c r="G355" s="3">
        <v>0.32137731481481485</v>
      </c>
      <c r="H355" s="3">
        <v>0.32429398148148147</v>
      </c>
      <c r="I355" s="3">
        <v>2.916666666666623E-3</v>
      </c>
      <c r="J355" s="3">
        <v>3.0092592592584344E-4</v>
      </c>
      <c r="K355" s="5">
        <f t="shared" si="73"/>
        <v>26</v>
      </c>
      <c r="L355" s="3">
        <v>1.4745370370370325E-2</v>
      </c>
      <c r="N355" s="1" t="s">
        <v>42</v>
      </c>
      <c r="O355" s="1" t="s">
        <v>286</v>
      </c>
      <c r="P355" s="1" t="s">
        <v>44</v>
      </c>
      <c r="Q355" s="1" t="s">
        <v>76</v>
      </c>
      <c r="R355" s="1" t="s">
        <v>76</v>
      </c>
      <c r="S355" s="1" t="s">
        <v>46</v>
      </c>
      <c r="T355" s="1" t="s">
        <v>47</v>
      </c>
      <c r="U355" s="1" t="s">
        <v>92</v>
      </c>
      <c r="AB355" s="1" t="s">
        <v>93</v>
      </c>
      <c r="AC355" s="1">
        <v>1</v>
      </c>
      <c r="AG355" s="1" t="s">
        <v>623</v>
      </c>
      <c r="AI355" s="1" t="s">
        <v>75</v>
      </c>
      <c r="AK355" s="1" t="s">
        <v>86</v>
      </c>
      <c r="AL355" s="1" t="s">
        <v>87</v>
      </c>
      <c r="AM355" s="1">
        <v>3</v>
      </c>
      <c r="AN355" s="1">
        <v>0</v>
      </c>
      <c r="AO355" s="1">
        <f t="shared" si="74"/>
        <v>3</v>
      </c>
    </row>
    <row r="356" spans="1:41" x14ac:dyDescent="0.4">
      <c r="A356" s="1">
        <v>1</v>
      </c>
      <c r="B356" s="1">
        <v>2</v>
      </c>
      <c r="C356" s="1" t="s">
        <v>41</v>
      </c>
      <c r="D356" s="2">
        <v>38968</v>
      </c>
      <c r="E356" s="1">
        <v>251</v>
      </c>
      <c r="F356" s="1">
        <v>1.3</v>
      </c>
      <c r="G356" s="3">
        <v>0.3390393518518518</v>
      </c>
      <c r="H356" s="3">
        <v>0.33906249999999999</v>
      </c>
      <c r="I356" s="3">
        <v>2.3148148148188774E-5</v>
      </c>
      <c r="J356" s="3">
        <v>2.3148148148188774E-5</v>
      </c>
      <c r="K356" s="5">
        <f t="shared" si="73"/>
        <v>2</v>
      </c>
      <c r="L356" s="3">
        <v>1.1111111111111183E-3</v>
      </c>
      <c r="N356" s="1" t="s">
        <v>42</v>
      </c>
      <c r="O356" s="1" t="s">
        <v>286</v>
      </c>
      <c r="P356" s="1" t="s">
        <v>44</v>
      </c>
      <c r="Q356" s="1" t="s">
        <v>76</v>
      </c>
      <c r="R356" s="1" t="s">
        <v>76</v>
      </c>
      <c r="S356" s="1" t="s">
        <v>46</v>
      </c>
      <c r="AB356" s="1" t="s">
        <v>93</v>
      </c>
      <c r="AC356" s="1">
        <v>1</v>
      </c>
      <c r="AG356" s="1" t="s">
        <v>481</v>
      </c>
      <c r="AK356" s="1" t="s">
        <v>61</v>
      </c>
      <c r="AL356" s="1" t="s">
        <v>72</v>
      </c>
      <c r="AM356" s="1">
        <v>6</v>
      </c>
      <c r="AN356" s="1">
        <v>0</v>
      </c>
      <c r="AO356" s="1">
        <f t="shared" si="74"/>
        <v>6</v>
      </c>
    </row>
    <row r="357" spans="1:41" x14ac:dyDescent="0.4">
      <c r="A357" s="1">
        <v>1</v>
      </c>
      <c r="B357" s="1">
        <v>2</v>
      </c>
      <c r="C357" s="1" t="s">
        <v>41</v>
      </c>
      <c r="D357" s="2">
        <v>38968</v>
      </c>
      <c r="E357" s="1">
        <v>251</v>
      </c>
      <c r="F357" s="1">
        <v>1.33</v>
      </c>
      <c r="G357" s="3">
        <v>0.34017361111111111</v>
      </c>
      <c r="H357" s="3">
        <v>0.34019675925925924</v>
      </c>
      <c r="I357" s="3">
        <v>2.3148148148133263E-5</v>
      </c>
      <c r="J357" s="3">
        <v>2.3148148148133263E-5</v>
      </c>
      <c r="K357" s="5">
        <f t="shared" si="73"/>
        <v>2</v>
      </c>
      <c r="L357" s="3">
        <v>7.8935185185184942E-3</v>
      </c>
      <c r="N357" s="1" t="s">
        <v>42</v>
      </c>
      <c r="O357" s="1" t="s">
        <v>286</v>
      </c>
      <c r="P357" s="1" t="s">
        <v>44</v>
      </c>
      <c r="Q357" s="1" t="s">
        <v>191</v>
      </c>
      <c r="R357" s="1" t="s">
        <v>191</v>
      </c>
      <c r="S357" s="1" t="s">
        <v>46</v>
      </c>
      <c r="AB357" s="1" t="s">
        <v>93</v>
      </c>
      <c r="AC357" s="1">
        <v>1</v>
      </c>
      <c r="AG357" s="1" t="s">
        <v>481</v>
      </c>
      <c r="AK357" s="1" t="s">
        <v>61</v>
      </c>
      <c r="AL357" s="1" t="s">
        <v>133</v>
      </c>
      <c r="AM357" s="1">
        <v>6</v>
      </c>
      <c r="AN357" s="1">
        <v>0</v>
      </c>
      <c r="AO357" s="1">
        <f t="shared" si="74"/>
        <v>6</v>
      </c>
    </row>
    <row r="358" spans="1:41" x14ac:dyDescent="0.4">
      <c r="A358" s="1">
        <v>1</v>
      </c>
      <c r="B358" s="1">
        <v>2</v>
      </c>
      <c r="C358" s="1" t="s">
        <v>41</v>
      </c>
      <c r="D358" s="2">
        <v>38968</v>
      </c>
      <c r="E358" s="1">
        <v>251</v>
      </c>
      <c r="F358" s="1">
        <v>1.35</v>
      </c>
      <c r="G358" s="3">
        <v>0.34809027777777773</v>
      </c>
      <c r="H358" s="3">
        <v>0.34866898148148145</v>
      </c>
      <c r="I358" s="3">
        <v>5.7870370370372015E-4</v>
      </c>
      <c r="J358" s="3">
        <v>1.5046296296294948E-4</v>
      </c>
      <c r="K358" s="5">
        <f t="shared" si="73"/>
        <v>13</v>
      </c>
      <c r="L358" s="3">
        <v>3.6921296296296702E-3</v>
      </c>
      <c r="N358" s="1" t="s">
        <v>42</v>
      </c>
      <c r="O358" s="1" t="s">
        <v>286</v>
      </c>
      <c r="P358" s="1" t="s">
        <v>44</v>
      </c>
      <c r="Q358" s="1" t="s">
        <v>76</v>
      </c>
      <c r="R358" s="1" t="s">
        <v>76</v>
      </c>
      <c r="S358" s="1" t="s">
        <v>46</v>
      </c>
      <c r="T358" s="1" t="s">
        <v>45</v>
      </c>
      <c r="U358" s="1" t="s">
        <v>92</v>
      </c>
      <c r="AB358" s="1" t="s">
        <v>93</v>
      </c>
      <c r="AC358" s="1">
        <v>1</v>
      </c>
      <c r="AI358" s="1" t="s">
        <v>75</v>
      </c>
      <c r="AK358" s="1" t="s">
        <v>86</v>
      </c>
      <c r="AL358" s="1" t="s">
        <v>87</v>
      </c>
      <c r="AN358" s="1">
        <v>1</v>
      </c>
      <c r="AO358" s="1">
        <f t="shared" si="74"/>
        <v>1</v>
      </c>
    </row>
    <row r="359" spans="1:41" x14ac:dyDescent="0.4">
      <c r="A359" s="1">
        <v>1</v>
      </c>
      <c r="B359" s="1">
        <v>2</v>
      </c>
      <c r="C359" s="1" t="s">
        <v>41</v>
      </c>
      <c r="D359" s="2">
        <v>38968</v>
      </c>
      <c r="E359" s="1">
        <v>251</v>
      </c>
      <c r="F359" s="1">
        <v>1.5</v>
      </c>
      <c r="G359" s="3">
        <v>0.35236111111111112</v>
      </c>
      <c r="H359" s="3">
        <v>0.36106481481481478</v>
      </c>
      <c r="I359" s="3">
        <v>8.703703703703658E-3</v>
      </c>
      <c r="J359" s="3">
        <v>1.8518518518517713E-4</v>
      </c>
      <c r="K359" s="5">
        <f t="shared" si="73"/>
        <v>16</v>
      </c>
      <c r="L359" s="3">
        <v>2.430555555555558E-2</v>
      </c>
      <c r="N359" s="1" t="s">
        <v>42</v>
      </c>
      <c r="O359" s="1" t="s">
        <v>286</v>
      </c>
      <c r="P359" s="1" t="s">
        <v>44</v>
      </c>
      <c r="Q359" s="1" t="s">
        <v>76</v>
      </c>
      <c r="R359" s="1" t="s">
        <v>76</v>
      </c>
      <c r="S359" s="1" t="s">
        <v>46</v>
      </c>
      <c r="T359" s="1" t="s">
        <v>76</v>
      </c>
      <c r="U359" s="1" t="s">
        <v>92</v>
      </c>
      <c r="V359" s="1" t="s">
        <v>67</v>
      </c>
      <c r="W359" s="1" t="s">
        <v>68</v>
      </c>
      <c r="Y359" s="1" t="s">
        <v>68</v>
      </c>
      <c r="AB359" s="1" t="s">
        <v>69</v>
      </c>
      <c r="AC359" s="1">
        <v>0</v>
      </c>
      <c r="AD359" s="1" t="s">
        <v>68</v>
      </c>
      <c r="AE359" s="1" t="s">
        <v>70</v>
      </c>
      <c r="AF359" s="1" t="s">
        <v>84</v>
      </c>
      <c r="AG359" s="1" t="s">
        <v>595</v>
      </c>
      <c r="AI359" s="1" t="s">
        <v>75</v>
      </c>
      <c r="AK359" s="1" t="s">
        <v>86</v>
      </c>
      <c r="AL359" s="1" t="s">
        <v>87</v>
      </c>
      <c r="AM359" s="1">
        <v>2</v>
      </c>
      <c r="AN359" s="1">
        <v>0</v>
      </c>
      <c r="AO359" s="1">
        <f t="shared" si="74"/>
        <v>2</v>
      </c>
    </row>
    <row r="360" spans="1:41" x14ac:dyDescent="0.4">
      <c r="A360" s="1">
        <v>1</v>
      </c>
      <c r="B360" s="1">
        <v>2</v>
      </c>
      <c r="C360" s="1" t="s">
        <v>41</v>
      </c>
      <c r="D360" s="2">
        <v>38968</v>
      </c>
      <c r="E360" s="1">
        <v>251</v>
      </c>
      <c r="F360" s="1">
        <v>1.75</v>
      </c>
      <c r="G360" s="3">
        <v>0.38537037037037036</v>
      </c>
      <c r="H360" s="3">
        <v>0.38609953703703703</v>
      </c>
      <c r="I360" s="3">
        <v>7.2916666666666963E-4</v>
      </c>
      <c r="J360" s="3">
        <v>7.2916666666666963E-4</v>
      </c>
      <c r="K360" s="5">
        <f t="shared" si="73"/>
        <v>63</v>
      </c>
      <c r="L360" s="3">
        <v>1.063657407407409E-2</v>
      </c>
      <c r="N360" s="1" t="s">
        <v>42</v>
      </c>
      <c r="O360" s="1" t="s">
        <v>286</v>
      </c>
      <c r="P360" s="1" t="s">
        <v>44</v>
      </c>
      <c r="Q360" s="1" t="s">
        <v>76</v>
      </c>
      <c r="R360" s="1" t="s">
        <v>76</v>
      </c>
      <c r="S360" s="1" t="s">
        <v>46</v>
      </c>
      <c r="T360" s="1" t="s">
        <v>76</v>
      </c>
      <c r="U360" s="1" t="s">
        <v>92</v>
      </c>
      <c r="V360" s="1" t="s">
        <v>67</v>
      </c>
      <c r="W360" s="1" t="s">
        <v>68</v>
      </c>
      <c r="X360" s="1" t="s">
        <v>596</v>
      </c>
      <c r="Y360" s="1" t="s">
        <v>303</v>
      </c>
      <c r="AB360" s="1" t="s">
        <v>597</v>
      </c>
      <c r="AC360" s="1">
        <v>0</v>
      </c>
      <c r="AD360" s="1" t="s">
        <v>68</v>
      </c>
      <c r="AE360" s="1" t="s">
        <v>57</v>
      </c>
      <c r="AH360" s="1" t="s">
        <v>157</v>
      </c>
      <c r="AI360" s="1" t="s">
        <v>75</v>
      </c>
      <c r="AK360" s="1" t="s">
        <v>86</v>
      </c>
      <c r="AL360" s="1" t="s">
        <v>133</v>
      </c>
      <c r="AN360" s="1">
        <v>1</v>
      </c>
      <c r="AO360" s="1">
        <f t="shared" si="74"/>
        <v>1</v>
      </c>
    </row>
    <row r="361" spans="1:41" x14ac:dyDescent="0.4">
      <c r="A361" s="1">
        <v>1</v>
      </c>
      <c r="B361" s="1">
        <v>2</v>
      </c>
      <c r="C361" s="1" t="s">
        <v>41</v>
      </c>
      <c r="D361" s="2">
        <v>38968</v>
      </c>
      <c r="E361" s="1">
        <v>251</v>
      </c>
      <c r="F361" s="1">
        <v>1.77</v>
      </c>
      <c r="G361" s="3">
        <v>0.39673611111111112</v>
      </c>
      <c r="H361" s="3">
        <v>0.39695601851851853</v>
      </c>
      <c r="I361" s="3">
        <v>2.1990740740740478E-4</v>
      </c>
      <c r="J361" s="3">
        <v>1.6203703703709937E-4</v>
      </c>
      <c r="K361" s="5">
        <f t="shared" si="73"/>
        <v>14</v>
      </c>
      <c r="L361" s="3">
        <v>4.2476851851852016E-3</v>
      </c>
      <c r="N361" s="1" t="s">
        <v>42</v>
      </c>
      <c r="O361" s="1" t="s">
        <v>286</v>
      </c>
      <c r="P361" s="1" t="s">
        <v>44</v>
      </c>
      <c r="Q361" s="1" t="s">
        <v>76</v>
      </c>
      <c r="R361" s="1" t="s">
        <v>76</v>
      </c>
      <c r="S361" s="1" t="s">
        <v>46</v>
      </c>
      <c r="T361" s="1" t="s">
        <v>76</v>
      </c>
      <c r="U361" s="1" t="s">
        <v>92</v>
      </c>
      <c r="AB361" s="1" t="s">
        <v>93</v>
      </c>
      <c r="AC361" s="1">
        <v>1</v>
      </c>
      <c r="AI361" s="1" t="s">
        <v>75</v>
      </c>
      <c r="AK361" s="1" t="s">
        <v>86</v>
      </c>
      <c r="AL361" s="1" t="s">
        <v>87</v>
      </c>
      <c r="AN361" s="1">
        <v>1</v>
      </c>
      <c r="AO361" s="1">
        <f t="shared" si="74"/>
        <v>1</v>
      </c>
    </row>
    <row r="362" spans="1:41" x14ac:dyDescent="0.4">
      <c r="A362" s="1">
        <v>1</v>
      </c>
      <c r="B362" s="1">
        <v>2</v>
      </c>
      <c r="C362" s="1" t="s">
        <v>41</v>
      </c>
      <c r="D362" s="2">
        <v>38968</v>
      </c>
      <c r="E362" s="1">
        <v>251</v>
      </c>
      <c r="F362" s="1">
        <v>1.8</v>
      </c>
      <c r="G362" s="3">
        <v>0.40120370370370373</v>
      </c>
      <c r="H362" s="3">
        <v>0.40127314814814818</v>
      </c>
      <c r="I362" s="3">
        <v>6.94444444444553E-5</v>
      </c>
      <c r="J362" s="3">
        <v>6.94444444444553E-5</v>
      </c>
      <c r="K362" s="5">
        <f t="shared" si="73"/>
        <v>6</v>
      </c>
      <c r="L362" s="3">
        <v>1.8969907407407394E-2</v>
      </c>
      <c r="N362" s="1" t="s">
        <v>42</v>
      </c>
      <c r="O362" s="1" t="s">
        <v>286</v>
      </c>
      <c r="P362" s="1" t="s">
        <v>44</v>
      </c>
      <c r="Q362" s="1" t="s">
        <v>76</v>
      </c>
      <c r="R362" s="1" t="s">
        <v>76</v>
      </c>
      <c r="S362" s="1" t="s">
        <v>46</v>
      </c>
      <c r="T362" s="1" t="s">
        <v>45</v>
      </c>
      <c r="U362" s="1" t="s">
        <v>156</v>
      </c>
      <c r="AB362" s="1" t="s">
        <v>93</v>
      </c>
      <c r="AC362" s="1">
        <v>1</v>
      </c>
      <c r="AF362" s="1" t="s">
        <v>84</v>
      </c>
      <c r="AI362" s="1" t="s">
        <v>75</v>
      </c>
      <c r="AK362" s="1" t="s">
        <v>61</v>
      </c>
      <c r="AL362" s="1" t="s">
        <v>61</v>
      </c>
      <c r="AN362" s="1">
        <v>1</v>
      </c>
      <c r="AO362" s="1">
        <f t="shared" si="74"/>
        <v>1</v>
      </c>
    </row>
    <row r="363" spans="1:41" x14ac:dyDescent="0.4">
      <c r="A363" s="1">
        <v>1</v>
      </c>
      <c r="B363" s="1">
        <v>2</v>
      </c>
      <c r="C363" s="1" t="s">
        <v>41</v>
      </c>
      <c r="D363" s="2">
        <v>38968</v>
      </c>
      <c r="E363" s="1">
        <v>251</v>
      </c>
      <c r="F363" s="1">
        <v>1.9</v>
      </c>
      <c r="G363" s="3">
        <v>0.42024305555555558</v>
      </c>
      <c r="H363" s="3">
        <v>0.42031249999999998</v>
      </c>
      <c r="I363" s="3">
        <v>6.9444444444399789E-5</v>
      </c>
      <c r="J363" s="3">
        <v>6.9444444444399789E-5</v>
      </c>
      <c r="K363" s="5">
        <f t="shared" si="73"/>
        <v>6</v>
      </c>
      <c r="L363" s="3">
        <v>2.5347222222222299E-3</v>
      </c>
      <c r="N363" s="1" t="s">
        <v>42</v>
      </c>
      <c r="O363" s="1" t="s">
        <v>286</v>
      </c>
      <c r="P363" s="1" t="s">
        <v>44</v>
      </c>
      <c r="Q363" s="1" t="s">
        <v>76</v>
      </c>
      <c r="R363" s="1" t="s">
        <v>76</v>
      </c>
      <c r="S363" s="1" t="s">
        <v>46</v>
      </c>
      <c r="T363" s="1" t="s">
        <v>47</v>
      </c>
      <c r="AB363" s="1" t="s">
        <v>93</v>
      </c>
      <c r="AC363" s="1">
        <v>1</v>
      </c>
      <c r="AF363" s="1" t="s">
        <v>84</v>
      </c>
      <c r="AG363" s="1" t="s">
        <v>624</v>
      </c>
      <c r="AK363" s="1" t="s">
        <v>86</v>
      </c>
      <c r="AL363" s="1" t="s">
        <v>87</v>
      </c>
      <c r="AM363" s="1">
        <v>5</v>
      </c>
      <c r="AN363" s="1">
        <v>0</v>
      </c>
      <c r="AO363" s="1">
        <f t="shared" si="74"/>
        <v>5</v>
      </c>
    </row>
    <row r="364" spans="1:41" x14ac:dyDescent="0.4">
      <c r="A364" s="1">
        <v>1</v>
      </c>
      <c r="B364" s="1">
        <v>2</v>
      </c>
      <c r="C364" s="1" t="s">
        <v>41</v>
      </c>
      <c r="D364" s="2">
        <v>38968</v>
      </c>
      <c r="E364" s="1">
        <v>251</v>
      </c>
      <c r="F364" s="1">
        <v>1.92</v>
      </c>
      <c r="G364" s="3">
        <v>0.42284722222222221</v>
      </c>
      <c r="H364" s="3">
        <v>0.4229282407407407</v>
      </c>
      <c r="I364" s="3">
        <v>8.1018518518494176E-5</v>
      </c>
      <c r="J364" s="3">
        <v>8.1018518518494176E-5</v>
      </c>
      <c r="K364" s="5">
        <f t="shared" si="73"/>
        <v>7</v>
      </c>
      <c r="L364" s="3">
        <v>3.4027777777778101E-3</v>
      </c>
      <c r="N364" s="1" t="s">
        <v>42</v>
      </c>
      <c r="O364" s="1" t="s">
        <v>286</v>
      </c>
      <c r="P364" s="1" t="s">
        <v>44</v>
      </c>
      <c r="Q364" s="1" t="s">
        <v>76</v>
      </c>
      <c r="R364" s="1" t="s">
        <v>76</v>
      </c>
      <c r="S364" s="1" t="s">
        <v>46</v>
      </c>
      <c r="T364" s="1" t="s">
        <v>47</v>
      </c>
      <c r="U364" s="1" t="s">
        <v>92</v>
      </c>
      <c r="AB364" s="1" t="s">
        <v>93</v>
      </c>
      <c r="AC364" s="1">
        <v>1</v>
      </c>
      <c r="AG364" s="1" t="s">
        <v>624</v>
      </c>
      <c r="AI364" s="1" t="s">
        <v>75</v>
      </c>
      <c r="AK364" s="1" t="s">
        <v>86</v>
      </c>
      <c r="AL364" s="1" t="s">
        <v>87</v>
      </c>
      <c r="AM364" s="1">
        <v>5</v>
      </c>
      <c r="AN364" s="1">
        <v>0</v>
      </c>
      <c r="AO364" s="1">
        <f t="shared" si="74"/>
        <v>5</v>
      </c>
    </row>
    <row r="365" spans="1:41" x14ac:dyDescent="0.4">
      <c r="A365" s="1">
        <v>1</v>
      </c>
      <c r="B365" s="1">
        <v>2</v>
      </c>
      <c r="C365" s="1" t="s">
        <v>41</v>
      </c>
      <c r="D365" s="2">
        <v>38968</v>
      </c>
      <c r="E365" s="1">
        <v>251</v>
      </c>
      <c r="F365" s="1">
        <v>1.93</v>
      </c>
      <c r="G365" s="3">
        <v>0.42633101851851851</v>
      </c>
      <c r="H365" s="3">
        <v>0.4264236111111111</v>
      </c>
      <c r="I365" s="3">
        <v>9.2592592592588563E-5</v>
      </c>
      <c r="J365" s="3">
        <v>9.2592592592588563E-5</v>
      </c>
      <c r="K365" s="5">
        <f t="shared" si="73"/>
        <v>8</v>
      </c>
      <c r="L365" s="3">
        <v>1.3703703703703718E-2</v>
      </c>
      <c r="N365" s="1" t="s">
        <v>42</v>
      </c>
      <c r="O365" s="1" t="s">
        <v>286</v>
      </c>
      <c r="P365" s="1" t="s">
        <v>44</v>
      </c>
      <c r="Q365" s="1" t="s">
        <v>91</v>
      </c>
      <c r="R365" s="1" t="s">
        <v>76</v>
      </c>
      <c r="S365" s="1" t="s">
        <v>46</v>
      </c>
      <c r="T365" s="1" t="s">
        <v>47</v>
      </c>
      <c r="U365" s="1" t="s">
        <v>156</v>
      </c>
      <c r="AB365" s="1" t="s">
        <v>93</v>
      </c>
      <c r="AC365" s="1">
        <v>1</v>
      </c>
      <c r="AG365" s="1" t="s">
        <v>624</v>
      </c>
      <c r="AI365" s="1" t="s">
        <v>75</v>
      </c>
      <c r="AK365" s="1" t="s">
        <v>86</v>
      </c>
      <c r="AL365" s="1" t="s">
        <v>87</v>
      </c>
      <c r="AM365" s="1">
        <v>5</v>
      </c>
      <c r="AN365" s="1">
        <v>0</v>
      </c>
      <c r="AO365" s="1">
        <f t="shared" si="74"/>
        <v>5</v>
      </c>
    </row>
    <row r="366" spans="1:41" x14ac:dyDescent="0.4">
      <c r="A366" s="1">
        <v>1</v>
      </c>
      <c r="B366" s="1">
        <v>2</v>
      </c>
      <c r="C366" s="1" t="s">
        <v>41</v>
      </c>
      <c r="D366" s="2">
        <v>38968</v>
      </c>
      <c r="E366" s="1">
        <v>251</v>
      </c>
      <c r="F366" s="1">
        <v>1.94</v>
      </c>
      <c r="G366" s="3">
        <v>0.44012731481481482</v>
      </c>
      <c r="H366" s="3">
        <v>0.44021990740740741</v>
      </c>
      <c r="I366" s="3">
        <v>9.2592592592588563E-5</v>
      </c>
      <c r="J366" s="3">
        <v>9.2592592592588563E-5</v>
      </c>
      <c r="K366" s="5">
        <f t="shared" si="73"/>
        <v>8</v>
      </c>
      <c r="L366" s="3">
        <v>0.15930555555555553</v>
      </c>
      <c r="N366" s="1" t="s">
        <v>42</v>
      </c>
      <c r="O366" s="1" t="s">
        <v>286</v>
      </c>
      <c r="P366" s="1" t="s">
        <v>44</v>
      </c>
      <c r="Q366" s="1" t="s">
        <v>91</v>
      </c>
      <c r="R366" s="1" t="s">
        <v>76</v>
      </c>
      <c r="S366" s="1" t="s">
        <v>46</v>
      </c>
      <c r="T366" s="1" t="s">
        <v>47</v>
      </c>
      <c r="U366" s="1" t="s">
        <v>156</v>
      </c>
      <c r="AB366" s="1" t="s">
        <v>93</v>
      </c>
      <c r="AC366" s="1">
        <v>1</v>
      </c>
      <c r="AG366" s="1" t="s">
        <v>624</v>
      </c>
      <c r="AI366" s="1" t="s">
        <v>75</v>
      </c>
      <c r="AK366" s="1" t="s">
        <v>86</v>
      </c>
      <c r="AL366" s="1" t="s">
        <v>187</v>
      </c>
      <c r="AM366" s="1">
        <v>5</v>
      </c>
      <c r="AN366" s="1">
        <v>0</v>
      </c>
      <c r="AO366" s="1">
        <f t="shared" si="74"/>
        <v>5</v>
      </c>
    </row>
    <row r="367" spans="1:41" x14ac:dyDescent="0.4">
      <c r="A367" s="1">
        <v>1</v>
      </c>
      <c r="B367" s="1">
        <v>2</v>
      </c>
      <c r="C367" s="1" t="s">
        <v>41</v>
      </c>
      <c r="D367" s="2">
        <v>38968</v>
      </c>
      <c r="E367" s="1">
        <v>251</v>
      </c>
      <c r="F367" s="1">
        <v>3</v>
      </c>
      <c r="G367" s="3">
        <v>0.59952546296296294</v>
      </c>
      <c r="H367" s="3">
        <v>0.60067129629629623</v>
      </c>
      <c r="I367" s="3">
        <v>1.1458333333332904E-3</v>
      </c>
      <c r="J367" s="3">
        <v>1.1458333333332904E-3</v>
      </c>
      <c r="K367" s="5">
        <f t="shared" si="73"/>
        <v>99</v>
      </c>
      <c r="L367" s="3">
        <v>1.1412037037037082E-2</v>
      </c>
      <c r="N367" s="1" t="s">
        <v>42</v>
      </c>
      <c r="O367" s="1" t="s">
        <v>286</v>
      </c>
      <c r="P367" s="1" t="s">
        <v>44</v>
      </c>
      <c r="Q367" s="1" t="s">
        <v>76</v>
      </c>
      <c r="R367" s="1" t="s">
        <v>76</v>
      </c>
      <c r="S367" s="1" t="s">
        <v>46</v>
      </c>
      <c r="T367" s="1" t="s">
        <v>76</v>
      </c>
      <c r="U367" s="1" t="s">
        <v>92</v>
      </c>
      <c r="V367" s="1" t="s">
        <v>49</v>
      </c>
      <c r="W367" s="1" t="s">
        <v>77</v>
      </c>
      <c r="X367" s="1" t="s">
        <v>96</v>
      </c>
      <c r="Y367" s="1" t="s">
        <v>376</v>
      </c>
      <c r="Z367" s="1">
        <v>4</v>
      </c>
      <c r="AB367" s="1" t="s">
        <v>625</v>
      </c>
      <c r="AC367" s="1">
        <v>0</v>
      </c>
      <c r="AD367" s="1" t="s">
        <v>56</v>
      </c>
      <c r="AE367" s="1" t="s">
        <v>70</v>
      </c>
      <c r="AG367" s="1" t="s">
        <v>626</v>
      </c>
      <c r="AH367" s="1" t="s">
        <v>59</v>
      </c>
      <c r="AI367" s="1" t="s">
        <v>75</v>
      </c>
      <c r="AK367" s="1" t="s">
        <v>61</v>
      </c>
      <c r="AL367" s="1" t="s">
        <v>61</v>
      </c>
      <c r="AM367" s="1">
        <v>2</v>
      </c>
      <c r="AN367" s="1">
        <v>0</v>
      </c>
      <c r="AO367" s="1">
        <f t="shared" si="74"/>
        <v>2</v>
      </c>
    </row>
    <row r="368" spans="1:41" x14ac:dyDescent="0.4">
      <c r="A368" s="1">
        <v>1</v>
      </c>
      <c r="B368" s="1">
        <v>2</v>
      </c>
      <c r="C368" s="1" t="s">
        <v>41</v>
      </c>
      <c r="D368" s="2">
        <v>38968</v>
      </c>
      <c r="E368" s="1">
        <v>251</v>
      </c>
      <c r="F368" s="1">
        <v>4</v>
      </c>
      <c r="G368" s="3">
        <v>0.61208333333333331</v>
      </c>
      <c r="H368" s="3">
        <v>0.61534722222222216</v>
      </c>
      <c r="I368" s="3">
        <v>3.263888888888844E-3</v>
      </c>
      <c r="J368" s="3">
        <v>2.5810185185184409E-3</v>
      </c>
      <c r="K368" s="5">
        <f t="shared" si="73"/>
        <v>223</v>
      </c>
      <c r="L368" s="3">
        <v>4.2858796296296298E-2</v>
      </c>
      <c r="N368" s="1" t="s">
        <v>42</v>
      </c>
      <c r="O368" s="1" t="s">
        <v>286</v>
      </c>
      <c r="P368" s="1" t="s">
        <v>44</v>
      </c>
      <c r="Q368" s="1" t="s">
        <v>76</v>
      </c>
      <c r="R368" s="1" t="s">
        <v>191</v>
      </c>
      <c r="S368" s="1" t="s">
        <v>46</v>
      </c>
      <c r="T368" s="1" t="s">
        <v>47</v>
      </c>
      <c r="U368" s="1" t="s">
        <v>156</v>
      </c>
      <c r="V368" s="1" t="s">
        <v>49</v>
      </c>
      <c r="W368" s="1" t="s">
        <v>50</v>
      </c>
      <c r="X368" s="1" t="s">
        <v>627</v>
      </c>
      <c r="Y368" s="1" t="s">
        <v>219</v>
      </c>
      <c r="Z368" s="1" t="s">
        <v>628</v>
      </c>
      <c r="AA368" s="1" t="s">
        <v>629</v>
      </c>
      <c r="AB368" s="1" t="s">
        <v>630</v>
      </c>
      <c r="AC368" s="1">
        <v>0</v>
      </c>
      <c r="AD368" s="1" t="s">
        <v>56</v>
      </c>
      <c r="AE368" s="1" t="s">
        <v>83</v>
      </c>
      <c r="AF368" s="1" t="s">
        <v>153</v>
      </c>
      <c r="AG368" s="1" t="s">
        <v>631</v>
      </c>
      <c r="AH368" s="1" t="s">
        <v>115</v>
      </c>
      <c r="AI368" s="1" t="s">
        <v>75</v>
      </c>
      <c r="AK368" s="1" t="s">
        <v>86</v>
      </c>
      <c r="AL368" s="1" t="s">
        <v>133</v>
      </c>
      <c r="AM368" s="1">
        <v>7</v>
      </c>
      <c r="AN368" s="1">
        <v>0</v>
      </c>
      <c r="AO368" s="1">
        <f t="shared" si="74"/>
        <v>7</v>
      </c>
    </row>
    <row r="369" spans="1:41" x14ac:dyDescent="0.4">
      <c r="A369" s="1">
        <v>1</v>
      </c>
      <c r="B369" s="1">
        <v>2</v>
      </c>
      <c r="C369" s="1" t="s">
        <v>41</v>
      </c>
      <c r="D369" s="2">
        <v>38968</v>
      </c>
      <c r="E369" s="1">
        <v>251</v>
      </c>
      <c r="F369" s="1">
        <v>6</v>
      </c>
      <c r="G369" s="3">
        <v>0.65820601851851845</v>
      </c>
      <c r="H369" s="3">
        <v>0.66048611111111111</v>
      </c>
      <c r="I369" s="3">
        <v>2.280092592592653E-3</v>
      </c>
      <c r="J369" s="3">
        <v>2.1296296296297035E-3</v>
      </c>
      <c r="K369" s="5">
        <f t="shared" si="73"/>
        <v>184</v>
      </c>
      <c r="L369" s="3">
        <v>2.9513888888889062E-3</v>
      </c>
      <c r="N369" s="1" t="s">
        <v>42</v>
      </c>
      <c r="O369" s="1" t="s">
        <v>286</v>
      </c>
      <c r="P369" s="1" t="s">
        <v>44</v>
      </c>
      <c r="Q369" s="1" t="s">
        <v>76</v>
      </c>
      <c r="R369" s="1" t="s">
        <v>76</v>
      </c>
      <c r="S369" s="1" t="s">
        <v>46</v>
      </c>
      <c r="T369" s="1" t="s">
        <v>45</v>
      </c>
      <c r="U369" s="1" t="s">
        <v>156</v>
      </c>
      <c r="V369" s="1" t="s">
        <v>49</v>
      </c>
      <c r="W369" s="1" t="s">
        <v>383</v>
      </c>
      <c r="X369" s="1" t="s">
        <v>599</v>
      </c>
      <c r="Y369" s="1" t="s">
        <v>600</v>
      </c>
      <c r="Z369" s="1" t="s">
        <v>601</v>
      </c>
      <c r="AA369" s="1" t="s">
        <v>602</v>
      </c>
      <c r="AB369" s="1" t="s">
        <v>603</v>
      </c>
      <c r="AC369" s="1">
        <v>0</v>
      </c>
      <c r="AD369" s="1" t="s">
        <v>56</v>
      </c>
      <c r="AE369" s="1" t="s">
        <v>83</v>
      </c>
      <c r="AG369" s="1" t="s">
        <v>608</v>
      </c>
      <c r="AH369" s="1" t="s">
        <v>59</v>
      </c>
      <c r="AI369" s="1" t="s">
        <v>75</v>
      </c>
      <c r="AK369" s="1" t="s">
        <v>86</v>
      </c>
      <c r="AL369" s="1" t="s">
        <v>87</v>
      </c>
      <c r="AM369" s="1">
        <v>3</v>
      </c>
      <c r="AN369" s="1">
        <v>0</v>
      </c>
      <c r="AO369" s="1">
        <f t="shared" si="74"/>
        <v>3</v>
      </c>
    </row>
    <row r="370" spans="1:41" x14ac:dyDescent="0.4">
      <c r="A370" s="1">
        <v>1</v>
      </c>
      <c r="B370" s="1">
        <v>2</v>
      </c>
      <c r="C370" s="1" t="s">
        <v>41</v>
      </c>
      <c r="D370" s="2">
        <v>38968</v>
      </c>
      <c r="E370" s="1">
        <v>251</v>
      </c>
      <c r="F370" s="1">
        <v>6.25</v>
      </c>
      <c r="G370" s="3">
        <v>0.66343750000000001</v>
      </c>
      <c r="H370" s="3">
        <v>0.66346064814814809</v>
      </c>
      <c r="I370" s="3">
        <v>2.3148148148077752E-5</v>
      </c>
      <c r="J370" s="3">
        <v>2.3148148148077752E-5</v>
      </c>
      <c r="K370" s="5">
        <f t="shared" si="73"/>
        <v>2</v>
      </c>
      <c r="L370" s="3">
        <v>1.7337962962963083E-2</v>
      </c>
      <c r="N370" s="1" t="s">
        <v>42</v>
      </c>
      <c r="O370" s="1" t="s">
        <v>286</v>
      </c>
      <c r="P370" s="1" t="s">
        <v>44</v>
      </c>
      <c r="Q370" s="1" t="s">
        <v>76</v>
      </c>
      <c r="R370" s="1" t="s">
        <v>76</v>
      </c>
      <c r="S370" s="1" t="s">
        <v>46</v>
      </c>
      <c r="AB370" s="1" t="s">
        <v>93</v>
      </c>
      <c r="AC370" s="1">
        <v>1</v>
      </c>
      <c r="AK370" s="1" t="s">
        <v>86</v>
      </c>
      <c r="AL370" s="1" t="s">
        <v>86</v>
      </c>
      <c r="AN370" s="1">
        <v>1</v>
      </c>
      <c r="AO370" s="1">
        <f t="shared" si="74"/>
        <v>1</v>
      </c>
    </row>
    <row r="371" spans="1:41" x14ac:dyDescent="0.4">
      <c r="A371" s="1">
        <v>1</v>
      </c>
      <c r="B371" s="1">
        <v>2</v>
      </c>
      <c r="C371" s="1" t="s">
        <v>41</v>
      </c>
      <c r="D371" s="2">
        <v>38968</v>
      </c>
      <c r="E371" s="1">
        <v>251</v>
      </c>
      <c r="F371" s="1">
        <v>7</v>
      </c>
      <c r="G371" s="3">
        <v>0.68079861111111117</v>
      </c>
      <c r="H371" s="3">
        <v>0.68141203703703701</v>
      </c>
      <c r="I371" s="3">
        <v>6.1342592592583678E-4</v>
      </c>
      <c r="J371" s="3">
        <v>6.1342592592583678E-4</v>
      </c>
      <c r="K371" s="5">
        <f t="shared" si="73"/>
        <v>53</v>
      </c>
      <c r="L371" s="3">
        <v>5.3125000000000533E-3</v>
      </c>
      <c r="N371" s="1" t="s">
        <v>42</v>
      </c>
      <c r="O371" s="1" t="s">
        <v>286</v>
      </c>
      <c r="P371" s="1" t="s">
        <v>44</v>
      </c>
      <c r="Q371" s="1" t="s">
        <v>76</v>
      </c>
      <c r="R371" s="1" t="s">
        <v>191</v>
      </c>
      <c r="S371" s="1" t="s">
        <v>46</v>
      </c>
      <c r="T371" s="1" t="s">
        <v>47</v>
      </c>
      <c r="U371" s="1" t="s">
        <v>66</v>
      </c>
      <c r="V371" s="1" t="s">
        <v>102</v>
      </c>
      <c r="W371" s="1" t="s">
        <v>103</v>
      </c>
      <c r="X371" s="1" t="s">
        <v>96</v>
      </c>
      <c r="Y371" s="1" t="s">
        <v>247</v>
      </c>
      <c r="Z371" s="1" t="s">
        <v>248</v>
      </c>
      <c r="AA371" s="1">
        <v>68</v>
      </c>
      <c r="AB371" s="1" t="s">
        <v>632</v>
      </c>
      <c r="AC371" s="1">
        <v>0</v>
      </c>
      <c r="AD371" s="1" t="s">
        <v>56</v>
      </c>
      <c r="AE371" s="1" t="s">
        <v>70</v>
      </c>
      <c r="AG371" s="1" t="s">
        <v>633</v>
      </c>
      <c r="AH371" s="1" t="s">
        <v>157</v>
      </c>
      <c r="AI371" s="1" t="s">
        <v>71</v>
      </c>
      <c r="AK371" s="1" t="s">
        <v>86</v>
      </c>
      <c r="AL371" s="1" t="s">
        <v>133</v>
      </c>
      <c r="AM371" s="1">
        <v>2</v>
      </c>
      <c r="AN371" s="1">
        <v>0</v>
      </c>
      <c r="AO371" s="1">
        <f t="shared" si="74"/>
        <v>2</v>
      </c>
    </row>
    <row r="372" spans="1:41" x14ac:dyDescent="0.4">
      <c r="A372" s="1">
        <v>1</v>
      </c>
      <c r="B372" s="1">
        <v>2</v>
      </c>
      <c r="C372" s="1" t="s">
        <v>41</v>
      </c>
      <c r="D372" s="2">
        <v>38968</v>
      </c>
      <c r="E372" s="1">
        <v>251</v>
      </c>
      <c r="F372" s="1">
        <v>8</v>
      </c>
      <c r="G372" s="3">
        <v>0.68672453703703706</v>
      </c>
      <c r="H372" s="3">
        <v>0.69282407407407398</v>
      </c>
      <c r="I372" s="3">
        <v>6.0995370370369173E-3</v>
      </c>
      <c r="J372" s="3">
        <v>6.0995370370369173E-3</v>
      </c>
      <c r="K372" s="5">
        <f t="shared" si="73"/>
        <v>527</v>
      </c>
      <c r="L372" s="3">
        <v>3.958333333333508E-3</v>
      </c>
      <c r="N372" s="1" t="s">
        <v>42</v>
      </c>
      <c r="O372" s="1" t="s">
        <v>286</v>
      </c>
      <c r="P372" s="1" t="s">
        <v>44</v>
      </c>
      <c r="Q372" s="1" t="s">
        <v>76</v>
      </c>
      <c r="R372" s="1" t="s">
        <v>76</v>
      </c>
      <c r="S372" s="1" t="s">
        <v>46</v>
      </c>
      <c r="T372" s="1" t="s">
        <v>47</v>
      </c>
      <c r="U372" s="1" t="s">
        <v>48</v>
      </c>
      <c r="V372" s="1" t="s">
        <v>49</v>
      </c>
      <c r="W372" s="1" t="s">
        <v>634</v>
      </c>
      <c r="X372" s="1" t="s">
        <v>635</v>
      </c>
      <c r="Y372" s="1" t="s">
        <v>385</v>
      </c>
      <c r="Z372" s="1" t="s">
        <v>636</v>
      </c>
      <c r="AA372" s="1" t="s">
        <v>221</v>
      </c>
      <c r="AB372" s="1" t="s">
        <v>637</v>
      </c>
      <c r="AC372" s="1">
        <v>0</v>
      </c>
      <c r="AD372" s="1" t="s">
        <v>105</v>
      </c>
      <c r="AE372" s="1" t="s">
        <v>83</v>
      </c>
      <c r="AF372" s="1" t="s">
        <v>113</v>
      </c>
      <c r="AG372" s="1" t="s">
        <v>638</v>
      </c>
      <c r="AH372" s="1" t="s">
        <v>115</v>
      </c>
      <c r="AI372" s="1" t="s">
        <v>60</v>
      </c>
      <c r="AK372" s="1" t="s">
        <v>86</v>
      </c>
      <c r="AL372" s="1" t="s">
        <v>133</v>
      </c>
      <c r="AM372" s="1">
        <v>2</v>
      </c>
      <c r="AN372" s="1">
        <v>0</v>
      </c>
      <c r="AO372" s="1">
        <f t="shared" si="74"/>
        <v>2</v>
      </c>
    </row>
    <row r="373" spans="1:41" x14ac:dyDescent="0.4">
      <c r="A373" s="1">
        <v>1</v>
      </c>
      <c r="B373" s="1">
        <v>2</v>
      </c>
      <c r="C373" s="1" t="s">
        <v>41</v>
      </c>
      <c r="D373" s="2">
        <v>38968</v>
      </c>
      <c r="E373" s="1">
        <v>251</v>
      </c>
      <c r="F373" s="1">
        <v>9</v>
      </c>
      <c r="G373" s="3">
        <v>0.69678240740740749</v>
      </c>
      <c r="H373" s="3">
        <v>0.69868055555555564</v>
      </c>
      <c r="I373" s="3">
        <v>1.8981481481481488E-3</v>
      </c>
      <c r="J373" s="3">
        <v>1.8981481481481488E-3</v>
      </c>
      <c r="K373" s="5">
        <f t="shared" si="73"/>
        <v>164</v>
      </c>
      <c r="L373" s="3">
        <v>4.0624999999999689E-3</v>
      </c>
      <c r="N373" s="1" t="s">
        <v>42</v>
      </c>
      <c r="O373" s="1" t="s">
        <v>286</v>
      </c>
      <c r="P373" s="1" t="s">
        <v>44</v>
      </c>
      <c r="Q373" s="1" t="s">
        <v>76</v>
      </c>
      <c r="R373" s="1" t="s">
        <v>76</v>
      </c>
      <c r="S373" s="1" t="s">
        <v>46</v>
      </c>
      <c r="T373" s="1" t="s">
        <v>47</v>
      </c>
      <c r="X373" s="1" t="s">
        <v>313</v>
      </c>
      <c r="AB373" s="1" t="s">
        <v>93</v>
      </c>
      <c r="AC373" s="1">
        <v>1</v>
      </c>
      <c r="AD373" s="1" t="s">
        <v>105</v>
      </c>
      <c r="AG373" s="1" t="s">
        <v>639</v>
      </c>
      <c r="AH373" s="1" t="s">
        <v>157</v>
      </c>
      <c r="AK373" s="1" t="s">
        <v>61</v>
      </c>
      <c r="AL373" s="1" t="s">
        <v>61</v>
      </c>
      <c r="AM373" s="1">
        <v>1</v>
      </c>
      <c r="AN373" s="1">
        <v>0</v>
      </c>
      <c r="AO373" s="1">
        <f t="shared" si="74"/>
        <v>1</v>
      </c>
    </row>
    <row r="374" spans="1:41" x14ac:dyDescent="0.4">
      <c r="A374" s="1">
        <v>1</v>
      </c>
      <c r="B374" s="1">
        <v>2</v>
      </c>
      <c r="C374" s="1" t="s">
        <v>41</v>
      </c>
      <c r="D374" s="2">
        <v>38968</v>
      </c>
      <c r="E374" s="1">
        <v>251</v>
      </c>
      <c r="F374" s="1">
        <v>10</v>
      </c>
      <c r="G374" s="3">
        <v>0.70274305555555561</v>
      </c>
      <c r="H374" s="3">
        <v>0.7033449074074074</v>
      </c>
      <c r="I374" s="3">
        <v>6.018518518517979E-4</v>
      </c>
      <c r="J374" s="3">
        <v>6.018518518517979E-4</v>
      </c>
      <c r="K374" s="5">
        <f t="shared" si="73"/>
        <v>52</v>
      </c>
      <c r="L374" s="3">
        <v>3.1365740740740833E-3</v>
      </c>
      <c r="N374" s="1" t="s">
        <v>42</v>
      </c>
      <c r="O374" s="1" t="s">
        <v>286</v>
      </c>
      <c r="P374" s="1" t="s">
        <v>44</v>
      </c>
      <c r="Q374" s="1" t="s">
        <v>76</v>
      </c>
      <c r="R374" s="1" t="s">
        <v>76</v>
      </c>
      <c r="S374" s="1" t="s">
        <v>46</v>
      </c>
      <c r="T374" s="1" t="s">
        <v>47</v>
      </c>
      <c r="V374" s="1" t="s">
        <v>49</v>
      </c>
      <c r="W374" s="1" t="s">
        <v>50</v>
      </c>
      <c r="X374" s="1" t="s">
        <v>627</v>
      </c>
      <c r="Y374" s="1" t="s">
        <v>219</v>
      </c>
      <c r="Z374" s="1" t="s">
        <v>628</v>
      </c>
      <c r="AA374" s="1" t="s">
        <v>629</v>
      </c>
      <c r="AB374" s="1" t="s">
        <v>630</v>
      </c>
      <c r="AC374" s="1">
        <v>0</v>
      </c>
      <c r="AD374" s="1" t="s">
        <v>56</v>
      </c>
      <c r="AE374" s="1" t="s">
        <v>83</v>
      </c>
      <c r="AF374" s="1" t="s">
        <v>113</v>
      </c>
      <c r="AG374" s="1" t="s">
        <v>640</v>
      </c>
      <c r="AH374" s="1" t="s">
        <v>115</v>
      </c>
      <c r="AK374" s="1" t="s">
        <v>116</v>
      </c>
      <c r="AL374" s="1" t="s">
        <v>174</v>
      </c>
      <c r="AM374" s="1">
        <v>1</v>
      </c>
      <c r="AN374" s="1">
        <v>0</v>
      </c>
      <c r="AO374" s="1">
        <f t="shared" si="74"/>
        <v>1</v>
      </c>
    </row>
    <row r="375" spans="1:41" x14ac:dyDescent="0.4">
      <c r="A375" s="1">
        <v>1</v>
      </c>
      <c r="B375" s="1">
        <v>2</v>
      </c>
      <c r="C375" s="1" t="s">
        <v>41</v>
      </c>
      <c r="D375" s="2">
        <v>38968</v>
      </c>
      <c r="E375" s="1">
        <v>251</v>
      </c>
      <c r="F375" s="1">
        <v>11</v>
      </c>
      <c r="G375" s="3">
        <v>0.70648148148148149</v>
      </c>
      <c r="H375" s="3">
        <v>0.71612268518518529</v>
      </c>
      <c r="I375" s="3">
        <v>9.6412037037038045E-3</v>
      </c>
      <c r="J375" s="3">
        <v>9.5254629629629717E-3</v>
      </c>
      <c r="K375" s="5">
        <f t="shared" si="73"/>
        <v>823</v>
      </c>
      <c r="L375" s="3">
        <v>7.1296296296294859E-3</v>
      </c>
      <c r="N375" s="1" t="s">
        <v>42</v>
      </c>
      <c r="O375" s="1" t="s">
        <v>286</v>
      </c>
      <c r="P375" s="1" t="s">
        <v>44</v>
      </c>
      <c r="Q375" s="1" t="s">
        <v>76</v>
      </c>
      <c r="R375" s="1" t="s">
        <v>76</v>
      </c>
      <c r="S375" s="1" t="s">
        <v>46</v>
      </c>
      <c r="T375" s="1" t="s">
        <v>47</v>
      </c>
      <c r="U375" s="1" t="s">
        <v>48</v>
      </c>
      <c r="V375" s="1" t="s">
        <v>102</v>
      </c>
      <c r="W375" s="1" t="s">
        <v>184</v>
      </c>
      <c r="X375" s="1" t="s">
        <v>96</v>
      </c>
      <c r="Y375" s="1" t="s">
        <v>415</v>
      </c>
      <c r="Z375" s="1" t="s">
        <v>416</v>
      </c>
      <c r="AA375" s="1">
        <v>44</v>
      </c>
      <c r="AB375" s="1" t="s">
        <v>417</v>
      </c>
      <c r="AC375" s="1">
        <v>0</v>
      </c>
      <c r="AD375" s="1" t="s">
        <v>105</v>
      </c>
      <c r="AE375" s="1" t="s">
        <v>70</v>
      </c>
      <c r="AF375" s="1" t="s">
        <v>113</v>
      </c>
      <c r="AG375" s="1" t="s">
        <v>532</v>
      </c>
      <c r="AH375" s="1" t="s">
        <v>157</v>
      </c>
      <c r="AI375" s="1" t="s">
        <v>60</v>
      </c>
      <c r="AK375" s="1" t="s">
        <v>116</v>
      </c>
      <c r="AL375" s="1" t="s">
        <v>117</v>
      </c>
      <c r="AM375" s="1">
        <v>3</v>
      </c>
      <c r="AN375" s="1">
        <v>0</v>
      </c>
      <c r="AO375" s="1">
        <f t="shared" si="74"/>
        <v>3</v>
      </c>
    </row>
    <row r="376" spans="1:41" x14ac:dyDescent="0.4">
      <c r="A376" s="1">
        <v>1</v>
      </c>
      <c r="B376" s="1">
        <v>2</v>
      </c>
      <c r="C376" s="1" t="s">
        <v>41</v>
      </c>
      <c r="D376" s="2">
        <v>38968</v>
      </c>
      <c r="E376" s="1">
        <v>251</v>
      </c>
      <c r="F376" s="1">
        <v>14</v>
      </c>
      <c r="G376" s="3">
        <v>0.72325231481481478</v>
      </c>
      <c r="H376" s="3">
        <v>0.72504629629629624</v>
      </c>
      <c r="I376" s="3">
        <v>1.7939814814814659E-3</v>
      </c>
      <c r="J376" s="3">
        <v>1.284722222222201E-3</v>
      </c>
      <c r="K376" s="5">
        <f t="shared" si="73"/>
        <v>111</v>
      </c>
      <c r="L376" s="3">
        <v>0</v>
      </c>
      <c r="N376" s="1" t="s">
        <v>42</v>
      </c>
      <c r="O376" s="1" t="s">
        <v>286</v>
      </c>
      <c r="P376" s="1" t="s">
        <v>44</v>
      </c>
      <c r="Q376" s="1" t="s">
        <v>76</v>
      </c>
      <c r="R376" s="1" t="s">
        <v>76</v>
      </c>
      <c r="S376" s="1" t="s">
        <v>46</v>
      </c>
      <c r="T376" s="1" t="s">
        <v>76</v>
      </c>
      <c r="U376" s="1" t="s">
        <v>92</v>
      </c>
      <c r="V376" s="1" t="s">
        <v>102</v>
      </c>
      <c r="W376" s="1" t="s">
        <v>103</v>
      </c>
      <c r="X376" s="1" t="s">
        <v>96</v>
      </c>
      <c r="Y376" s="1" t="s">
        <v>528</v>
      </c>
      <c r="Z376" s="1" t="s">
        <v>529</v>
      </c>
      <c r="AA376" s="1" t="s">
        <v>530</v>
      </c>
      <c r="AB376" s="1" t="s">
        <v>641</v>
      </c>
      <c r="AC376" s="1">
        <v>0</v>
      </c>
      <c r="AD376" s="1" t="s">
        <v>56</v>
      </c>
      <c r="AE376" s="1" t="s">
        <v>70</v>
      </c>
      <c r="AF376" s="1" t="s">
        <v>113</v>
      </c>
      <c r="AG376" s="1" t="s">
        <v>642</v>
      </c>
      <c r="AH376" s="1" t="s">
        <v>157</v>
      </c>
      <c r="AI376" s="1" t="s">
        <v>122</v>
      </c>
      <c r="AJ376" s="1" t="s">
        <v>147</v>
      </c>
      <c r="AK376" s="1" t="s">
        <v>116</v>
      </c>
      <c r="AL376" s="1" t="s">
        <v>116</v>
      </c>
      <c r="AM376" s="1">
        <v>1</v>
      </c>
      <c r="AN376" s="1">
        <v>0</v>
      </c>
      <c r="AO376" s="1">
        <f t="shared" si="74"/>
        <v>1</v>
      </c>
    </row>
    <row r="377" spans="1:41" x14ac:dyDescent="0.4">
      <c r="A377" s="1">
        <v>1</v>
      </c>
      <c r="B377" s="1">
        <v>2</v>
      </c>
      <c r="C377" s="1" t="s">
        <v>41</v>
      </c>
      <c r="D377" s="2">
        <v>38968</v>
      </c>
      <c r="E377" s="1">
        <v>251</v>
      </c>
      <c r="F377" s="1">
        <v>15</v>
      </c>
      <c r="G377" s="3">
        <v>0.72504629629629624</v>
      </c>
      <c r="H377" s="3">
        <v>0.72524305555555557</v>
      </c>
      <c r="I377" s="3">
        <v>1.9675925925932702E-4</v>
      </c>
      <c r="J377" s="3">
        <v>1.9675925925932702E-4</v>
      </c>
      <c r="K377" s="5">
        <f t="shared" si="73"/>
        <v>17</v>
      </c>
      <c r="L377" s="3" t="s">
        <v>120</v>
      </c>
      <c r="N377" s="1" t="s">
        <v>42</v>
      </c>
      <c r="O377" s="1" t="s">
        <v>286</v>
      </c>
      <c r="P377" s="1" t="s">
        <v>44</v>
      </c>
      <c r="Q377" s="1" t="s">
        <v>76</v>
      </c>
      <c r="R377" s="1" t="s">
        <v>76</v>
      </c>
      <c r="S377" s="1" t="s">
        <v>46</v>
      </c>
      <c r="T377" s="1" t="s">
        <v>45</v>
      </c>
      <c r="U377" s="1" t="s">
        <v>92</v>
      </c>
      <c r="V377" s="1" t="s">
        <v>49</v>
      </c>
      <c r="W377" s="1" t="s">
        <v>77</v>
      </c>
      <c r="X377" s="1" t="s">
        <v>643</v>
      </c>
      <c r="Y377" s="1" t="s">
        <v>528</v>
      </c>
      <c r="Z377" s="1" t="s">
        <v>529</v>
      </c>
      <c r="AA377" s="1" t="s">
        <v>530</v>
      </c>
      <c r="AB377" s="1" t="s">
        <v>531</v>
      </c>
      <c r="AC377" s="1">
        <v>0</v>
      </c>
      <c r="AD377" s="1" t="s">
        <v>56</v>
      </c>
      <c r="AE377" s="1" t="s">
        <v>181</v>
      </c>
      <c r="AG377" s="1" t="s">
        <v>644</v>
      </c>
      <c r="AH377" s="1" t="s">
        <v>115</v>
      </c>
      <c r="AI377" s="1" t="s">
        <v>122</v>
      </c>
      <c r="AK377" s="1" t="s">
        <v>86</v>
      </c>
      <c r="AL377" s="1" t="s">
        <v>87</v>
      </c>
      <c r="AM377" s="1">
        <v>1</v>
      </c>
      <c r="AN377" s="1">
        <v>0</v>
      </c>
      <c r="AO377" s="1">
        <f t="shared" si="74"/>
        <v>1</v>
      </c>
    </row>
    <row r="378" spans="1:41" x14ac:dyDescent="0.4">
      <c r="A378" s="1">
        <v>1</v>
      </c>
      <c r="B378" s="1">
        <v>2</v>
      </c>
      <c r="C378" s="1" t="s">
        <v>41</v>
      </c>
      <c r="D378" s="2">
        <v>38982</v>
      </c>
      <c r="E378" s="1">
        <v>265</v>
      </c>
      <c r="F378" s="1">
        <v>0.5</v>
      </c>
      <c r="G378" s="3">
        <v>0.26490740740740742</v>
      </c>
      <c r="H378" s="3">
        <v>0.26491898148148146</v>
      </c>
      <c r="I378" s="3">
        <v>1.1574074074038876E-5</v>
      </c>
      <c r="J378" s="3">
        <v>1.1574074074038876E-5</v>
      </c>
      <c r="K378" s="5">
        <f t="shared" si="73"/>
        <v>1</v>
      </c>
      <c r="L378" s="3">
        <v>2.2326388888888937E-2</v>
      </c>
      <c r="N378" s="1" t="s">
        <v>75</v>
      </c>
      <c r="O378" s="1" t="s">
        <v>286</v>
      </c>
      <c r="P378" s="1" t="s">
        <v>44</v>
      </c>
      <c r="Q378" s="1" t="s">
        <v>76</v>
      </c>
      <c r="R378" s="1" t="s">
        <v>76</v>
      </c>
      <c r="S378" s="1" t="s">
        <v>46</v>
      </c>
      <c r="AB378" s="1" t="s">
        <v>93</v>
      </c>
      <c r="AC378" s="1">
        <v>1</v>
      </c>
      <c r="AK378" s="1" t="s">
        <v>86</v>
      </c>
      <c r="AL378" s="1" t="s">
        <v>86</v>
      </c>
      <c r="AN378" s="1">
        <v>1</v>
      </c>
      <c r="AO378" s="1">
        <f t="shared" si="74"/>
        <v>1</v>
      </c>
    </row>
    <row r="379" spans="1:41" x14ac:dyDescent="0.4">
      <c r="A379" s="1">
        <v>1</v>
      </c>
      <c r="B379" s="1">
        <v>2</v>
      </c>
      <c r="C379" s="1" t="s">
        <v>41</v>
      </c>
      <c r="D379" s="2">
        <v>38982</v>
      </c>
      <c r="E379" s="1">
        <v>265</v>
      </c>
      <c r="F379" s="1">
        <v>0.75</v>
      </c>
      <c r="G379" s="3">
        <v>0.2872453703703704</v>
      </c>
      <c r="H379" s="3">
        <v>0.28725694444444444</v>
      </c>
      <c r="I379" s="3">
        <v>1.1574074074038876E-5</v>
      </c>
      <c r="J379" s="3">
        <v>1.1574074074038876E-5</v>
      </c>
      <c r="K379" s="5">
        <f t="shared" si="73"/>
        <v>1</v>
      </c>
      <c r="L379" s="3">
        <v>9.4444444444444775E-3</v>
      </c>
      <c r="N379" s="1" t="s">
        <v>75</v>
      </c>
      <c r="O379" s="1" t="s">
        <v>286</v>
      </c>
      <c r="P379" s="1" t="s">
        <v>44</v>
      </c>
      <c r="Q379" s="1" t="s">
        <v>76</v>
      </c>
      <c r="R379" s="1" t="s">
        <v>191</v>
      </c>
      <c r="S379" s="1" t="s">
        <v>46</v>
      </c>
      <c r="AB379" s="1" t="s">
        <v>93</v>
      </c>
      <c r="AC379" s="1">
        <v>1</v>
      </c>
      <c r="AK379" s="1" t="s">
        <v>61</v>
      </c>
      <c r="AL379" s="1" t="s">
        <v>133</v>
      </c>
      <c r="AN379" s="1">
        <v>1</v>
      </c>
      <c r="AO379" s="1">
        <f t="shared" si="74"/>
        <v>1</v>
      </c>
    </row>
    <row r="380" spans="1:41" x14ac:dyDescent="0.4">
      <c r="A380" s="1">
        <v>1</v>
      </c>
      <c r="B380" s="1">
        <v>2</v>
      </c>
      <c r="C380" s="1" t="s">
        <v>41</v>
      </c>
      <c r="D380" s="2">
        <v>38982</v>
      </c>
      <c r="E380" s="1">
        <v>265</v>
      </c>
      <c r="F380" s="1">
        <v>1</v>
      </c>
      <c r="G380" s="3">
        <v>0.29670138888888892</v>
      </c>
      <c r="H380" s="3">
        <v>0.30762731481481481</v>
      </c>
      <c r="I380" s="3">
        <v>1.0925925925925895E-2</v>
      </c>
      <c r="J380" s="3">
        <v>1.0925925925925895E-2</v>
      </c>
      <c r="K380" s="5">
        <f t="shared" si="73"/>
        <v>944</v>
      </c>
      <c r="L380" s="3">
        <v>7.1296296296296524E-3</v>
      </c>
      <c r="N380" s="1" t="s">
        <v>75</v>
      </c>
      <c r="O380" s="1" t="s">
        <v>286</v>
      </c>
      <c r="P380" s="1" t="s">
        <v>44</v>
      </c>
      <c r="Q380" s="1" t="s">
        <v>76</v>
      </c>
      <c r="R380" s="1" t="s">
        <v>76</v>
      </c>
      <c r="S380" s="1" t="s">
        <v>46</v>
      </c>
      <c r="T380" s="1" t="s">
        <v>47</v>
      </c>
      <c r="U380" s="1" t="s">
        <v>48</v>
      </c>
      <c r="V380" s="1" t="s">
        <v>49</v>
      </c>
      <c r="W380" s="1" t="s">
        <v>50</v>
      </c>
      <c r="X380" s="1" t="s">
        <v>627</v>
      </c>
      <c r="Y380" s="1" t="s">
        <v>219</v>
      </c>
      <c r="Z380" s="1" t="s">
        <v>628</v>
      </c>
      <c r="AA380" s="1" t="s">
        <v>629</v>
      </c>
      <c r="AB380" s="1" t="s">
        <v>630</v>
      </c>
      <c r="AC380" s="1">
        <v>0</v>
      </c>
      <c r="AD380" s="1" t="s">
        <v>56</v>
      </c>
      <c r="AE380" s="1" t="s">
        <v>83</v>
      </c>
      <c r="AF380" s="1" t="s">
        <v>84</v>
      </c>
      <c r="AG380" s="1" t="s">
        <v>631</v>
      </c>
      <c r="AH380" s="1" t="s">
        <v>115</v>
      </c>
      <c r="AI380" s="1" t="s">
        <v>75</v>
      </c>
      <c r="AK380" s="1" t="s">
        <v>86</v>
      </c>
      <c r="AL380" s="1" t="s">
        <v>133</v>
      </c>
      <c r="AM380" s="1">
        <v>7</v>
      </c>
      <c r="AN380" s="1">
        <v>0</v>
      </c>
      <c r="AO380" s="1">
        <f t="shared" si="74"/>
        <v>7</v>
      </c>
    </row>
    <row r="381" spans="1:41" x14ac:dyDescent="0.4">
      <c r="A381" s="1">
        <v>1</v>
      </c>
      <c r="B381" s="1">
        <v>2</v>
      </c>
      <c r="C381" s="1" t="s">
        <v>41</v>
      </c>
      <c r="D381" s="2">
        <v>38982</v>
      </c>
      <c r="E381" s="1">
        <v>265</v>
      </c>
      <c r="F381" s="1">
        <v>2</v>
      </c>
      <c r="G381" s="3">
        <v>0.31475694444444446</v>
      </c>
      <c r="H381" s="3">
        <v>0.31730324074074073</v>
      </c>
      <c r="I381" s="3">
        <v>2.5462962962962687E-3</v>
      </c>
      <c r="J381" s="3">
        <v>2.5462962962962687E-3</v>
      </c>
      <c r="K381" s="5">
        <f t="shared" si="73"/>
        <v>220</v>
      </c>
      <c r="L381" s="3">
        <v>7.2916666666666963E-4</v>
      </c>
      <c r="N381" s="1" t="s">
        <v>75</v>
      </c>
      <c r="O381" s="1" t="s">
        <v>286</v>
      </c>
      <c r="P381" s="1" t="s">
        <v>44</v>
      </c>
      <c r="Q381" s="1" t="s">
        <v>132</v>
      </c>
      <c r="R381" s="1" t="s">
        <v>132</v>
      </c>
      <c r="S381" s="1" t="s">
        <v>46</v>
      </c>
      <c r="T381" s="1" t="s">
        <v>76</v>
      </c>
      <c r="U381" s="1" t="s">
        <v>66</v>
      </c>
      <c r="V381" s="1" t="s">
        <v>49</v>
      </c>
      <c r="W381" s="1" t="s">
        <v>634</v>
      </c>
      <c r="X381" s="1" t="s">
        <v>645</v>
      </c>
      <c r="Y381" s="1" t="s">
        <v>646</v>
      </c>
      <c r="Z381" s="1" t="s">
        <v>647</v>
      </c>
      <c r="AA381" s="1" t="s">
        <v>648</v>
      </c>
      <c r="AB381" s="1" t="s">
        <v>649</v>
      </c>
      <c r="AC381" s="1">
        <v>0</v>
      </c>
      <c r="AD381" s="1" t="s">
        <v>56</v>
      </c>
      <c r="AE381" s="1" t="s">
        <v>83</v>
      </c>
      <c r="AG381" s="1" t="s">
        <v>650</v>
      </c>
      <c r="AH381" s="1" t="s">
        <v>59</v>
      </c>
      <c r="AI381" s="1" t="s">
        <v>75</v>
      </c>
      <c r="AK381" s="1" t="s">
        <v>86</v>
      </c>
      <c r="AL381" s="1" t="s">
        <v>87</v>
      </c>
      <c r="AM381" s="1">
        <v>1</v>
      </c>
      <c r="AN381" s="1">
        <v>0</v>
      </c>
      <c r="AO381" s="1">
        <f t="shared" si="74"/>
        <v>1</v>
      </c>
    </row>
    <row r="382" spans="1:41" x14ac:dyDescent="0.4">
      <c r="A382" s="1">
        <v>1</v>
      </c>
      <c r="B382" s="1">
        <v>2</v>
      </c>
      <c r="C382" s="1" t="s">
        <v>41</v>
      </c>
      <c r="D382" s="2">
        <v>38982</v>
      </c>
      <c r="E382" s="1">
        <v>265</v>
      </c>
      <c r="F382" s="1">
        <v>2.5</v>
      </c>
      <c r="G382" s="3">
        <v>0.3180324074074074</v>
      </c>
      <c r="H382" s="3">
        <v>0.31837962962962962</v>
      </c>
      <c r="I382" s="3">
        <v>3.4722222222222099E-4</v>
      </c>
      <c r="J382" s="3">
        <v>3.4722222222222099E-4</v>
      </c>
      <c r="K382" s="5">
        <f t="shared" si="73"/>
        <v>30</v>
      </c>
      <c r="L382" s="3">
        <v>3.9050925925925906E-2</v>
      </c>
      <c r="N382" s="1" t="s">
        <v>75</v>
      </c>
      <c r="O382" s="1" t="s">
        <v>286</v>
      </c>
      <c r="P382" s="1" t="s">
        <v>44</v>
      </c>
      <c r="Q382" s="1" t="s">
        <v>132</v>
      </c>
      <c r="R382" s="1" t="s">
        <v>132</v>
      </c>
      <c r="S382" s="1" t="s">
        <v>46</v>
      </c>
      <c r="AB382" s="1" t="s">
        <v>93</v>
      </c>
      <c r="AC382" s="1">
        <v>1</v>
      </c>
      <c r="AK382" s="1" t="s">
        <v>86</v>
      </c>
      <c r="AL382" s="1" t="s">
        <v>133</v>
      </c>
      <c r="AN382" s="1">
        <v>1</v>
      </c>
      <c r="AO382" s="1">
        <f t="shared" si="74"/>
        <v>1</v>
      </c>
    </row>
    <row r="383" spans="1:41" x14ac:dyDescent="0.4">
      <c r="A383" s="1">
        <v>1</v>
      </c>
      <c r="B383" s="1">
        <v>2</v>
      </c>
      <c r="C383" s="1" t="s">
        <v>41</v>
      </c>
      <c r="D383" s="2">
        <v>38982</v>
      </c>
      <c r="E383" s="1">
        <v>265</v>
      </c>
      <c r="F383" s="1">
        <v>3</v>
      </c>
      <c r="G383" s="3">
        <v>0.35743055555555553</v>
      </c>
      <c r="H383" s="3">
        <v>0.36604166666666665</v>
      </c>
      <c r="I383" s="3">
        <v>8.6111111111111249E-3</v>
      </c>
      <c r="J383" s="3">
        <v>8.6111111111111249E-3</v>
      </c>
      <c r="K383" s="5">
        <f t="shared" si="73"/>
        <v>744</v>
      </c>
      <c r="L383" s="3">
        <v>0.1083217592592593</v>
      </c>
      <c r="N383" s="1" t="s">
        <v>75</v>
      </c>
      <c r="O383" s="1" t="s">
        <v>286</v>
      </c>
      <c r="P383" s="1" t="s">
        <v>44</v>
      </c>
      <c r="Q383" s="1" t="s">
        <v>76</v>
      </c>
      <c r="R383" s="1" t="s">
        <v>76</v>
      </c>
      <c r="S383" s="1" t="s">
        <v>46</v>
      </c>
      <c r="T383" s="1" t="s">
        <v>47</v>
      </c>
      <c r="V383" s="1" t="s">
        <v>49</v>
      </c>
      <c r="W383" s="1" t="s">
        <v>50</v>
      </c>
      <c r="X383" s="1" t="s">
        <v>627</v>
      </c>
      <c r="Y383" s="1" t="s">
        <v>219</v>
      </c>
      <c r="Z383" s="1" t="s">
        <v>628</v>
      </c>
      <c r="AA383" s="1" t="s">
        <v>629</v>
      </c>
      <c r="AB383" s="1" t="s">
        <v>630</v>
      </c>
      <c r="AC383" s="1">
        <v>0</v>
      </c>
      <c r="AD383" s="1" t="s">
        <v>56</v>
      </c>
      <c r="AE383" s="1" t="s">
        <v>83</v>
      </c>
      <c r="AF383" s="1" t="s">
        <v>84</v>
      </c>
      <c r="AG383" s="1" t="s">
        <v>631</v>
      </c>
      <c r="AH383" s="1" t="s">
        <v>115</v>
      </c>
      <c r="AK383" s="1" t="s">
        <v>86</v>
      </c>
      <c r="AL383" s="1" t="s">
        <v>87</v>
      </c>
      <c r="AM383" s="1">
        <v>7</v>
      </c>
      <c r="AN383" s="1">
        <v>0</v>
      </c>
      <c r="AO383" s="1">
        <f t="shared" si="74"/>
        <v>7</v>
      </c>
    </row>
    <row r="384" spans="1:41" x14ac:dyDescent="0.4">
      <c r="A384" s="1">
        <v>1</v>
      </c>
      <c r="B384" s="1">
        <v>2</v>
      </c>
      <c r="C384" s="1" t="s">
        <v>41</v>
      </c>
      <c r="D384" s="2">
        <v>38982</v>
      </c>
      <c r="E384" s="1">
        <v>265</v>
      </c>
      <c r="F384" s="1">
        <v>4</v>
      </c>
      <c r="G384" s="3">
        <v>0.47436342592592595</v>
      </c>
      <c r="H384" s="3">
        <v>0.47859953703703706</v>
      </c>
      <c r="I384" s="3">
        <v>4.2361111111111072E-3</v>
      </c>
      <c r="J384" s="3">
        <v>4.2361111111111072E-3</v>
      </c>
      <c r="K384" s="5">
        <f t="shared" si="73"/>
        <v>366</v>
      </c>
      <c r="L384" s="3">
        <v>7.3263888888888684E-3</v>
      </c>
      <c r="N384" s="1" t="s">
        <v>90</v>
      </c>
      <c r="O384" s="1" t="s">
        <v>286</v>
      </c>
      <c r="P384" s="1" t="s">
        <v>44</v>
      </c>
      <c r="Q384" s="1" t="s">
        <v>76</v>
      </c>
      <c r="R384" s="1" t="s">
        <v>76</v>
      </c>
      <c r="S384" s="1" t="s">
        <v>46</v>
      </c>
      <c r="T384" s="1" t="s">
        <v>47</v>
      </c>
      <c r="U384" s="1" t="s">
        <v>66</v>
      </c>
      <c r="V384" s="1" t="s">
        <v>49</v>
      </c>
      <c r="W384" s="1" t="s">
        <v>50</v>
      </c>
      <c r="X384" s="1" t="s">
        <v>627</v>
      </c>
      <c r="Y384" s="1" t="s">
        <v>219</v>
      </c>
      <c r="Z384" s="1" t="s">
        <v>628</v>
      </c>
      <c r="AA384" s="1" t="s">
        <v>629</v>
      </c>
      <c r="AB384" s="1" t="s">
        <v>630</v>
      </c>
      <c r="AC384" s="1">
        <v>0</v>
      </c>
      <c r="AD384" s="1" t="s">
        <v>56</v>
      </c>
      <c r="AE384" s="1" t="s">
        <v>83</v>
      </c>
      <c r="AF384" s="1" t="s">
        <v>113</v>
      </c>
      <c r="AG384" s="1" t="s">
        <v>631</v>
      </c>
      <c r="AH384" s="1" t="s">
        <v>115</v>
      </c>
      <c r="AI384" s="1" t="s">
        <v>75</v>
      </c>
      <c r="AK384" s="1" t="s">
        <v>116</v>
      </c>
      <c r="AL384" s="1" t="s">
        <v>117</v>
      </c>
      <c r="AM384" s="1">
        <v>7</v>
      </c>
      <c r="AN384" s="1">
        <v>0</v>
      </c>
      <c r="AO384" s="1">
        <f t="shared" si="74"/>
        <v>7</v>
      </c>
    </row>
    <row r="385" spans="1:41" x14ac:dyDescent="0.4">
      <c r="A385" s="1">
        <v>1</v>
      </c>
      <c r="B385" s="1">
        <v>2</v>
      </c>
      <c r="C385" s="1" t="s">
        <v>41</v>
      </c>
      <c r="D385" s="2">
        <v>38982</v>
      </c>
      <c r="E385" s="1">
        <v>265</v>
      </c>
      <c r="F385" s="1">
        <v>5</v>
      </c>
      <c r="G385" s="3">
        <v>0.48592592592592593</v>
      </c>
      <c r="H385" s="3">
        <v>0.5393634259259259</v>
      </c>
      <c r="I385" s="3">
        <v>5.3437499999999971E-2</v>
      </c>
      <c r="J385" s="3">
        <v>1.8009259259259225E-2</v>
      </c>
      <c r="K385" s="5">
        <f t="shared" si="73"/>
        <v>1556</v>
      </c>
      <c r="L385" s="3">
        <v>1.2326388888888928E-2</v>
      </c>
      <c r="N385" s="1" t="s">
        <v>90</v>
      </c>
      <c r="O385" s="1" t="s">
        <v>286</v>
      </c>
      <c r="P385" s="1" t="s">
        <v>44</v>
      </c>
      <c r="Q385" s="1" t="s">
        <v>191</v>
      </c>
      <c r="R385" s="1" t="s">
        <v>191</v>
      </c>
      <c r="S385" s="1" t="s">
        <v>46</v>
      </c>
      <c r="T385" s="1" t="s">
        <v>124</v>
      </c>
      <c r="U385" s="1" t="s">
        <v>48</v>
      </c>
      <c r="V385" s="1" t="s">
        <v>49</v>
      </c>
      <c r="W385" s="1" t="s">
        <v>634</v>
      </c>
      <c r="X385" s="1" t="s">
        <v>635</v>
      </c>
      <c r="Y385" s="1" t="s">
        <v>385</v>
      </c>
      <c r="Z385" s="1" t="s">
        <v>636</v>
      </c>
      <c r="AA385" s="1" t="s">
        <v>221</v>
      </c>
      <c r="AB385" s="1" t="s">
        <v>637</v>
      </c>
      <c r="AC385" s="1">
        <v>0</v>
      </c>
      <c r="AD385" s="1" t="s">
        <v>105</v>
      </c>
      <c r="AE385" s="1" t="s">
        <v>83</v>
      </c>
      <c r="AF385" s="1" t="s">
        <v>113</v>
      </c>
      <c r="AG385" s="1" t="s">
        <v>638</v>
      </c>
      <c r="AH385" s="1" t="s">
        <v>115</v>
      </c>
      <c r="AI385" s="1" t="s">
        <v>75</v>
      </c>
      <c r="AK385" s="1" t="s">
        <v>86</v>
      </c>
      <c r="AL385" s="1" t="s">
        <v>87</v>
      </c>
      <c r="AM385" s="1">
        <v>2</v>
      </c>
      <c r="AN385" s="1">
        <v>0</v>
      </c>
      <c r="AO385" s="1">
        <f t="shared" si="74"/>
        <v>2</v>
      </c>
    </row>
    <row r="386" spans="1:41" x14ac:dyDescent="0.4">
      <c r="A386" s="1">
        <v>1</v>
      </c>
      <c r="B386" s="1">
        <v>2</v>
      </c>
      <c r="C386" s="1" t="s">
        <v>41</v>
      </c>
      <c r="D386" s="2">
        <v>38982</v>
      </c>
      <c r="E386" s="1">
        <v>265</v>
      </c>
      <c r="F386" s="1">
        <v>6</v>
      </c>
      <c r="G386" s="3">
        <v>0.55168981481481483</v>
      </c>
      <c r="H386" s="3">
        <v>0.55378472222222219</v>
      </c>
      <c r="I386" s="3">
        <v>2.0949074074073648E-3</v>
      </c>
      <c r="J386" s="3">
        <v>2.0949074074073648E-3</v>
      </c>
      <c r="K386" s="5">
        <f t="shared" ref="K386:K449" si="75">HOUR(J386)*60*60+MINUTE(J386)*60+SECOND(J386)</f>
        <v>181</v>
      </c>
      <c r="L386" s="3">
        <v>7.9861111111111382E-3</v>
      </c>
      <c r="N386" s="1" t="s">
        <v>75</v>
      </c>
      <c r="O386" s="1" t="s">
        <v>286</v>
      </c>
      <c r="P386" s="1" t="s">
        <v>44</v>
      </c>
      <c r="Q386" s="1" t="s">
        <v>76</v>
      </c>
      <c r="R386" s="1" t="s">
        <v>76</v>
      </c>
      <c r="S386" s="1" t="s">
        <v>46</v>
      </c>
      <c r="T386" s="1" t="s">
        <v>47</v>
      </c>
      <c r="U386" s="1" t="s">
        <v>48</v>
      </c>
      <c r="V386" s="1" t="s">
        <v>49</v>
      </c>
      <c r="W386" s="1" t="s">
        <v>50</v>
      </c>
      <c r="X386" s="1" t="s">
        <v>627</v>
      </c>
      <c r="Y386" s="1" t="s">
        <v>219</v>
      </c>
      <c r="Z386" s="1" t="s">
        <v>628</v>
      </c>
      <c r="AA386" s="1" t="s">
        <v>629</v>
      </c>
      <c r="AB386" s="1" t="s">
        <v>630</v>
      </c>
      <c r="AC386" s="1">
        <v>0</v>
      </c>
      <c r="AD386" s="1" t="s">
        <v>56</v>
      </c>
      <c r="AE386" s="1" t="s">
        <v>83</v>
      </c>
      <c r="AF386" s="1" t="s">
        <v>113</v>
      </c>
      <c r="AG386" s="1" t="s">
        <v>631</v>
      </c>
      <c r="AH386" s="1" t="s">
        <v>115</v>
      </c>
      <c r="AI386" s="1" t="s">
        <v>75</v>
      </c>
      <c r="AK386" s="1" t="s">
        <v>116</v>
      </c>
      <c r="AL386" s="1" t="s">
        <v>117</v>
      </c>
      <c r="AM386" s="1">
        <v>7</v>
      </c>
      <c r="AN386" s="1">
        <v>0</v>
      </c>
      <c r="AO386" s="1">
        <f t="shared" si="74"/>
        <v>7</v>
      </c>
    </row>
    <row r="387" spans="1:41" x14ac:dyDescent="0.4">
      <c r="A387" s="1">
        <v>1</v>
      </c>
      <c r="B387" s="1">
        <v>2</v>
      </c>
      <c r="C387" s="1" t="s">
        <v>41</v>
      </c>
      <c r="D387" s="2">
        <v>38982</v>
      </c>
      <c r="E387" s="1">
        <v>265</v>
      </c>
      <c r="F387" s="1">
        <v>6.5</v>
      </c>
      <c r="G387" s="3">
        <v>0.56177083333333333</v>
      </c>
      <c r="H387" s="3">
        <v>0.56179398148148152</v>
      </c>
      <c r="I387" s="3">
        <v>2.3148148148188774E-5</v>
      </c>
      <c r="J387" s="3">
        <v>2.3148148148188774E-5</v>
      </c>
      <c r="K387" s="5">
        <f t="shared" si="75"/>
        <v>2</v>
      </c>
      <c r="L387" s="3">
        <v>2.4999999999999467E-3</v>
      </c>
      <c r="N387" s="1" t="s">
        <v>75</v>
      </c>
      <c r="O387" s="1" t="s">
        <v>286</v>
      </c>
      <c r="P387" s="1" t="s">
        <v>44</v>
      </c>
      <c r="Q387" s="1" t="s">
        <v>76</v>
      </c>
      <c r="R387" s="1" t="s">
        <v>76</v>
      </c>
      <c r="S387" s="1" t="s">
        <v>46</v>
      </c>
      <c r="T387" s="1" t="s">
        <v>45</v>
      </c>
      <c r="U387" s="1" t="s">
        <v>92</v>
      </c>
      <c r="AB387" s="1" t="s">
        <v>93</v>
      </c>
      <c r="AC387" s="1">
        <v>1</v>
      </c>
      <c r="AI387" s="1" t="s">
        <v>75</v>
      </c>
      <c r="AK387" s="1" t="s">
        <v>86</v>
      </c>
      <c r="AL387" s="1" t="s">
        <v>133</v>
      </c>
      <c r="AN387" s="1">
        <v>1</v>
      </c>
      <c r="AO387" s="1">
        <f t="shared" ref="AO387:AO450" si="76">SUM(AM387:AN387)</f>
        <v>1</v>
      </c>
    </row>
    <row r="388" spans="1:41" x14ac:dyDescent="0.4">
      <c r="A388" s="1">
        <v>1</v>
      </c>
      <c r="B388" s="1">
        <v>2</v>
      </c>
      <c r="C388" s="1" t="s">
        <v>41</v>
      </c>
      <c r="D388" s="2">
        <v>38982</v>
      </c>
      <c r="E388" s="1">
        <v>265</v>
      </c>
      <c r="F388" s="1">
        <v>7</v>
      </c>
      <c r="G388" s="3">
        <v>0.56429398148148147</v>
      </c>
      <c r="H388" s="3">
        <v>0.56771990740740741</v>
      </c>
      <c r="I388" s="3">
        <v>3.4259259259259434E-3</v>
      </c>
      <c r="J388" s="3">
        <v>5.6712962962968128E-4</v>
      </c>
      <c r="K388" s="5">
        <f t="shared" si="75"/>
        <v>49</v>
      </c>
      <c r="L388" s="3">
        <v>2.2337962962962754E-3</v>
      </c>
      <c r="N388" s="1" t="s">
        <v>75</v>
      </c>
      <c r="O388" s="1" t="s">
        <v>286</v>
      </c>
      <c r="P388" s="1" t="s">
        <v>44</v>
      </c>
      <c r="Q388" s="1" t="s">
        <v>76</v>
      </c>
      <c r="R388" s="1" t="s">
        <v>76</v>
      </c>
      <c r="S388" s="1" t="s">
        <v>46</v>
      </c>
      <c r="T388" s="1" t="s">
        <v>45</v>
      </c>
      <c r="U388" s="1" t="s">
        <v>66</v>
      </c>
      <c r="V388" s="1" t="s">
        <v>102</v>
      </c>
      <c r="W388" s="1" t="s">
        <v>231</v>
      </c>
      <c r="X388" s="1" t="s">
        <v>651</v>
      </c>
      <c r="Y388" s="1">
        <v>66</v>
      </c>
      <c r="AB388" s="1" t="s">
        <v>652</v>
      </c>
      <c r="AC388" s="1">
        <v>0</v>
      </c>
      <c r="AD388" s="1" t="s">
        <v>56</v>
      </c>
      <c r="AE388" s="1" t="s">
        <v>181</v>
      </c>
      <c r="AG388" s="1" t="s">
        <v>653</v>
      </c>
      <c r="AH388" s="1" t="s">
        <v>157</v>
      </c>
      <c r="AI388" s="1" t="s">
        <v>75</v>
      </c>
      <c r="AK388" s="1" t="s">
        <v>86</v>
      </c>
      <c r="AL388" s="1" t="s">
        <v>86</v>
      </c>
      <c r="AM388" s="1">
        <v>1</v>
      </c>
      <c r="AN388" s="1">
        <v>0</v>
      </c>
      <c r="AO388" s="1">
        <f t="shared" si="76"/>
        <v>1</v>
      </c>
    </row>
    <row r="389" spans="1:41" x14ac:dyDescent="0.4">
      <c r="A389" s="1">
        <v>1</v>
      </c>
      <c r="B389" s="1">
        <v>2</v>
      </c>
      <c r="C389" s="1" t="s">
        <v>41</v>
      </c>
      <c r="D389" s="2">
        <v>38982</v>
      </c>
      <c r="E389" s="1">
        <v>265</v>
      </c>
      <c r="F389" s="1">
        <v>8</v>
      </c>
      <c r="G389" s="3">
        <v>0.56995370370370368</v>
      </c>
      <c r="H389" s="3">
        <v>0.57085648148148149</v>
      </c>
      <c r="I389" s="3">
        <v>9.0277777777780788E-4</v>
      </c>
      <c r="J389" s="3">
        <v>9.0277777777780788E-4</v>
      </c>
      <c r="K389" s="5">
        <f t="shared" si="75"/>
        <v>78</v>
      </c>
      <c r="L389" s="3">
        <v>2.4953703703703756E-2</v>
      </c>
      <c r="N389" s="1" t="s">
        <v>75</v>
      </c>
      <c r="O389" s="1" t="s">
        <v>286</v>
      </c>
      <c r="P389" s="1" t="s">
        <v>44</v>
      </c>
      <c r="Q389" s="1" t="s">
        <v>76</v>
      </c>
      <c r="R389" s="1" t="s">
        <v>76</v>
      </c>
      <c r="S389" s="1" t="s">
        <v>46</v>
      </c>
      <c r="T389" s="1" t="s">
        <v>47</v>
      </c>
      <c r="U389" s="1" t="s">
        <v>66</v>
      </c>
      <c r="V389" s="1" t="s">
        <v>102</v>
      </c>
      <c r="W389" s="1" t="s">
        <v>103</v>
      </c>
      <c r="X389" s="1" t="s">
        <v>96</v>
      </c>
      <c r="Y389" s="1" t="s">
        <v>435</v>
      </c>
      <c r="Z389" s="1" t="s">
        <v>436</v>
      </c>
      <c r="AA389" s="1" t="s">
        <v>654</v>
      </c>
      <c r="AB389" s="1" t="s">
        <v>655</v>
      </c>
      <c r="AC389" s="1">
        <v>0</v>
      </c>
      <c r="AD389" s="1" t="s">
        <v>56</v>
      </c>
      <c r="AE389" s="1" t="s">
        <v>70</v>
      </c>
      <c r="AF389" s="1" t="s">
        <v>113</v>
      </c>
      <c r="AG389" s="1" t="s">
        <v>591</v>
      </c>
      <c r="AH389" s="1" t="s">
        <v>157</v>
      </c>
      <c r="AI389" s="1" t="s">
        <v>75</v>
      </c>
      <c r="AK389" s="1" t="s">
        <v>116</v>
      </c>
      <c r="AL389" s="1" t="s">
        <v>117</v>
      </c>
      <c r="AM389" s="1">
        <v>2</v>
      </c>
      <c r="AN389" s="1">
        <v>0</v>
      </c>
      <c r="AO389" s="1">
        <f t="shared" si="76"/>
        <v>2</v>
      </c>
    </row>
    <row r="390" spans="1:41" x14ac:dyDescent="0.4">
      <c r="A390" s="1">
        <v>1</v>
      </c>
      <c r="B390" s="1">
        <v>2</v>
      </c>
      <c r="C390" s="1" t="s">
        <v>41</v>
      </c>
      <c r="D390" s="2">
        <v>38982</v>
      </c>
      <c r="E390" s="1">
        <v>265</v>
      </c>
      <c r="F390" s="1">
        <v>8.5</v>
      </c>
      <c r="G390" s="3">
        <v>0.59581018518518525</v>
      </c>
      <c r="H390" s="3">
        <v>0.59582175925925929</v>
      </c>
      <c r="I390" s="3">
        <v>1.1574074074038876E-5</v>
      </c>
      <c r="J390" s="3">
        <v>1.1574074074038876E-5</v>
      </c>
      <c r="K390" s="5">
        <f t="shared" si="75"/>
        <v>1</v>
      </c>
      <c r="L390" s="3">
        <v>5.712962962962953E-2</v>
      </c>
      <c r="N390" s="1" t="s">
        <v>75</v>
      </c>
      <c r="O390" s="1" t="s">
        <v>286</v>
      </c>
      <c r="P390" s="1" t="s">
        <v>44</v>
      </c>
      <c r="Q390" s="1" t="s">
        <v>76</v>
      </c>
      <c r="R390" s="1" t="s">
        <v>76</v>
      </c>
      <c r="S390" s="1" t="s">
        <v>46</v>
      </c>
      <c r="T390" s="1" t="s">
        <v>45</v>
      </c>
      <c r="V390" s="1" t="s">
        <v>49</v>
      </c>
      <c r="W390" s="1" t="s">
        <v>634</v>
      </c>
      <c r="X390" s="1" t="s">
        <v>645</v>
      </c>
      <c r="Y390" s="1" t="s">
        <v>646</v>
      </c>
      <c r="Z390" s="1" t="s">
        <v>647</v>
      </c>
      <c r="AA390" s="1" t="s">
        <v>648</v>
      </c>
      <c r="AB390" s="1" t="s">
        <v>649</v>
      </c>
      <c r="AC390" s="1">
        <v>0</v>
      </c>
      <c r="AD390" s="1" t="s">
        <v>56</v>
      </c>
      <c r="AE390" s="1" t="s">
        <v>83</v>
      </c>
      <c r="AH390" s="1" t="s">
        <v>59</v>
      </c>
      <c r="AK390" s="1" t="s">
        <v>86</v>
      </c>
      <c r="AL390" s="1" t="s">
        <v>87</v>
      </c>
      <c r="AN390" s="1">
        <v>1</v>
      </c>
      <c r="AO390" s="1">
        <f t="shared" si="76"/>
        <v>1</v>
      </c>
    </row>
    <row r="391" spans="1:41" x14ac:dyDescent="0.4">
      <c r="A391" s="1">
        <v>1</v>
      </c>
      <c r="B391" s="1">
        <v>2</v>
      </c>
      <c r="C391" s="1" t="s">
        <v>41</v>
      </c>
      <c r="D391" s="2">
        <v>38982</v>
      </c>
      <c r="E391" s="1">
        <v>265</v>
      </c>
      <c r="F391" s="1">
        <v>9.5</v>
      </c>
      <c r="G391" s="3">
        <v>0.65295138888888882</v>
      </c>
      <c r="H391" s="3">
        <v>0.65358796296296295</v>
      </c>
      <c r="I391" s="3">
        <v>6.3657407407413658E-4</v>
      </c>
      <c r="J391" s="3">
        <v>8.1018518518605198E-5</v>
      </c>
      <c r="K391" s="5">
        <f t="shared" si="75"/>
        <v>7</v>
      </c>
      <c r="L391" s="3">
        <v>2.0486111111110983E-3</v>
      </c>
      <c r="N391" s="1" t="s">
        <v>75</v>
      </c>
      <c r="O391" s="1" t="s">
        <v>286</v>
      </c>
      <c r="P391" s="1" t="s">
        <v>44</v>
      </c>
      <c r="Q391" s="1" t="s">
        <v>76</v>
      </c>
      <c r="R391" s="1" t="s">
        <v>76</v>
      </c>
      <c r="S391" s="1" t="s">
        <v>46</v>
      </c>
      <c r="T391" s="1" t="s">
        <v>45</v>
      </c>
      <c r="U391" s="1" t="s">
        <v>66</v>
      </c>
      <c r="AB391" s="1" t="s">
        <v>93</v>
      </c>
      <c r="AC391" s="1">
        <v>1</v>
      </c>
      <c r="AI391" s="1" t="s">
        <v>75</v>
      </c>
      <c r="AK391" s="1" t="s">
        <v>61</v>
      </c>
      <c r="AL391" s="1" t="s">
        <v>61</v>
      </c>
      <c r="AN391" s="1">
        <v>1</v>
      </c>
      <c r="AO391" s="1">
        <f t="shared" si="76"/>
        <v>1</v>
      </c>
    </row>
    <row r="392" spans="1:41" x14ac:dyDescent="0.4">
      <c r="A392" s="1">
        <v>1</v>
      </c>
      <c r="B392" s="1">
        <v>2</v>
      </c>
      <c r="C392" s="1" t="s">
        <v>41</v>
      </c>
      <c r="D392" s="2">
        <v>38982</v>
      </c>
      <c r="E392" s="1">
        <v>265</v>
      </c>
      <c r="F392" s="1">
        <v>9.6999999999999993</v>
      </c>
      <c r="G392" s="3">
        <v>0.65563657407407405</v>
      </c>
      <c r="H392" s="3">
        <v>0.65565972222222224</v>
      </c>
      <c r="I392" s="3">
        <v>2.3148148148188774E-5</v>
      </c>
      <c r="J392" s="3">
        <v>2.3148148148188774E-5</v>
      </c>
      <c r="K392" s="5">
        <f t="shared" si="75"/>
        <v>2</v>
      </c>
      <c r="L392" s="3">
        <v>4.5833333333332726E-3</v>
      </c>
      <c r="N392" s="1" t="s">
        <v>75</v>
      </c>
      <c r="O392" s="1" t="s">
        <v>286</v>
      </c>
      <c r="P392" s="1" t="s">
        <v>44</v>
      </c>
      <c r="Q392" s="1" t="s">
        <v>76</v>
      </c>
      <c r="R392" s="1" t="s">
        <v>76</v>
      </c>
      <c r="S392" s="1" t="s">
        <v>46</v>
      </c>
      <c r="AB392" s="1" t="s">
        <v>93</v>
      </c>
      <c r="AC392" s="1">
        <v>1</v>
      </c>
      <c r="AK392" s="1" t="s">
        <v>61</v>
      </c>
      <c r="AL392" s="1" t="s">
        <v>133</v>
      </c>
      <c r="AN392" s="1">
        <v>1</v>
      </c>
      <c r="AO392" s="1">
        <f t="shared" si="76"/>
        <v>1</v>
      </c>
    </row>
    <row r="393" spans="1:41" x14ac:dyDescent="0.4">
      <c r="A393" s="1">
        <v>1</v>
      </c>
      <c r="B393" s="1">
        <v>2</v>
      </c>
      <c r="C393" s="1" t="s">
        <v>41</v>
      </c>
      <c r="D393" s="2">
        <v>38982</v>
      </c>
      <c r="E393" s="1">
        <v>265</v>
      </c>
      <c r="F393" s="1">
        <v>10</v>
      </c>
      <c r="G393" s="3">
        <v>0.66024305555555551</v>
      </c>
      <c r="H393" s="3">
        <v>0.67493055555555559</v>
      </c>
      <c r="I393" s="3">
        <v>1.4687500000000075E-2</v>
      </c>
      <c r="J393" s="3">
        <v>1.4687500000000075E-2</v>
      </c>
      <c r="K393" s="5">
        <f t="shared" si="75"/>
        <v>1269</v>
      </c>
      <c r="L393" s="3">
        <v>7.9861111111112493E-4</v>
      </c>
      <c r="N393" s="1" t="s">
        <v>75</v>
      </c>
      <c r="O393" s="1" t="s">
        <v>286</v>
      </c>
      <c r="P393" s="1" t="s">
        <v>44</v>
      </c>
      <c r="Q393" s="1" t="s">
        <v>76</v>
      </c>
      <c r="R393" s="1" t="s">
        <v>76</v>
      </c>
      <c r="S393" s="1" t="s">
        <v>46</v>
      </c>
      <c r="T393" s="1" t="s">
        <v>47</v>
      </c>
      <c r="U393" s="1" t="s">
        <v>66</v>
      </c>
      <c r="V393" s="1" t="s">
        <v>49</v>
      </c>
      <c r="W393" s="1" t="s">
        <v>77</v>
      </c>
      <c r="X393" s="1" t="s">
        <v>309</v>
      </c>
      <c r="Y393" s="1" t="s">
        <v>79</v>
      </c>
      <c r="Z393" s="1" t="s">
        <v>656</v>
      </c>
      <c r="AA393" s="1" t="s">
        <v>657</v>
      </c>
      <c r="AB393" s="1" t="s">
        <v>658</v>
      </c>
      <c r="AC393" s="1">
        <v>0</v>
      </c>
      <c r="AD393" s="1" t="s">
        <v>56</v>
      </c>
      <c r="AE393" s="1" t="s">
        <v>83</v>
      </c>
      <c r="AF393" s="1" t="s">
        <v>153</v>
      </c>
      <c r="AG393" s="1" t="s">
        <v>486</v>
      </c>
      <c r="AH393" s="1" t="s">
        <v>115</v>
      </c>
      <c r="AI393" s="1" t="s">
        <v>75</v>
      </c>
      <c r="AK393" s="1" t="s">
        <v>116</v>
      </c>
      <c r="AL393" s="1" t="s">
        <v>117</v>
      </c>
      <c r="AM393" s="1">
        <v>5</v>
      </c>
      <c r="AN393" s="1">
        <v>0</v>
      </c>
      <c r="AO393" s="1">
        <f t="shared" si="76"/>
        <v>5</v>
      </c>
    </row>
    <row r="394" spans="1:41" x14ac:dyDescent="0.4">
      <c r="A394" s="1">
        <v>1</v>
      </c>
      <c r="B394" s="1">
        <v>2</v>
      </c>
      <c r="C394" s="1" t="s">
        <v>41</v>
      </c>
      <c r="D394" s="2">
        <v>38982</v>
      </c>
      <c r="E394" s="1">
        <v>265</v>
      </c>
      <c r="F394" s="1">
        <v>10.5</v>
      </c>
      <c r="G394" s="3">
        <v>0.67572916666666671</v>
      </c>
      <c r="H394" s="3">
        <v>0.67712962962962964</v>
      </c>
      <c r="I394" s="3">
        <v>1.4004629629629228E-3</v>
      </c>
      <c r="J394" s="3">
        <v>1.851851851850661E-4</v>
      </c>
      <c r="K394" s="5">
        <f t="shared" si="75"/>
        <v>16</v>
      </c>
      <c r="L394" s="3">
        <v>2.2685185185186141E-3</v>
      </c>
      <c r="N394" s="1" t="s">
        <v>42</v>
      </c>
      <c r="O394" s="1" t="s">
        <v>286</v>
      </c>
      <c r="P394" s="1" t="s">
        <v>44</v>
      </c>
      <c r="Q394" s="1" t="s">
        <v>76</v>
      </c>
      <c r="R394" s="1" t="s">
        <v>76</v>
      </c>
      <c r="S394" s="1" t="s">
        <v>46</v>
      </c>
      <c r="T394" s="1" t="s">
        <v>47</v>
      </c>
      <c r="U394" s="1" t="s">
        <v>48</v>
      </c>
      <c r="AB394" s="1" t="s">
        <v>93</v>
      </c>
      <c r="AC394" s="1">
        <v>1</v>
      </c>
      <c r="AG394" s="1" t="s">
        <v>486</v>
      </c>
      <c r="AI394" s="1" t="s">
        <v>60</v>
      </c>
      <c r="AK394" s="1" t="s">
        <v>86</v>
      </c>
      <c r="AL394" s="1" t="s">
        <v>133</v>
      </c>
      <c r="AM394" s="1">
        <v>5</v>
      </c>
      <c r="AN394" s="1">
        <v>0</v>
      </c>
      <c r="AO394" s="1">
        <f t="shared" si="76"/>
        <v>5</v>
      </c>
    </row>
    <row r="395" spans="1:41" x14ac:dyDescent="0.4">
      <c r="A395" s="1">
        <v>1</v>
      </c>
      <c r="B395" s="1">
        <v>2</v>
      </c>
      <c r="C395" s="1" t="s">
        <v>41</v>
      </c>
      <c r="D395" s="2">
        <v>38982</v>
      </c>
      <c r="E395" s="1">
        <v>265</v>
      </c>
      <c r="F395" s="1">
        <v>11</v>
      </c>
      <c r="G395" s="3">
        <v>0.67939814814814825</v>
      </c>
      <c r="H395" s="3">
        <v>0.68038194444444444</v>
      </c>
      <c r="I395" s="3">
        <v>9.8379629629619103E-4</v>
      </c>
      <c r="J395" s="3">
        <v>9.8379629629619103E-4</v>
      </c>
      <c r="K395" s="5">
        <f t="shared" si="75"/>
        <v>85</v>
      </c>
      <c r="L395" s="3" t="s">
        <v>120</v>
      </c>
      <c r="N395" s="1" t="s">
        <v>42</v>
      </c>
      <c r="O395" s="1" t="s">
        <v>286</v>
      </c>
      <c r="P395" s="1" t="s">
        <v>44</v>
      </c>
      <c r="Q395" s="1" t="s">
        <v>76</v>
      </c>
      <c r="R395" s="1" t="s">
        <v>76</v>
      </c>
      <c r="S395" s="1" t="s">
        <v>46</v>
      </c>
      <c r="T395" s="1" t="s">
        <v>45</v>
      </c>
      <c r="U395" s="1" t="s">
        <v>156</v>
      </c>
      <c r="V395" s="1" t="s">
        <v>102</v>
      </c>
      <c r="W395" s="1" t="s">
        <v>103</v>
      </c>
      <c r="X395" s="1" t="s">
        <v>659</v>
      </c>
      <c r="AB395" s="1" t="s">
        <v>104</v>
      </c>
      <c r="AC395" s="1">
        <v>0</v>
      </c>
      <c r="AD395" s="1" t="s">
        <v>105</v>
      </c>
      <c r="AE395" s="1" t="s">
        <v>83</v>
      </c>
      <c r="AG395" s="1" t="s">
        <v>486</v>
      </c>
      <c r="AH395" s="1" t="s">
        <v>157</v>
      </c>
      <c r="AI395" s="1" t="s">
        <v>75</v>
      </c>
      <c r="AK395" s="1" t="s">
        <v>86</v>
      </c>
      <c r="AL395" s="1" t="s">
        <v>133</v>
      </c>
      <c r="AM395" s="1">
        <v>5</v>
      </c>
      <c r="AN395" s="1">
        <v>0</v>
      </c>
      <c r="AO395" s="1">
        <f t="shared" si="76"/>
        <v>5</v>
      </c>
    </row>
    <row r="396" spans="1:41" x14ac:dyDescent="0.4">
      <c r="A396" s="1">
        <v>1</v>
      </c>
      <c r="B396" s="1">
        <v>2</v>
      </c>
      <c r="C396" s="1" t="s">
        <v>41</v>
      </c>
      <c r="D396" s="2">
        <v>38994</v>
      </c>
      <c r="E396" s="1">
        <v>277</v>
      </c>
      <c r="F396" s="1">
        <v>1</v>
      </c>
      <c r="G396" s="3">
        <v>0.26114583333333335</v>
      </c>
      <c r="H396" s="3">
        <v>0.26556712962962964</v>
      </c>
      <c r="I396" s="3">
        <v>4.4212962962962843E-3</v>
      </c>
      <c r="J396" s="3">
        <v>4.4212962962962843E-3</v>
      </c>
      <c r="K396" s="5">
        <f t="shared" si="75"/>
        <v>382</v>
      </c>
      <c r="L396" s="3">
        <v>3.5694444444444418E-2</v>
      </c>
      <c r="N396" s="1" t="s">
        <v>42</v>
      </c>
      <c r="O396" s="1" t="s">
        <v>286</v>
      </c>
      <c r="P396" s="1" t="s">
        <v>660</v>
      </c>
      <c r="Q396" s="1" t="s">
        <v>76</v>
      </c>
      <c r="R396" s="1" t="s">
        <v>76</v>
      </c>
      <c r="S396" s="1" t="s">
        <v>46</v>
      </c>
      <c r="T396" s="1" t="s">
        <v>124</v>
      </c>
      <c r="U396" s="1" t="s">
        <v>66</v>
      </c>
      <c r="V396" s="1" t="s">
        <v>49</v>
      </c>
      <c r="W396" s="1" t="s">
        <v>50</v>
      </c>
      <c r="X396" s="1" t="s">
        <v>661</v>
      </c>
      <c r="Y396" s="1" t="s">
        <v>219</v>
      </c>
      <c r="Z396" s="1" t="s">
        <v>628</v>
      </c>
      <c r="AA396" s="1" t="s">
        <v>629</v>
      </c>
      <c r="AB396" s="1" t="s">
        <v>630</v>
      </c>
      <c r="AC396" s="1">
        <v>0</v>
      </c>
      <c r="AD396" s="1" t="s">
        <v>56</v>
      </c>
      <c r="AE396" s="1" t="s">
        <v>83</v>
      </c>
      <c r="AF396" s="1" t="s">
        <v>113</v>
      </c>
      <c r="AG396" s="1" t="s">
        <v>631</v>
      </c>
      <c r="AH396" s="1" t="s">
        <v>115</v>
      </c>
      <c r="AI396" s="1" t="s">
        <v>122</v>
      </c>
      <c r="AJ396" s="1" t="s">
        <v>147</v>
      </c>
      <c r="AK396" s="1" t="s">
        <v>116</v>
      </c>
      <c r="AL396" s="1" t="s">
        <v>117</v>
      </c>
      <c r="AM396" s="1">
        <v>7</v>
      </c>
      <c r="AN396" s="1">
        <v>0</v>
      </c>
      <c r="AO396" s="1">
        <f t="shared" si="76"/>
        <v>7</v>
      </c>
    </row>
    <row r="397" spans="1:41" x14ac:dyDescent="0.4">
      <c r="A397" s="1">
        <v>1</v>
      </c>
      <c r="B397" s="1">
        <v>2</v>
      </c>
      <c r="C397" s="1" t="s">
        <v>41</v>
      </c>
      <c r="D397" s="2">
        <v>38994</v>
      </c>
      <c r="E397" s="1">
        <v>277</v>
      </c>
      <c r="F397" s="1">
        <v>2.5</v>
      </c>
      <c r="G397" s="3">
        <v>0.30126157407407406</v>
      </c>
      <c r="H397" s="3">
        <v>0.30244212962962963</v>
      </c>
      <c r="I397" s="3">
        <v>1.1805555555555736E-3</v>
      </c>
      <c r="J397" s="3">
        <v>1.1805555555555736E-3</v>
      </c>
      <c r="K397" s="5">
        <f t="shared" si="75"/>
        <v>102</v>
      </c>
      <c r="L397" s="3">
        <v>1.0567129629629635E-2</v>
      </c>
      <c r="N397" s="1" t="s">
        <v>42</v>
      </c>
      <c r="O397" s="1" t="s">
        <v>286</v>
      </c>
      <c r="P397" s="1" t="s">
        <v>660</v>
      </c>
      <c r="Q397" s="1" t="s">
        <v>76</v>
      </c>
      <c r="R397" s="1" t="s">
        <v>76</v>
      </c>
      <c r="S397" s="1" t="s">
        <v>46</v>
      </c>
      <c r="T397" s="1" t="s">
        <v>47</v>
      </c>
      <c r="U397" s="1" t="s">
        <v>156</v>
      </c>
      <c r="V397" s="1" t="s">
        <v>102</v>
      </c>
      <c r="W397" s="1" t="s">
        <v>231</v>
      </c>
      <c r="X397" s="1" t="s">
        <v>96</v>
      </c>
      <c r="AB397" s="1" t="s">
        <v>104</v>
      </c>
      <c r="AC397" s="1">
        <v>0</v>
      </c>
      <c r="AD397" s="1" t="s">
        <v>105</v>
      </c>
      <c r="AE397" s="1" t="s">
        <v>70</v>
      </c>
      <c r="AG397" s="1" t="s">
        <v>662</v>
      </c>
      <c r="AH397" s="1" t="s">
        <v>157</v>
      </c>
      <c r="AI397" s="1" t="s">
        <v>75</v>
      </c>
      <c r="AK397" s="1" t="s">
        <v>86</v>
      </c>
      <c r="AL397" s="1" t="s">
        <v>86</v>
      </c>
      <c r="AM397" s="1">
        <v>2</v>
      </c>
      <c r="AN397" s="1">
        <v>0</v>
      </c>
      <c r="AO397" s="1">
        <f t="shared" si="76"/>
        <v>2</v>
      </c>
    </row>
    <row r="398" spans="1:41" x14ac:dyDescent="0.4">
      <c r="A398" s="1">
        <v>1</v>
      </c>
      <c r="B398" s="1">
        <v>2</v>
      </c>
      <c r="C398" s="1" t="s">
        <v>41</v>
      </c>
      <c r="D398" s="2">
        <v>38994</v>
      </c>
      <c r="E398" s="1">
        <v>277</v>
      </c>
      <c r="F398" s="1">
        <v>3.5</v>
      </c>
      <c r="G398" s="3">
        <v>0.31300925925925926</v>
      </c>
      <c r="H398" s="3">
        <v>0.31302083333333336</v>
      </c>
      <c r="I398" s="3">
        <v>1.1574074074094387E-5</v>
      </c>
      <c r="J398" s="3">
        <v>1.1574074074094387E-5</v>
      </c>
      <c r="K398" s="5">
        <f t="shared" si="75"/>
        <v>1</v>
      </c>
      <c r="L398" s="3">
        <v>4.5983796296296287E-2</v>
      </c>
      <c r="N398" s="1" t="s">
        <v>42</v>
      </c>
      <c r="O398" s="1" t="s">
        <v>286</v>
      </c>
      <c r="P398" s="1" t="s">
        <v>660</v>
      </c>
      <c r="Q398" s="1" t="s">
        <v>76</v>
      </c>
      <c r="R398" s="1" t="s">
        <v>191</v>
      </c>
      <c r="S398" s="1" t="s">
        <v>46</v>
      </c>
      <c r="T398" s="1" t="s">
        <v>47</v>
      </c>
      <c r="U398" s="1" t="s">
        <v>156</v>
      </c>
      <c r="AB398" s="1" t="s">
        <v>93</v>
      </c>
      <c r="AC398" s="1">
        <v>1</v>
      </c>
      <c r="AG398" s="1" t="s">
        <v>663</v>
      </c>
      <c r="AI398" s="1" t="s">
        <v>75</v>
      </c>
      <c r="AK398" s="1" t="s">
        <v>86</v>
      </c>
      <c r="AL398" s="1" t="s">
        <v>133</v>
      </c>
      <c r="AM398" s="1">
        <v>1</v>
      </c>
      <c r="AN398" s="1">
        <v>0</v>
      </c>
      <c r="AO398" s="1">
        <f t="shared" si="76"/>
        <v>1</v>
      </c>
    </row>
    <row r="399" spans="1:41" x14ac:dyDescent="0.4">
      <c r="A399" s="1">
        <v>1</v>
      </c>
      <c r="B399" s="1">
        <v>2</v>
      </c>
      <c r="C399" s="1" t="s">
        <v>41</v>
      </c>
      <c r="D399" s="2">
        <v>38994</v>
      </c>
      <c r="E399" s="1">
        <v>277</v>
      </c>
      <c r="F399" s="1">
        <v>4</v>
      </c>
      <c r="G399" s="3">
        <v>0.35900462962962965</v>
      </c>
      <c r="H399" s="3">
        <v>0.3614236111111111</v>
      </c>
      <c r="I399" s="3">
        <v>2.4189814814814525E-3</v>
      </c>
      <c r="J399" s="3">
        <v>2.4189814814814525E-3</v>
      </c>
      <c r="K399" s="5">
        <f t="shared" si="75"/>
        <v>209</v>
      </c>
      <c r="L399" s="3">
        <v>0.13711805555555556</v>
      </c>
      <c r="N399" s="1" t="s">
        <v>42</v>
      </c>
      <c r="O399" s="1" t="s">
        <v>286</v>
      </c>
      <c r="P399" s="1" t="s">
        <v>660</v>
      </c>
      <c r="Q399" s="1" t="s">
        <v>76</v>
      </c>
      <c r="R399" s="1" t="s">
        <v>76</v>
      </c>
      <c r="S399" s="1" t="s">
        <v>46</v>
      </c>
      <c r="T399" s="1" t="s">
        <v>76</v>
      </c>
      <c r="U399" s="1" t="s">
        <v>92</v>
      </c>
      <c r="V399" s="1" t="s">
        <v>49</v>
      </c>
      <c r="W399" s="1" t="s">
        <v>50</v>
      </c>
      <c r="X399" s="1" t="s">
        <v>664</v>
      </c>
      <c r="Y399" s="1" t="s">
        <v>665</v>
      </c>
      <c r="Z399" s="1" t="s">
        <v>666</v>
      </c>
      <c r="AA399" s="1" t="s">
        <v>667</v>
      </c>
      <c r="AB399" s="1" t="s">
        <v>668</v>
      </c>
      <c r="AC399" s="1">
        <v>0</v>
      </c>
      <c r="AD399" s="1" t="s">
        <v>56</v>
      </c>
      <c r="AE399" s="1" t="s">
        <v>181</v>
      </c>
      <c r="AF399" s="1" t="s">
        <v>198</v>
      </c>
      <c r="AG399" s="1" t="s">
        <v>669</v>
      </c>
      <c r="AH399" s="1" t="s">
        <v>59</v>
      </c>
      <c r="AI399" s="1" t="s">
        <v>75</v>
      </c>
      <c r="AK399" s="1" t="s">
        <v>86</v>
      </c>
      <c r="AL399" s="1" t="s">
        <v>87</v>
      </c>
      <c r="AM399" s="1">
        <v>1</v>
      </c>
      <c r="AN399" s="1">
        <v>0</v>
      </c>
      <c r="AO399" s="1">
        <f t="shared" si="76"/>
        <v>1</v>
      </c>
    </row>
    <row r="400" spans="1:41" x14ac:dyDescent="0.4">
      <c r="A400" s="1">
        <v>1</v>
      </c>
      <c r="B400" s="1">
        <v>2</v>
      </c>
      <c r="C400" s="1" t="s">
        <v>41</v>
      </c>
      <c r="D400" s="2">
        <v>38994</v>
      </c>
      <c r="E400" s="1">
        <v>277</v>
      </c>
      <c r="F400" s="1">
        <v>5.75</v>
      </c>
      <c r="G400" s="3">
        <v>0.49854166666666666</v>
      </c>
      <c r="H400" s="3">
        <v>0.49865740740740744</v>
      </c>
      <c r="I400" s="3">
        <v>1.1574074074077734E-4</v>
      </c>
      <c r="J400" s="3">
        <v>1.1574074074077734E-4</v>
      </c>
      <c r="K400" s="5">
        <f t="shared" si="75"/>
        <v>10</v>
      </c>
      <c r="L400" s="3">
        <v>8.2638888888887929E-3</v>
      </c>
      <c r="N400" s="1" t="s">
        <v>42</v>
      </c>
      <c r="O400" s="1" t="s">
        <v>286</v>
      </c>
      <c r="P400" s="1" t="s">
        <v>660</v>
      </c>
      <c r="Q400" s="1" t="s">
        <v>91</v>
      </c>
      <c r="R400" s="1" t="s">
        <v>76</v>
      </c>
      <c r="S400" s="1" t="s">
        <v>46</v>
      </c>
      <c r="T400" s="1" t="s">
        <v>45</v>
      </c>
      <c r="U400" s="1" t="s">
        <v>92</v>
      </c>
      <c r="AB400" s="1" t="s">
        <v>93</v>
      </c>
      <c r="AC400" s="1">
        <v>1</v>
      </c>
      <c r="AF400" s="1" t="s">
        <v>153</v>
      </c>
      <c r="AG400" s="1" t="s">
        <v>564</v>
      </c>
      <c r="AI400" s="1" t="s">
        <v>75</v>
      </c>
      <c r="AK400" s="1" t="s">
        <v>86</v>
      </c>
      <c r="AL400" s="1" t="s">
        <v>86</v>
      </c>
      <c r="AM400" s="1">
        <v>3</v>
      </c>
      <c r="AN400" s="1">
        <v>0</v>
      </c>
      <c r="AO400" s="1">
        <f t="shared" si="76"/>
        <v>3</v>
      </c>
    </row>
    <row r="401" spans="1:41" x14ac:dyDescent="0.4">
      <c r="A401" s="1">
        <v>1</v>
      </c>
      <c r="B401" s="1">
        <v>2</v>
      </c>
      <c r="C401" s="1" t="s">
        <v>41</v>
      </c>
      <c r="D401" s="2">
        <v>38994</v>
      </c>
      <c r="E401" s="1">
        <v>277</v>
      </c>
      <c r="F401" s="1">
        <v>6</v>
      </c>
      <c r="G401" s="3">
        <v>0.50692129629629623</v>
      </c>
      <c r="H401" s="3">
        <v>0.51283564814814808</v>
      </c>
      <c r="I401" s="3">
        <v>5.9143518518518512E-3</v>
      </c>
      <c r="J401" s="3">
        <v>5.9143518518518512E-3</v>
      </c>
      <c r="K401" s="5">
        <f t="shared" si="75"/>
        <v>511</v>
      </c>
      <c r="L401" s="3" t="s">
        <v>120</v>
      </c>
      <c r="N401" s="1" t="s">
        <v>42</v>
      </c>
      <c r="O401" s="1" t="s">
        <v>286</v>
      </c>
      <c r="P401" s="1" t="s">
        <v>660</v>
      </c>
      <c r="Q401" s="1" t="s">
        <v>76</v>
      </c>
      <c r="R401" s="1" t="s">
        <v>76</v>
      </c>
      <c r="S401" s="1" t="s">
        <v>46</v>
      </c>
      <c r="T401" s="1" t="s">
        <v>47</v>
      </c>
      <c r="U401" s="1" t="s">
        <v>66</v>
      </c>
      <c r="V401" s="1" t="s">
        <v>49</v>
      </c>
      <c r="W401" s="1" t="s">
        <v>77</v>
      </c>
      <c r="X401" s="1" t="s">
        <v>309</v>
      </c>
      <c r="Y401" s="1" t="s">
        <v>79</v>
      </c>
      <c r="Z401" s="1" t="s">
        <v>656</v>
      </c>
      <c r="AA401" s="1" t="s">
        <v>657</v>
      </c>
      <c r="AB401" s="1" t="s">
        <v>658</v>
      </c>
      <c r="AC401" s="1">
        <v>0</v>
      </c>
      <c r="AD401" s="1" t="s">
        <v>56</v>
      </c>
      <c r="AE401" s="1" t="s">
        <v>83</v>
      </c>
      <c r="AF401" s="1" t="s">
        <v>84</v>
      </c>
      <c r="AG401" s="1" t="s">
        <v>670</v>
      </c>
      <c r="AH401" s="1" t="s">
        <v>115</v>
      </c>
      <c r="AI401" s="1" t="s">
        <v>71</v>
      </c>
      <c r="AK401" s="1" t="s">
        <v>86</v>
      </c>
      <c r="AL401" s="1" t="s">
        <v>87</v>
      </c>
      <c r="AM401" s="1">
        <v>1</v>
      </c>
      <c r="AN401" s="1">
        <v>0</v>
      </c>
      <c r="AO401" s="1">
        <f t="shared" si="76"/>
        <v>1</v>
      </c>
    </row>
    <row r="402" spans="1:41" x14ac:dyDescent="0.4">
      <c r="A402" s="1">
        <v>1</v>
      </c>
      <c r="B402" s="1">
        <v>2</v>
      </c>
      <c r="C402" s="1" t="s">
        <v>119</v>
      </c>
      <c r="D402" s="2">
        <v>38740</v>
      </c>
      <c r="E402" s="1">
        <v>23</v>
      </c>
      <c r="F402" s="1">
        <v>0.5</v>
      </c>
      <c r="G402" s="3">
        <v>0.30028935185185185</v>
      </c>
      <c r="H402" s="3">
        <v>0.30037037037037034</v>
      </c>
      <c r="I402" s="3">
        <v>8.1018518518494176E-5</v>
      </c>
      <c r="J402" s="3">
        <v>8.1018518518494176E-5</v>
      </c>
      <c r="K402" s="5">
        <f t="shared" si="75"/>
        <v>7</v>
      </c>
      <c r="L402" s="3">
        <v>0.40700231481481491</v>
      </c>
      <c r="N402" s="1" t="s">
        <v>75</v>
      </c>
      <c r="O402" s="1" t="s">
        <v>43</v>
      </c>
      <c r="P402" s="1" t="s">
        <v>44</v>
      </c>
      <c r="Q402" s="1" t="s">
        <v>76</v>
      </c>
      <c r="AB402" s="1" t="s">
        <v>93</v>
      </c>
      <c r="AC402" s="1">
        <v>1</v>
      </c>
      <c r="AK402" s="1" t="s">
        <v>86</v>
      </c>
      <c r="AL402" s="1" t="s">
        <v>133</v>
      </c>
      <c r="AN402" s="1">
        <v>1</v>
      </c>
      <c r="AO402" s="1">
        <f t="shared" si="76"/>
        <v>1</v>
      </c>
    </row>
    <row r="403" spans="1:41" x14ac:dyDescent="0.4">
      <c r="A403" s="1">
        <v>1</v>
      </c>
      <c r="B403" s="1">
        <v>2</v>
      </c>
      <c r="C403" s="1" t="s">
        <v>119</v>
      </c>
      <c r="D403" s="2">
        <v>38754</v>
      </c>
      <c r="E403" s="1">
        <v>37</v>
      </c>
      <c r="F403" s="1">
        <v>5.5</v>
      </c>
      <c r="G403" s="3">
        <v>0.68702546296296296</v>
      </c>
      <c r="H403" s="3">
        <v>0.68788194444444439</v>
      </c>
      <c r="I403" s="3">
        <v>8.5648148148143033E-4</v>
      </c>
      <c r="J403" s="3">
        <v>8.5648148148143033E-4</v>
      </c>
      <c r="K403" s="5">
        <f t="shared" si="75"/>
        <v>74</v>
      </c>
      <c r="L403" s="3" t="s">
        <v>120</v>
      </c>
      <c r="N403" s="1" t="s">
        <v>42</v>
      </c>
      <c r="O403" s="1" t="s">
        <v>43</v>
      </c>
      <c r="P403" s="1" t="s">
        <v>44</v>
      </c>
      <c r="Q403" s="1" t="s">
        <v>76</v>
      </c>
      <c r="S403" s="1" t="s">
        <v>451</v>
      </c>
      <c r="T403" s="1" t="s">
        <v>45</v>
      </c>
      <c r="U403" s="1" t="s">
        <v>156</v>
      </c>
      <c r="V403" s="1" t="s">
        <v>102</v>
      </c>
      <c r="W403" s="1" t="s">
        <v>671</v>
      </c>
      <c r="X403" s="1" t="s">
        <v>121</v>
      </c>
      <c r="AB403" s="1" t="s">
        <v>104</v>
      </c>
      <c r="AC403" s="1">
        <v>0</v>
      </c>
      <c r="AE403" s="1" t="s">
        <v>70</v>
      </c>
      <c r="AI403" s="1" t="s">
        <v>75</v>
      </c>
      <c r="AK403" s="1" t="s">
        <v>86</v>
      </c>
      <c r="AL403" s="1" t="s">
        <v>187</v>
      </c>
      <c r="AN403" s="1">
        <v>1</v>
      </c>
      <c r="AO403" s="1">
        <f t="shared" si="76"/>
        <v>1</v>
      </c>
    </row>
    <row r="404" spans="1:41" x14ac:dyDescent="0.4">
      <c r="A404" s="1">
        <v>1</v>
      </c>
      <c r="B404" s="1">
        <v>2</v>
      </c>
      <c r="C404" s="1" t="s">
        <v>119</v>
      </c>
      <c r="D404" s="2">
        <v>38757</v>
      </c>
      <c r="E404" s="1">
        <v>40</v>
      </c>
      <c r="F404" s="1">
        <v>0.5</v>
      </c>
      <c r="G404" s="3">
        <v>0.27107638888888891</v>
      </c>
      <c r="H404" s="3">
        <v>0.27233796296296298</v>
      </c>
      <c r="I404" s="3">
        <v>1.2615740740740677E-3</v>
      </c>
      <c r="J404" s="3">
        <v>1.2615740740740677E-3</v>
      </c>
      <c r="K404" s="5">
        <f t="shared" si="75"/>
        <v>109</v>
      </c>
      <c r="L404" s="3">
        <v>4.2870370370370336E-2</v>
      </c>
      <c r="N404" s="1" t="s">
        <v>42</v>
      </c>
      <c r="O404" s="1" t="s">
        <v>43</v>
      </c>
      <c r="P404" s="1" t="s">
        <v>44</v>
      </c>
      <c r="Q404" s="1" t="s">
        <v>76</v>
      </c>
      <c r="S404" s="1" t="s">
        <v>451</v>
      </c>
      <c r="AB404" s="1" t="s">
        <v>93</v>
      </c>
      <c r="AC404" s="1">
        <v>1</v>
      </c>
      <c r="AK404" s="1" t="s">
        <v>86</v>
      </c>
      <c r="AL404" s="1" t="s">
        <v>86</v>
      </c>
      <c r="AN404" s="1">
        <v>1</v>
      </c>
      <c r="AO404" s="1">
        <f t="shared" si="76"/>
        <v>1</v>
      </c>
    </row>
    <row r="405" spans="1:41" x14ac:dyDescent="0.4">
      <c r="A405" s="1">
        <v>1</v>
      </c>
      <c r="B405" s="1">
        <v>2</v>
      </c>
      <c r="C405" s="1" t="s">
        <v>119</v>
      </c>
      <c r="D405" s="2">
        <v>38793</v>
      </c>
      <c r="E405" s="1">
        <v>76</v>
      </c>
      <c r="F405" s="1">
        <v>1.5</v>
      </c>
      <c r="G405" s="3">
        <v>0.27520833333333333</v>
      </c>
      <c r="H405" s="3">
        <v>0.27523148148148152</v>
      </c>
      <c r="I405" s="3">
        <v>2.3148148148188774E-5</v>
      </c>
      <c r="J405" s="3">
        <v>2.3148148148188774E-5</v>
      </c>
      <c r="K405" s="5">
        <f t="shared" si="75"/>
        <v>2</v>
      </c>
      <c r="L405" s="3">
        <v>1.974537037037033E-2</v>
      </c>
      <c r="N405" s="1" t="s">
        <v>42</v>
      </c>
      <c r="O405" s="1" t="s">
        <v>43</v>
      </c>
      <c r="P405" s="1" t="s">
        <v>44</v>
      </c>
      <c r="Q405" s="1" t="s">
        <v>76</v>
      </c>
      <c r="S405" s="1" t="s">
        <v>451</v>
      </c>
      <c r="AB405" s="1" t="s">
        <v>93</v>
      </c>
      <c r="AC405" s="1">
        <v>1</v>
      </c>
      <c r="AK405" s="1" t="s">
        <v>86</v>
      </c>
      <c r="AL405" s="1" t="s">
        <v>86</v>
      </c>
      <c r="AN405" s="1">
        <v>1</v>
      </c>
      <c r="AO405" s="1">
        <f t="shared" si="76"/>
        <v>1</v>
      </c>
    </row>
    <row r="406" spans="1:41" x14ac:dyDescent="0.4">
      <c r="A406" s="1">
        <v>1</v>
      </c>
      <c r="B406" s="1">
        <v>2</v>
      </c>
      <c r="C406" s="1" t="s">
        <v>119</v>
      </c>
      <c r="D406" s="2">
        <v>38818</v>
      </c>
      <c r="E406" s="1">
        <v>101</v>
      </c>
      <c r="F406" s="1">
        <v>4.5</v>
      </c>
      <c r="G406" s="3">
        <v>0.61239583333333336</v>
      </c>
      <c r="H406" s="3">
        <v>0.61289351851851859</v>
      </c>
      <c r="I406" s="3">
        <v>4.9768518518522598E-4</v>
      </c>
      <c r="J406" s="3">
        <v>4.9768518518522598E-4</v>
      </c>
      <c r="K406" s="5">
        <f t="shared" si="75"/>
        <v>43</v>
      </c>
      <c r="L406" s="3" t="s">
        <v>120</v>
      </c>
      <c r="N406" s="1" t="s">
        <v>75</v>
      </c>
      <c r="O406" s="1" t="s">
        <v>43</v>
      </c>
      <c r="P406" s="1" t="s">
        <v>44</v>
      </c>
      <c r="Q406" s="1" t="s">
        <v>45</v>
      </c>
      <c r="S406" s="1" t="s">
        <v>451</v>
      </c>
      <c r="T406" s="1" t="s">
        <v>45</v>
      </c>
      <c r="U406" s="1" t="s">
        <v>66</v>
      </c>
      <c r="V406" s="1" t="s">
        <v>102</v>
      </c>
      <c r="W406" s="1" t="s">
        <v>103</v>
      </c>
      <c r="X406" s="1" t="s">
        <v>121</v>
      </c>
      <c r="AB406" s="1" t="s">
        <v>104</v>
      </c>
      <c r="AC406" s="1">
        <v>0</v>
      </c>
      <c r="AE406" s="1" t="s">
        <v>70</v>
      </c>
      <c r="AI406" s="1" t="s">
        <v>75</v>
      </c>
      <c r="AK406" s="1" t="s">
        <v>86</v>
      </c>
      <c r="AL406" s="1" t="s">
        <v>133</v>
      </c>
      <c r="AN406" s="1">
        <v>1</v>
      </c>
      <c r="AO406" s="1">
        <f t="shared" si="76"/>
        <v>1</v>
      </c>
    </row>
    <row r="407" spans="1:41" x14ac:dyDescent="0.4">
      <c r="A407" s="1">
        <v>1</v>
      </c>
      <c r="B407" s="1">
        <v>2</v>
      </c>
      <c r="C407" s="1" t="s">
        <v>119</v>
      </c>
      <c r="D407" s="2">
        <v>38860</v>
      </c>
      <c r="E407" s="1">
        <v>143</v>
      </c>
      <c r="F407" s="1">
        <v>3</v>
      </c>
      <c r="G407" s="3">
        <v>0.53525462962962966</v>
      </c>
      <c r="H407" s="3">
        <v>0.53618055555555555</v>
      </c>
      <c r="I407" s="3">
        <v>9.2592592592588563E-4</v>
      </c>
      <c r="J407" s="3">
        <v>9.2592592592588563E-4</v>
      </c>
      <c r="K407" s="5">
        <f t="shared" si="75"/>
        <v>80</v>
      </c>
      <c r="L407" s="3">
        <v>4.8206018518518468E-2</v>
      </c>
      <c r="N407" s="1" t="s">
        <v>75</v>
      </c>
      <c r="O407" s="1" t="s">
        <v>286</v>
      </c>
      <c r="P407" s="1" t="s">
        <v>44</v>
      </c>
      <c r="Q407" s="1" t="s">
        <v>45</v>
      </c>
      <c r="R407" s="1" t="s">
        <v>45</v>
      </c>
      <c r="S407" s="1" t="s">
        <v>46</v>
      </c>
      <c r="T407" s="1" t="s">
        <v>45</v>
      </c>
      <c r="U407" s="1" t="s">
        <v>66</v>
      </c>
      <c r="V407" s="1" t="s">
        <v>102</v>
      </c>
      <c r="W407" s="1" t="s">
        <v>231</v>
      </c>
      <c r="X407" s="1" t="s">
        <v>96</v>
      </c>
      <c r="AB407" s="1" t="s">
        <v>104</v>
      </c>
      <c r="AC407" s="1">
        <v>0</v>
      </c>
      <c r="AD407" s="1" t="s">
        <v>105</v>
      </c>
      <c r="AE407" s="1" t="s">
        <v>70</v>
      </c>
      <c r="AG407" s="1" t="s">
        <v>672</v>
      </c>
      <c r="AH407" s="1" t="s">
        <v>157</v>
      </c>
      <c r="AI407" s="1" t="s">
        <v>75</v>
      </c>
      <c r="AK407" s="1" t="s">
        <v>86</v>
      </c>
      <c r="AL407" s="1" t="s">
        <v>87</v>
      </c>
      <c r="AM407" s="1">
        <v>1</v>
      </c>
      <c r="AN407" s="1">
        <v>0</v>
      </c>
      <c r="AO407" s="1">
        <f t="shared" si="76"/>
        <v>1</v>
      </c>
    </row>
    <row r="408" spans="1:41" x14ac:dyDescent="0.4">
      <c r="A408" s="1">
        <v>1</v>
      </c>
      <c r="B408" s="1">
        <v>2</v>
      </c>
      <c r="C408" s="1" t="s">
        <v>119</v>
      </c>
      <c r="D408" s="2">
        <v>38897</v>
      </c>
      <c r="E408" s="1">
        <v>180</v>
      </c>
      <c r="F408" s="1">
        <v>9</v>
      </c>
      <c r="G408" s="3">
        <v>0.53395833333333331</v>
      </c>
      <c r="H408" s="3">
        <v>0.53575231481481478</v>
      </c>
      <c r="I408" s="3">
        <v>1.7939814814814659E-3</v>
      </c>
      <c r="J408" s="3">
        <v>1.7939814814814659E-3</v>
      </c>
      <c r="K408" s="5">
        <f t="shared" si="75"/>
        <v>155</v>
      </c>
      <c r="L408" s="3">
        <v>7.4571759259259296E-2</v>
      </c>
      <c r="N408" s="1" t="s">
        <v>75</v>
      </c>
      <c r="O408" s="1" t="s">
        <v>286</v>
      </c>
      <c r="P408" s="1" t="s">
        <v>44</v>
      </c>
      <c r="Q408" s="1" t="s">
        <v>76</v>
      </c>
      <c r="R408" s="1" t="s">
        <v>76</v>
      </c>
      <c r="S408" s="1" t="s">
        <v>46</v>
      </c>
      <c r="T408" s="1" t="s">
        <v>45</v>
      </c>
      <c r="U408" s="1" t="s">
        <v>92</v>
      </c>
      <c r="V408" s="1" t="s">
        <v>102</v>
      </c>
      <c r="W408" s="1" t="s">
        <v>231</v>
      </c>
      <c r="X408" s="1" t="s">
        <v>96</v>
      </c>
      <c r="AB408" s="1" t="s">
        <v>104</v>
      </c>
      <c r="AC408" s="1">
        <v>0</v>
      </c>
      <c r="AD408" s="1" t="s">
        <v>105</v>
      </c>
      <c r="AE408" s="1" t="s">
        <v>70</v>
      </c>
      <c r="AG408" s="1" t="s">
        <v>607</v>
      </c>
      <c r="AH408" s="1" t="s">
        <v>157</v>
      </c>
      <c r="AI408" s="1" t="s">
        <v>75</v>
      </c>
      <c r="AK408" s="1" t="s">
        <v>86</v>
      </c>
      <c r="AL408" s="1" t="s">
        <v>87</v>
      </c>
      <c r="AM408" s="1">
        <v>2</v>
      </c>
      <c r="AN408" s="1">
        <v>0</v>
      </c>
      <c r="AO408" s="1">
        <f t="shared" si="76"/>
        <v>2</v>
      </c>
    </row>
    <row r="409" spans="1:41" x14ac:dyDescent="0.4">
      <c r="A409" s="1">
        <v>1</v>
      </c>
      <c r="B409" s="1">
        <v>2</v>
      </c>
      <c r="C409" s="1" t="s">
        <v>119</v>
      </c>
      <c r="D409" s="2">
        <v>38897</v>
      </c>
      <c r="E409" s="1">
        <v>180</v>
      </c>
      <c r="F409" s="1">
        <v>12</v>
      </c>
      <c r="G409" s="3">
        <v>0.61859953703703707</v>
      </c>
      <c r="H409" s="3">
        <v>0.6193981481481482</v>
      </c>
      <c r="I409" s="3">
        <v>7.9861111111112493E-4</v>
      </c>
      <c r="J409" s="3">
        <v>7.9861111111112493E-4</v>
      </c>
      <c r="K409" s="5">
        <f t="shared" si="75"/>
        <v>69</v>
      </c>
      <c r="L409" s="3" t="s">
        <v>120</v>
      </c>
      <c r="N409" s="1" t="s">
        <v>42</v>
      </c>
      <c r="O409" s="1" t="s">
        <v>286</v>
      </c>
      <c r="P409" s="1" t="s">
        <v>44</v>
      </c>
      <c r="Q409" s="1" t="s">
        <v>76</v>
      </c>
      <c r="R409" s="1" t="s">
        <v>76</v>
      </c>
      <c r="S409" s="1" t="s">
        <v>46</v>
      </c>
      <c r="T409" s="1" t="s">
        <v>45</v>
      </c>
      <c r="U409" s="1" t="s">
        <v>66</v>
      </c>
      <c r="V409" s="1" t="s">
        <v>49</v>
      </c>
      <c r="W409" s="1" t="s">
        <v>168</v>
      </c>
      <c r="X409" s="1" t="s">
        <v>673</v>
      </c>
      <c r="AB409" s="1" t="s">
        <v>258</v>
      </c>
      <c r="AC409" s="1">
        <v>0</v>
      </c>
      <c r="AD409" s="1" t="s">
        <v>56</v>
      </c>
      <c r="AE409" s="1" t="s">
        <v>181</v>
      </c>
      <c r="AG409" s="1" t="s">
        <v>674</v>
      </c>
      <c r="AH409" s="1" t="s">
        <v>157</v>
      </c>
      <c r="AI409" s="1" t="s">
        <v>71</v>
      </c>
      <c r="AK409" s="1" t="s">
        <v>61</v>
      </c>
      <c r="AL409" s="1" t="s">
        <v>133</v>
      </c>
      <c r="AM409" s="1">
        <v>1</v>
      </c>
      <c r="AN409" s="1">
        <v>0</v>
      </c>
      <c r="AO409" s="1">
        <f t="shared" si="76"/>
        <v>1</v>
      </c>
    </row>
    <row r="410" spans="1:41" x14ac:dyDescent="0.4">
      <c r="A410" s="1">
        <v>1</v>
      </c>
      <c r="B410" s="1">
        <v>2</v>
      </c>
      <c r="C410" s="1" t="s">
        <v>119</v>
      </c>
      <c r="D410" s="2">
        <v>38915</v>
      </c>
      <c r="E410" s="1">
        <v>198</v>
      </c>
      <c r="F410" s="1">
        <v>1.5</v>
      </c>
      <c r="G410" s="3">
        <v>0.55983796296296295</v>
      </c>
      <c r="H410" s="3">
        <v>0.5599884259259259</v>
      </c>
      <c r="I410" s="3">
        <v>1.5046296296294948E-4</v>
      </c>
      <c r="J410" s="3">
        <v>1.5046296296294948E-4</v>
      </c>
      <c r="K410" s="5">
        <f t="shared" si="75"/>
        <v>13</v>
      </c>
      <c r="L410" s="3">
        <v>0.10846064814814826</v>
      </c>
      <c r="N410" s="1" t="s">
        <v>42</v>
      </c>
      <c r="O410" s="1" t="s">
        <v>286</v>
      </c>
      <c r="P410" s="1" t="s">
        <v>44</v>
      </c>
      <c r="Q410" s="1" t="s">
        <v>76</v>
      </c>
      <c r="R410" s="1" t="s">
        <v>76</v>
      </c>
      <c r="S410" s="1" t="s">
        <v>46</v>
      </c>
      <c r="T410" s="1" t="s">
        <v>45</v>
      </c>
      <c r="U410" s="1" t="s">
        <v>156</v>
      </c>
      <c r="V410" s="1" t="s">
        <v>67</v>
      </c>
      <c r="W410" s="1" t="s">
        <v>68</v>
      </c>
      <c r="Y410" s="1" t="s">
        <v>68</v>
      </c>
      <c r="AB410" s="1" t="s">
        <v>69</v>
      </c>
      <c r="AC410" s="1">
        <v>0</v>
      </c>
      <c r="AD410" s="1" t="s">
        <v>68</v>
      </c>
      <c r="AE410" s="1" t="s">
        <v>70</v>
      </c>
      <c r="AI410" s="1" t="s">
        <v>75</v>
      </c>
      <c r="AK410" s="1" t="s">
        <v>86</v>
      </c>
      <c r="AL410" s="1" t="s">
        <v>86</v>
      </c>
      <c r="AN410" s="1">
        <v>1</v>
      </c>
      <c r="AO410" s="1">
        <f t="shared" si="76"/>
        <v>1</v>
      </c>
    </row>
    <row r="411" spans="1:41" x14ac:dyDescent="0.4">
      <c r="A411" s="1">
        <v>1</v>
      </c>
      <c r="B411" s="1">
        <v>2</v>
      </c>
      <c r="C411" s="1" t="s">
        <v>119</v>
      </c>
      <c r="D411" s="2">
        <v>38915</v>
      </c>
      <c r="E411" s="1">
        <v>198</v>
      </c>
      <c r="F411" s="1">
        <v>4</v>
      </c>
      <c r="G411" s="3">
        <v>0.66844907407407417</v>
      </c>
      <c r="H411" s="3">
        <v>0.66937500000000005</v>
      </c>
      <c r="I411" s="3">
        <v>9.2592592592588563E-4</v>
      </c>
      <c r="J411" s="3">
        <v>9.0277777777769685E-4</v>
      </c>
      <c r="K411" s="5">
        <f t="shared" si="75"/>
        <v>78</v>
      </c>
      <c r="L411" s="3" t="s">
        <v>120</v>
      </c>
      <c r="N411" s="1" t="s">
        <v>75</v>
      </c>
      <c r="O411" s="1" t="s">
        <v>286</v>
      </c>
      <c r="P411" s="1" t="s">
        <v>44</v>
      </c>
      <c r="Q411" s="1" t="s">
        <v>76</v>
      </c>
      <c r="R411" s="1" t="s">
        <v>45</v>
      </c>
      <c r="S411" s="1" t="s">
        <v>46</v>
      </c>
      <c r="T411" s="1" t="s">
        <v>76</v>
      </c>
      <c r="U411" s="1" t="s">
        <v>48</v>
      </c>
      <c r="V411" s="1" t="s">
        <v>102</v>
      </c>
      <c r="W411" s="1" t="s">
        <v>103</v>
      </c>
      <c r="X411" s="1" t="s">
        <v>96</v>
      </c>
      <c r="AB411" s="1" t="s">
        <v>104</v>
      </c>
      <c r="AC411" s="1">
        <v>0</v>
      </c>
      <c r="AD411" s="1" t="s">
        <v>105</v>
      </c>
      <c r="AE411" s="1" t="s">
        <v>70</v>
      </c>
      <c r="AH411" s="1" t="s">
        <v>157</v>
      </c>
      <c r="AI411" s="1" t="s">
        <v>75</v>
      </c>
      <c r="AK411" s="1" t="s">
        <v>61</v>
      </c>
      <c r="AL411" s="1" t="s">
        <v>133</v>
      </c>
      <c r="AN411" s="1">
        <v>1</v>
      </c>
      <c r="AO411" s="1">
        <f t="shared" si="76"/>
        <v>1</v>
      </c>
    </row>
    <row r="412" spans="1:41" x14ac:dyDescent="0.4">
      <c r="A412" s="1">
        <v>1</v>
      </c>
      <c r="B412" s="1">
        <v>2</v>
      </c>
      <c r="C412" s="1" t="s">
        <v>119</v>
      </c>
      <c r="D412" s="2">
        <v>38943</v>
      </c>
      <c r="E412" s="1">
        <v>226</v>
      </c>
      <c r="F412" s="1">
        <v>2</v>
      </c>
      <c r="G412" s="3">
        <v>0.28623842592592591</v>
      </c>
      <c r="H412" s="3">
        <v>0.28672453703703704</v>
      </c>
      <c r="I412" s="3">
        <v>4.8611111111113159E-4</v>
      </c>
      <c r="J412" s="3">
        <v>4.8611111111113159E-4</v>
      </c>
      <c r="K412" s="5">
        <f t="shared" si="75"/>
        <v>42</v>
      </c>
      <c r="L412" s="3">
        <v>1.7500000000000016E-2</v>
      </c>
      <c r="N412" s="1" t="s">
        <v>42</v>
      </c>
      <c r="O412" s="1" t="s">
        <v>286</v>
      </c>
      <c r="P412" s="1" t="s">
        <v>44</v>
      </c>
      <c r="Q412" s="1" t="s">
        <v>76</v>
      </c>
      <c r="R412" s="1" t="s">
        <v>76</v>
      </c>
      <c r="S412" s="1" t="s">
        <v>46</v>
      </c>
      <c r="T412" s="1" t="s">
        <v>47</v>
      </c>
      <c r="U412" s="1" t="s">
        <v>48</v>
      </c>
      <c r="X412" s="1" t="s">
        <v>313</v>
      </c>
      <c r="AB412" s="1" t="s">
        <v>93</v>
      </c>
      <c r="AC412" s="1">
        <v>1</v>
      </c>
      <c r="AD412" s="1" t="s">
        <v>56</v>
      </c>
      <c r="AG412" s="1" t="s">
        <v>675</v>
      </c>
      <c r="AH412" s="1" t="s">
        <v>157</v>
      </c>
      <c r="AI412" s="1" t="s">
        <v>60</v>
      </c>
      <c r="AK412" s="1" t="s">
        <v>86</v>
      </c>
      <c r="AL412" s="1" t="s">
        <v>133</v>
      </c>
      <c r="AM412" s="1">
        <v>1</v>
      </c>
      <c r="AN412" s="1">
        <v>0</v>
      </c>
      <c r="AO412" s="1">
        <f t="shared" si="76"/>
        <v>1</v>
      </c>
    </row>
    <row r="413" spans="1:41" x14ac:dyDescent="0.4">
      <c r="A413" s="1">
        <v>1</v>
      </c>
      <c r="B413" s="1">
        <v>2</v>
      </c>
      <c r="C413" s="1" t="s">
        <v>119</v>
      </c>
      <c r="D413" s="2">
        <v>38950</v>
      </c>
      <c r="E413" s="1">
        <v>233</v>
      </c>
      <c r="F413" s="1">
        <v>4</v>
      </c>
      <c r="G413" s="3">
        <v>0.49521990740740746</v>
      </c>
      <c r="H413" s="3">
        <v>0.50028935185185186</v>
      </c>
      <c r="I413" s="3">
        <v>5.0694444444444042E-3</v>
      </c>
      <c r="J413" s="3">
        <v>5.0694444444444042E-3</v>
      </c>
      <c r="K413" s="5">
        <f t="shared" si="75"/>
        <v>438</v>
      </c>
      <c r="L413" s="3">
        <v>3.76157407407407E-3</v>
      </c>
      <c r="N413" s="1" t="s">
        <v>42</v>
      </c>
      <c r="O413" s="1" t="s">
        <v>286</v>
      </c>
      <c r="P413" s="1" t="s">
        <v>44</v>
      </c>
      <c r="Q413" s="1" t="s">
        <v>76</v>
      </c>
      <c r="R413" s="1" t="s">
        <v>76</v>
      </c>
      <c r="S413" s="1" t="s">
        <v>46</v>
      </c>
      <c r="T413" s="1" t="s">
        <v>45</v>
      </c>
      <c r="U413" s="1" t="s">
        <v>156</v>
      </c>
      <c r="V413" s="1" t="s">
        <v>102</v>
      </c>
      <c r="W413" s="1" t="s">
        <v>231</v>
      </c>
      <c r="X413" s="1" t="s">
        <v>96</v>
      </c>
      <c r="Y413" s="1" t="s">
        <v>415</v>
      </c>
      <c r="Z413" s="1" t="s">
        <v>416</v>
      </c>
      <c r="AA413" s="1">
        <v>44</v>
      </c>
      <c r="AB413" s="1" t="s">
        <v>417</v>
      </c>
      <c r="AC413" s="1">
        <v>0</v>
      </c>
      <c r="AD413" s="1" t="s">
        <v>105</v>
      </c>
      <c r="AE413" s="1" t="s">
        <v>70</v>
      </c>
      <c r="AG413" s="1" t="s">
        <v>472</v>
      </c>
      <c r="AH413" s="1" t="s">
        <v>157</v>
      </c>
      <c r="AI413" s="1" t="s">
        <v>75</v>
      </c>
      <c r="AK413" s="1" t="s">
        <v>86</v>
      </c>
      <c r="AL413" s="1" t="s">
        <v>87</v>
      </c>
      <c r="AM413" s="1">
        <v>3</v>
      </c>
      <c r="AN413" s="1">
        <v>0</v>
      </c>
      <c r="AO413" s="1">
        <f t="shared" si="76"/>
        <v>3</v>
      </c>
    </row>
    <row r="414" spans="1:41" x14ac:dyDescent="0.4">
      <c r="A414" s="1">
        <v>1</v>
      </c>
      <c r="B414" s="1">
        <v>2</v>
      </c>
      <c r="C414" s="1" t="s">
        <v>119</v>
      </c>
      <c r="D414" s="2">
        <v>38950</v>
      </c>
      <c r="E414" s="1">
        <v>233</v>
      </c>
      <c r="F414" s="1">
        <v>6.5</v>
      </c>
      <c r="G414" s="3">
        <v>0.50891203703703702</v>
      </c>
      <c r="H414" s="3">
        <v>0.50895833333333329</v>
      </c>
      <c r="I414" s="3">
        <v>4.6296296296266526E-5</v>
      </c>
      <c r="J414" s="3">
        <v>4.6296296296266526E-5</v>
      </c>
      <c r="K414" s="5">
        <f t="shared" si="75"/>
        <v>4</v>
      </c>
      <c r="L414" s="3">
        <v>2.280092592592653E-3</v>
      </c>
      <c r="N414" s="1" t="s">
        <v>42</v>
      </c>
      <c r="O414" s="1" t="s">
        <v>286</v>
      </c>
      <c r="P414" s="1" t="s">
        <v>44</v>
      </c>
      <c r="Q414" s="1" t="s">
        <v>76</v>
      </c>
      <c r="R414" s="1" t="s">
        <v>76</v>
      </c>
      <c r="S414" s="1" t="s">
        <v>46</v>
      </c>
      <c r="AB414" s="1" t="s">
        <v>93</v>
      </c>
      <c r="AC414" s="1">
        <v>1</v>
      </c>
      <c r="AK414" s="1" t="s">
        <v>86</v>
      </c>
      <c r="AL414" s="1" t="s">
        <v>87</v>
      </c>
      <c r="AN414" s="1">
        <v>1</v>
      </c>
      <c r="AO414" s="1">
        <f t="shared" si="76"/>
        <v>1</v>
      </c>
    </row>
    <row r="415" spans="1:41" x14ac:dyDescent="0.4">
      <c r="A415" s="1">
        <v>1</v>
      </c>
      <c r="B415" s="1">
        <v>2</v>
      </c>
      <c r="C415" s="1" t="s">
        <v>119</v>
      </c>
      <c r="D415" s="2">
        <v>38954</v>
      </c>
      <c r="E415" s="1">
        <v>237</v>
      </c>
      <c r="F415" s="1">
        <v>11.5</v>
      </c>
      <c r="G415" s="3">
        <v>0.56295138888888896</v>
      </c>
      <c r="H415" s="3">
        <v>0.56298611111111108</v>
      </c>
      <c r="I415" s="3">
        <v>3.4722222222116628E-5</v>
      </c>
      <c r="J415" s="3">
        <v>3.4722222222116628E-5</v>
      </c>
      <c r="K415" s="5">
        <f t="shared" si="75"/>
        <v>3</v>
      </c>
      <c r="L415" s="3">
        <v>8.6493055555555642E-2</v>
      </c>
      <c r="N415" s="1" t="s">
        <v>42</v>
      </c>
      <c r="O415" s="1" t="s">
        <v>286</v>
      </c>
      <c r="P415" s="1" t="s">
        <v>44</v>
      </c>
      <c r="Q415" s="1" t="s">
        <v>76</v>
      </c>
      <c r="R415" s="1" t="s">
        <v>91</v>
      </c>
      <c r="S415" s="1" t="s">
        <v>46</v>
      </c>
      <c r="T415" s="1" t="s">
        <v>47</v>
      </c>
      <c r="U415" s="1" t="s">
        <v>92</v>
      </c>
      <c r="AB415" s="1" t="s">
        <v>93</v>
      </c>
      <c r="AC415" s="1">
        <v>1</v>
      </c>
      <c r="AG415" s="1" t="s">
        <v>624</v>
      </c>
      <c r="AI415" s="1" t="s">
        <v>75</v>
      </c>
      <c r="AK415" s="1" t="s">
        <v>86</v>
      </c>
      <c r="AL415" s="1" t="s">
        <v>187</v>
      </c>
      <c r="AM415" s="1">
        <v>5</v>
      </c>
      <c r="AN415" s="1">
        <v>0</v>
      </c>
      <c r="AO415" s="1">
        <f t="shared" si="76"/>
        <v>5</v>
      </c>
    </row>
    <row r="416" spans="1:41" x14ac:dyDescent="0.4">
      <c r="A416" s="1">
        <v>1</v>
      </c>
      <c r="B416" s="1">
        <v>2</v>
      </c>
      <c r="C416" s="1" t="s">
        <v>119</v>
      </c>
      <c r="D416" s="2">
        <v>38954</v>
      </c>
      <c r="E416" s="1">
        <v>237</v>
      </c>
      <c r="F416" s="1">
        <v>13.5</v>
      </c>
      <c r="G416" s="3">
        <v>0.65730324074074076</v>
      </c>
      <c r="H416" s="3">
        <v>0.65733796296296299</v>
      </c>
      <c r="I416" s="3">
        <v>3.472222222222765E-5</v>
      </c>
      <c r="J416" s="3">
        <v>3.472222222222765E-5</v>
      </c>
      <c r="K416" s="5">
        <f t="shared" si="75"/>
        <v>3</v>
      </c>
      <c r="L416" s="3">
        <v>2.2685185185185031E-3</v>
      </c>
      <c r="N416" s="1" t="s">
        <v>42</v>
      </c>
      <c r="O416" s="1" t="s">
        <v>286</v>
      </c>
      <c r="P416" s="1" t="s">
        <v>44</v>
      </c>
      <c r="Q416" s="1" t="s">
        <v>76</v>
      </c>
      <c r="R416" s="1" t="s">
        <v>76</v>
      </c>
      <c r="S416" s="1" t="s">
        <v>46</v>
      </c>
      <c r="T416" s="1" t="s">
        <v>45</v>
      </c>
      <c r="U416" s="1" t="s">
        <v>156</v>
      </c>
      <c r="V416" s="1" t="s">
        <v>67</v>
      </c>
      <c r="W416" s="1" t="s">
        <v>68</v>
      </c>
      <c r="Y416" s="1" t="s">
        <v>68</v>
      </c>
      <c r="AB416" s="1" t="s">
        <v>69</v>
      </c>
      <c r="AC416" s="1">
        <v>0</v>
      </c>
      <c r="AD416" s="1" t="s">
        <v>68</v>
      </c>
      <c r="AE416" s="1" t="s">
        <v>70</v>
      </c>
      <c r="AG416" s="1" t="s">
        <v>608</v>
      </c>
      <c r="AI416" s="1" t="s">
        <v>75</v>
      </c>
      <c r="AK416" s="1" t="s">
        <v>116</v>
      </c>
      <c r="AL416" s="1" t="s">
        <v>117</v>
      </c>
      <c r="AM416" s="1">
        <v>3</v>
      </c>
      <c r="AN416" s="1">
        <v>0</v>
      </c>
      <c r="AO416" s="1">
        <f t="shared" si="76"/>
        <v>3</v>
      </c>
    </row>
    <row r="417" spans="1:41" x14ac:dyDescent="0.4">
      <c r="A417" s="1">
        <v>1</v>
      </c>
      <c r="B417" s="1">
        <v>2</v>
      </c>
      <c r="C417" s="1" t="s">
        <v>119</v>
      </c>
      <c r="D417" s="2">
        <v>38968</v>
      </c>
      <c r="E417" s="1">
        <v>251</v>
      </c>
      <c r="F417" s="1">
        <v>2</v>
      </c>
      <c r="G417" s="3">
        <v>0.46200231481481485</v>
      </c>
      <c r="H417" s="3">
        <v>0.46457175925925925</v>
      </c>
      <c r="I417" s="3">
        <v>2.569444444444402E-3</v>
      </c>
      <c r="J417" s="3">
        <v>1.2037037037037068E-3</v>
      </c>
      <c r="K417" s="5">
        <f t="shared" si="75"/>
        <v>104</v>
      </c>
      <c r="L417" s="3">
        <v>0.13598379629629637</v>
      </c>
      <c r="N417" s="1" t="s">
        <v>42</v>
      </c>
      <c r="O417" s="1" t="s">
        <v>286</v>
      </c>
      <c r="P417" s="1" t="s">
        <v>44</v>
      </c>
      <c r="Q417" s="1" t="s">
        <v>76</v>
      </c>
      <c r="R417" s="1" t="s">
        <v>76</v>
      </c>
      <c r="S417" s="1" t="s">
        <v>46</v>
      </c>
      <c r="T417" s="1" t="s">
        <v>47</v>
      </c>
      <c r="U417" s="1" t="s">
        <v>156</v>
      </c>
      <c r="V417" s="1" t="s">
        <v>102</v>
      </c>
      <c r="W417" s="1" t="s">
        <v>103</v>
      </c>
      <c r="X417" s="1" t="s">
        <v>96</v>
      </c>
      <c r="AB417" s="1" t="s">
        <v>104</v>
      </c>
      <c r="AC417" s="1">
        <v>0</v>
      </c>
      <c r="AD417" s="1" t="s">
        <v>105</v>
      </c>
      <c r="AE417" s="1" t="s">
        <v>70</v>
      </c>
      <c r="AG417" s="1" t="s">
        <v>676</v>
      </c>
      <c r="AH417" s="1" t="s">
        <v>157</v>
      </c>
      <c r="AI417" s="1" t="s">
        <v>75</v>
      </c>
      <c r="AK417" s="1" t="s">
        <v>86</v>
      </c>
      <c r="AL417" s="1" t="s">
        <v>133</v>
      </c>
      <c r="AM417" s="1">
        <v>1</v>
      </c>
      <c r="AN417" s="1">
        <v>0</v>
      </c>
      <c r="AO417" s="1">
        <f t="shared" si="76"/>
        <v>1</v>
      </c>
    </row>
    <row r="418" spans="1:41" x14ac:dyDescent="0.4">
      <c r="A418" s="1">
        <v>1</v>
      </c>
      <c r="B418" s="1">
        <v>2</v>
      </c>
      <c r="C418" s="1" t="s">
        <v>119</v>
      </c>
      <c r="D418" s="2">
        <v>38968</v>
      </c>
      <c r="E418" s="1">
        <v>251</v>
      </c>
      <c r="F418" s="1">
        <v>3.5</v>
      </c>
      <c r="G418" s="3">
        <v>0.60055555555555562</v>
      </c>
      <c r="H418" s="3">
        <v>0.60078703703703706</v>
      </c>
      <c r="I418" s="3">
        <v>2.3148148148144365E-4</v>
      </c>
      <c r="J418" s="3">
        <v>2.3148148148144365E-4</v>
      </c>
      <c r="K418" s="5">
        <f t="shared" si="75"/>
        <v>20</v>
      </c>
      <c r="L418" s="3">
        <v>1.1458333333333348E-2</v>
      </c>
      <c r="N418" s="1" t="s">
        <v>42</v>
      </c>
      <c r="O418" s="1" t="s">
        <v>286</v>
      </c>
      <c r="P418" s="1" t="s">
        <v>44</v>
      </c>
      <c r="Q418" s="1" t="s">
        <v>76</v>
      </c>
      <c r="R418" s="1" t="s">
        <v>76</v>
      </c>
      <c r="S418" s="1" t="s">
        <v>46</v>
      </c>
      <c r="T418" s="1" t="s">
        <v>45</v>
      </c>
      <c r="U418" s="1" t="s">
        <v>156</v>
      </c>
      <c r="V418" s="1" t="s">
        <v>102</v>
      </c>
      <c r="W418" s="1" t="s">
        <v>103</v>
      </c>
      <c r="X418" s="1" t="s">
        <v>96</v>
      </c>
      <c r="AB418" s="1" t="s">
        <v>104</v>
      </c>
      <c r="AC418" s="1">
        <v>0</v>
      </c>
      <c r="AD418" s="1" t="s">
        <v>105</v>
      </c>
      <c r="AE418" s="1" t="s">
        <v>70</v>
      </c>
      <c r="AG418" s="1" t="s">
        <v>626</v>
      </c>
      <c r="AH418" s="1" t="s">
        <v>157</v>
      </c>
      <c r="AI418" s="1" t="s">
        <v>75</v>
      </c>
      <c r="AK418" s="1" t="s">
        <v>116</v>
      </c>
      <c r="AL418" s="1" t="s">
        <v>117</v>
      </c>
      <c r="AM418" s="1">
        <v>2</v>
      </c>
      <c r="AN418" s="1">
        <v>0</v>
      </c>
      <c r="AO418" s="1">
        <f t="shared" si="76"/>
        <v>2</v>
      </c>
    </row>
    <row r="419" spans="1:41" x14ac:dyDescent="0.4">
      <c r="A419" s="1">
        <v>1</v>
      </c>
      <c r="B419" s="1">
        <v>2</v>
      </c>
      <c r="C419" s="1" t="s">
        <v>119</v>
      </c>
      <c r="D419" s="2">
        <v>38968</v>
      </c>
      <c r="E419" s="1">
        <v>251</v>
      </c>
      <c r="F419" s="1">
        <v>4.5</v>
      </c>
      <c r="G419" s="3">
        <v>0.62350694444444443</v>
      </c>
      <c r="H419" s="3">
        <v>0.62366898148148142</v>
      </c>
      <c r="I419" s="3">
        <v>1.6203703703698835E-4</v>
      </c>
      <c r="J419" s="3">
        <v>1.6203703703698835E-4</v>
      </c>
      <c r="K419" s="5">
        <f t="shared" si="75"/>
        <v>14</v>
      </c>
      <c r="L419" s="3">
        <v>5.3599537037037126E-2</v>
      </c>
      <c r="N419" s="1" t="s">
        <v>42</v>
      </c>
      <c r="O419" s="1" t="s">
        <v>286</v>
      </c>
      <c r="P419" s="1" t="s">
        <v>44</v>
      </c>
      <c r="Q419" s="1" t="s">
        <v>76</v>
      </c>
      <c r="R419" s="1" t="s">
        <v>76</v>
      </c>
      <c r="S419" s="1" t="s">
        <v>46</v>
      </c>
      <c r="T419" s="1" t="s">
        <v>45</v>
      </c>
      <c r="U419" s="1" t="s">
        <v>92</v>
      </c>
      <c r="AB419" s="1" t="s">
        <v>93</v>
      </c>
      <c r="AC419" s="1">
        <v>1</v>
      </c>
      <c r="AI419" s="1" t="s">
        <v>75</v>
      </c>
      <c r="AK419" s="1" t="s">
        <v>86</v>
      </c>
      <c r="AL419" s="1" t="s">
        <v>133</v>
      </c>
      <c r="AN419" s="1">
        <v>1</v>
      </c>
      <c r="AO419" s="1">
        <f t="shared" si="76"/>
        <v>1</v>
      </c>
    </row>
    <row r="420" spans="1:41" x14ac:dyDescent="0.4">
      <c r="A420" s="1">
        <v>1</v>
      </c>
      <c r="B420" s="1">
        <v>2</v>
      </c>
      <c r="C420" s="1" t="s">
        <v>119</v>
      </c>
      <c r="D420" s="2">
        <v>38968</v>
      </c>
      <c r="E420" s="1">
        <v>251</v>
      </c>
      <c r="F420" s="1">
        <v>6.5</v>
      </c>
      <c r="G420" s="3">
        <v>0.67726851851851855</v>
      </c>
      <c r="H420" s="3">
        <v>0.67754629629629637</v>
      </c>
      <c r="I420" s="3">
        <v>2.777777777778212E-4</v>
      </c>
      <c r="J420" s="3">
        <v>2.777777777778212E-4</v>
      </c>
      <c r="K420" s="5">
        <f t="shared" si="75"/>
        <v>24</v>
      </c>
      <c r="L420" s="3">
        <v>9.2708333333332282E-3</v>
      </c>
      <c r="N420" s="1" t="s">
        <v>42</v>
      </c>
      <c r="O420" s="1" t="s">
        <v>286</v>
      </c>
      <c r="P420" s="1" t="s">
        <v>44</v>
      </c>
      <c r="Q420" s="1" t="s">
        <v>191</v>
      </c>
      <c r="R420" s="1" t="s">
        <v>191</v>
      </c>
      <c r="S420" s="1" t="s">
        <v>46</v>
      </c>
      <c r="AB420" s="1" t="s">
        <v>93</v>
      </c>
      <c r="AC420" s="1">
        <v>1</v>
      </c>
      <c r="AG420" s="1" t="s">
        <v>677</v>
      </c>
      <c r="AK420" s="1" t="s">
        <v>86</v>
      </c>
      <c r="AL420" s="1" t="s">
        <v>86</v>
      </c>
      <c r="AM420" s="1">
        <v>1</v>
      </c>
      <c r="AN420" s="1">
        <v>0</v>
      </c>
      <c r="AO420" s="1">
        <f t="shared" si="76"/>
        <v>1</v>
      </c>
    </row>
    <row r="421" spans="1:41" x14ac:dyDescent="0.4">
      <c r="A421" s="1">
        <v>1</v>
      </c>
      <c r="B421" s="1">
        <v>2</v>
      </c>
      <c r="C421" s="1" t="s">
        <v>119</v>
      </c>
      <c r="D421" s="2">
        <v>38968</v>
      </c>
      <c r="E421" s="1">
        <v>251</v>
      </c>
      <c r="F421" s="1">
        <v>13</v>
      </c>
      <c r="G421" s="3">
        <v>0.71442129629629625</v>
      </c>
      <c r="H421" s="3">
        <v>0.71607638888888892</v>
      </c>
      <c r="I421" s="3">
        <v>1.6550925925926663E-3</v>
      </c>
      <c r="J421" s="3">
        <v>1.6550925925926663E-3</v>
      </c>
      <c r="K421" s="5">
        <f t="shared" si="75"/>
        <v>143</v>
      </c>
      <c r="L421" s="3">
        <v>7.1759259259258634E-3</v>
      </c>
      <c r="N421" s="1" t="s">
        <v>42</v>
      </c>
      <c r="O421" s="1" t="s">
        <v>286</v>
      </c>
      <c r="P421" s="1" t="s">
        <v>44</v>
      </c>
      <c r="Q421" s="1" t="s">
        <v>76</v>
      </c>
      <c r="R421" s="1" t="s">
        <v>76</v>
      </c>
      <c r="S421" s="1" t="s">
        <v>46</v>
      </c>
      <c r="T421" s="1" t="s">
        <v>47</v>
      </c>
      <c r="U421" s="1" t="s">
        <v>66</v>
      </c>
      <c r="V421" s="1" t="s">
        <v>102</v>
      </c>
      <c r="W421" s="1" t="s">
        <v>103</v>
      </c>
      <c r="X421" s="1" t="s">
        <v>96</v>
      </c>
      <c r="Y421" s="1" t="s">
        <v>528</v>
      </c>
      <c r="Z421" s="1" t="s">
        <v>529</v>
      </c>
      <c r="AA421" s="1" t="s">
        <v>530</v>
      </c>
      <c r="AB421" s="1" t="s">
        <v>641</v>
      </c>
      <c r="AC421" s="1">
        <v>0</v>
      </c>
      <c r="AD421" s="1" t="s">
        <v>56</v>
      </c>
      <c r="AE421" s="1" t="s">
        <v>70</v>
      </c>
      <c r="AG421" s="1" t="s">
        <v>532</v>
      </c>
      <c r="AI421" s="1" t="s">
        <v>71</v>
      </c>
      <c r="AK421" s="1" t="s">
        <v>116</v>
      </c>
      <c r="AL421" s="1" t="s">
        <v>174</v>
      </c>
      <c r="AM421" s="1">
        <v>3</v>
      </c>
      <c r="AN421" s="1">
        <v>0</v>
      </c>
      <c r="AO421" s="1">
        <f t="shared" si="76"/>
        <v>3</v>
      </c>
    </row>
    <row r="422" spans="1:41" x14ac:dyDescent="0.4">
      <c r="A422" s="1">
        <v>1</v>
      </c>
      <c r="B422" s="1">
        <v>2</v>
      </c>
      <c r="C422" s="1" t="s">
        <v>119</v>
      </c>
      <c r="D422" s="2">
        <v>38994</v>
      </c>
      <c r="E422" s="1">
        <v>277</v>
      </c>
      <c r="F422" s="1">
        <v>2</v>
      </c>
      <c r="G422" s="3">
        <v>0.2988425925925926</v>
      </c>
      <c r="H422" s="3">
        <v>0.30135416666666665</v>
      </c>
      <c r="I422" s="3">
        <v>2.5115740740740411E-3</v>
      </c>
      <c r="J422" s="3">
        <v>1.8518518518518268E-3</v>
      </c>
      <c r="K422" s="5">
        <f t="shared" si="75"/>
        <v>160</v>
      </c>
      <c r="L422" s="3">
        <v>3.3680555555555824E-3</v>
      </c>
      <c r="N422" s="1" t="s">
        <v>42</v>
      </c>
      <c r="O422" s="1" t="s">
        <v>286</v>
      </c>
      <c r="P422" s="1" t="s">
        <v>660</v>
      </c>
      <c r="Q422" s="1" t="s">
        <v>132</v>
      </c>
      <c r="R422" s="1" t="s">
        <v>76</v>
      </c>
      <c r="S422" s="1" t="s">
        <v>46</v>
      </c>
      <c r="T422" s="1" t="s">
        <v>124</v>
      </c>
      <c r="U422" s="1" t="s">
        <v>156</v>
      </c>
      <c r="X422" s="1" t="s">
        <v>313</v>
      </c>
      <c r="AB422" s="1" t="s">
        <v>93</v>
      </c>
      <c r="AC422" s="1">
        <v>1</v>
      </c>
      <c r="AD422" s="1" t="s">
        <v>56</v>
      </c>
      <c r="AH422" s="1" t="s">
        <v>157</v>
      </c>
      <c r="AI422" s="1" t="s">
        <v>75</v>
      </c>
      <c r="AK422" s="1" t="s">
        <v>86</v>
      </c>
      <c r="AL422" s="1" t="s">
        <v>87</v>
      </c>
      <c r="AN422" s="1">
        <v>1</v>
      </c>
      <c r="AO422" s="1">
        <f t="shared" si="76"/>
        <v>1</v>
      </c>
    </row>
    <row r="423" spans="1:41" x14ac:dyDescent="0.4">
      <c r="A423" s="1">
        <v>1</v>
      </c>
      <c r="B423" s="1">
        <v>2</v>
      </c>
      <c r="C423" s="1" t="s">
        <v>119</v>
      </c>
      <c r="D423" s="2">
        <v>38994</v>
      </c>
      <c r="E423" s="1">
        <v>277</v>
      </c>
      <c r="F423" s="1">
        <v>3</v>
      </c>
      <c r="G423" s="3">
        <v>0.30472222222222223</v>
      </c>
      <c r="H423" s="3">
        <v>0.30560185185185185</v>
      </c>
      <c r="I423" s="3">
        <v>8.796296296296191E-4</v>
      </c>
      <c r="J423" s="3">
        <v>8.796296296296191E-4</v>
      </c>
      <c r="K423" s="5">
        <f t="shared" si="75"/>
        <v>76</v>
      </c>
      <c r="L423" s="3">
        <v>0.17375000000000002</v>
      </c>
      <c r="N423" s="1" t="s">
        <v>42</v>
      </c>
      <c r="O423" s="1" t="s">
        <v>286</v>
      </c>
      <c r="P423" s="1" t="s">
        <v>660</v>
      </c>
      <c r="Q423" s="1" t="s">
        <v>76</v>
      </c>
      <c r="R423" s="1" t="s">
        <v>76</v>
      </c>
      <c r="S423" s="1" t="s">
        <v>46</v>
      </c>
      <c r="T423" s="1" t="s">
        <v>45</v>
      </c>
      <c r="U423" s="1" t="s">
        <v>92</v>
      </c>
      <c r="V423" s="1" t="s">
        <v>102</v>
      </c>
      <c r="W423" s="1" t="s">
        <v>103</v>
      </c>
      <c r="X423" s="1" t="s">
        <v>96</v>
      </c>
      <c r="AB423" s="1" t="s">
        <v>104</v>
      </c>
      <c r="AC423" s="1">
        <v>0</v>
      </c>
      <c r="AD423" s="1" t="s">
        <v>105</v>
      </c>
      <c r="AE423" s="1" t="s">
        <v>70</v>
      </c>
      <c r="AG423" s="1" t="s">
        <v>662</v>
      </c>
      <c r="AH423" s="1" t="s">
        <v>157</v>
      </c>
      <c r="AI423" s="1" t="s">
        <v>75</v>
      </c>
      <c r="AK423" s="1" t="s">
        <v>61</v>
      </c>
      <c r="AL423" s="1" t="s">
        <v>61</v>
      </c>
      <c r="AM423" s="1">
        <v>2</v>
      </c>
      <c r="AN423" s="1">
        <v>0</v>
      </c>
      <c r="AO423" s="1">
        <f t="shared" si="76"/>
        <v>2</v>
      </c>
    </row>
    <row r="424" spans="1:41" x14ac:dyDescent="0.4">
      <c r="A424" s="1">
        <v>1</v>
      </c>
      <c r="B424" s="1">
        <v>2</v>
      </c>
      <c r="C424" s="1" t="s">
        <v>119</v>
      </c>
      <c r="D424" s="2">
        <v>38994</v>
      </c>
      <c r="E424" s="1">
        <v>277</v>
      </c>
      <c r="F424" s="1">
        <v>5.5</v>
      </c>
      <c r="G424" s="3">
        <v>0.47935185185185186</v>
      </c>
      <c r="H424" s="3">
        <v>0.479375</v>
      </c>
      <c r="I424" s="3">
        <v>2.3148148148133263E-5</v>
      </c>
      <c r="J424" s="3">
        <v>2.3148148148133263E-5</v>
      </c>
      <c r="K424" s="5">
        <f t="shared" si="75"/>
        <v>2</v>
      </c>
      <c r="L424" s="3">
        <v>1.6747685185185213E-2</v>
      </c>
      <c r="N424" s="1" t="s">
        <v>75</v>
      </c>
      <c r="O424" s="1" t="s">
        <v>286</v>
      </c>
      <c r="P424" s="1" t="s">
        <v>660</v>
      </c>
      <c r="Q424" s="1" t="s">
        <v>76</v>
      </c>
      <c r="R424" s="1" t="s">
        <v>76</v>
      </c>
      <c r="S424" s="1" t="s">
        <v>46</v>
      </c>
      <c r="T424" s="1" t="s">
        <v>76</v>
      </c>
      <c r="U424" s="1" t="s">
        <v>156</v>
      </c>
      <c r="AB424" s="1" t="s">
        <v>93</v>
      </c>
      <c r="AC424" s="1">
        <v>1</v>
      </c>
      <c r="AI424" s="1" t="s">
        <v>75</v>
      </c>
      <c r="AK424" s="1" t="s">
        <v>86</v>
      </c>
      <c r="AL424" s="1" t="s">
        <v>133</v>
      </c>
      <c r="AN424" s="1">
        <v>1</v>
      </c>
      <c r="AO424" s="1">
        <f t="shared" si="76"/>
        <v>1</v>
      </c>
    </row>
    <row r="425" spans="1:41" x14ac:dyDescent="0.4">
      <c r="A425" s="1">
        <v>1</v>
      </c>
      <c r="B425" s="1">
        <v>3</v>
      </c>
      <c r="C425" s="1" t="s">
        <v>41</v>
      </c>
      <c r="D425" s="2">
        <v>38751</v>
      </c>
      <c r="E425" s="1">
        <v>34</v>
      </c>
      <c r="F425" s="1">
        <v>1</v>
      </c>
      <c r="G425" s="3">
        <v>0.40394675925925921</v>
      </c>
      <c r="H425" s="3">
        <v>0.40467592592592588</v>
      </c>
      <c r="I425" s="3">
        <v>7.2916666666666963E-4</v>
      </c>
      <c r="J425" s="3">
        <v>7.2916666666666963E-4</v>
      </c>
      <c r="K425" s="5">
        <f t="shared" si="75"/>
        <v>63</v>
      </c>
      <c r="L425" s="3">
        <v>4.6250000000000069E-2</v>
      </c>
      <c r="N425" s="1" t="s">
        <v>42</v>
      </c>
      <c r="O425" s="1" t="s">
        <v>43</v>
      </c>
      <c r="P425" s="1" t="s">
        <v>44</v>
      </c>
      <c r="Q425" s="1" t="s">
        <v>76</v>
      </c>
      <c r="S425" s="1" t="s">
        <v>46</v>
      </c>
      <c r="T425" s="1" t="s">
        <v>76</v>
      </c>
      <c r="U425" s="1" t="s">
        <v>66</v>
      </c>
      <c r="AB425" s="1" t="s">
        <v>93</v>
      </c>
      <c r="AC425" s="1">
        <v>1</v>
      </c>
      <c r="AF425" s="1" t="s">
        <v>84</v>
      </c>
      <c r="AI425" s="1" t="s">
        <v>71</v>
      </c>
      <c r="AK425" s="1" t="s">
        <v>61</v>
      </c>
      <c r="AL425" s="1" t="s">
        <v>61</v>
      </c>
      <c r="AN425" s="1">
        <v>1</v>
      </c>
      <c r="AO425" s="1">
        <f t="shared" si="76"/>
        <v>1</v>
      </c>
    </row>
    <row r="426" spans="1:41" x14ac:dyDescent="0.4">
      <c r="A426" s="1">
        <v>1</v>
      </c>
      <c r="B426" s="1">
        <v>3</v>
      </c>
      <c r="C426" s="1" t="s">
        <v>41</v>
      </c>
      <c r="D426" s="2">
        <v>38751</v>
      </c>
      <c r="E426" s="1">
        <v>34</v>
      </c>
      <c r="F426" s="1">
        <v>1.7</v>
      </c>
      <c r="G426" s="3">
        <v>0.45092592592592595</v>
      </c>
      <c r="H426" s="3">
        <v>0.45113425925925926</v>
      </c>
      <c r="I426" s="3">
        <v>2.0833333333331039E-4</v>
      </c>
      <c r="J426" s="3">
        <v>2.0833333333331039E-4</v>
      </c>
      <c r="K426" s="5">
        <f t="shared" si="75"/>
        <v>18</v>
      </c>
      <c r="L426" s="3">
        <v>9.4212962962962887E-3</v>
      </c>
      <c r="N426" s="1" t="s">
        <v>42</v>
      </c>
      <c r="O426" s="1" t="s">
        <v>43</v>
      </c>
      <c r="P426" s="1" t="s">
        <v>44</v>
      </c>
      <c r="Q426" s="1" t="s">
        <v>76</v>
      </c>
      <c r="R426" s="1" t="s">
        <v>76</v>
      </c>
      <c r="S426" s="1" t="s">
        <v>46</v>
      </c>
      <c r="T426" s="1" t="s">
        <v>76</v>
      </c>
      <c r="U426" s="1" t="s">
        <v>66</v>
      </c>
      <c r="V426" s="1" t="s">
        <v>67</v>
      </c>
      <c r="W426" s="1" t="s">
        <v>68</v>
      </c>
      <c r="Y426" s="1" t="s">
        <v>68</v>
      </c>
      <c r="AB426" s="1" t="s">
        <v>69</v>
      </c>
      <c r="AC426" s="1">
        <v>0</v>
      </c>
      <c r="AD426" s="1" t="s">
        <v>68</v>
      </c>
      <c r="AE426" s="1" t="s">
        <v>70</v>
      </c>
      <c r="AI426" s="1" t="s">
        <v>71</v>
      </c>
      <c r="AK426" s="1" t="s">
        <v>86</v>
      </c>
      <c r="AL426" s="1" t="s">
        <v>187</v>
      </c>
      <c r="AN426" s="1">
        <v>1</v>
      </c>
      <c r="AO426" s="1">
        <f t="shared" si="76"/>
        <v>1</v>
      </c>
    </row>
    <row r="427" spans="1:41" x14ac:dyDescent="0.4">
      <c r="A427" s="1">
        <v>1</v>
      </c>
      <c r="B427" s="1">
        <v>3</v>
      </c>
      <c r="C427" s="1" t="s">
        <v>41</v>
      </c>
      <c r="D427" s="2">
        <v>38751</v>
      </c>
      <c r="E427" s="1">
        <v>34</v>
      </c>
      <c r="F427" s="1">
        <v>2</v>
      </c>
      <c r="G427" s="3">
        <v>0.46055555555555555</v>
      </c>
      <c r="H427" s="3">
        <v>0.46386574074074072</v>
      </c>
      <c r="I427" s="3">
        <v>3.310185185185166E-3</v>
      </c>
      <c r="J427" s="3">
        <v>3.310185185185166E-3</v>
      </c>
      <c r="K427" s="5">
        <f t="shared" si="75"/>
        <v>286</v>
      </c>
      <c r="L427" s="3">
        <v>9.7569444444444708E-3</v>
      </c>
      <c r="N427" s="1" t="s">
        <v>42</v>
      </c>
      <c r="O427" s="1" t="s">
        <v>43</v>
      </c>
      <c r="P427" s="1" t="s">
        <v>44</v>
      </c>
      <c r="Q427" s="1" t="s">
        <v>45</v>
      </c>
      <c r="R427" s="1" t="s">
        <v>45</v>
      </c>
      <c r="S427" s="1" t="s">
        <v>46</v>
      </c>
      <c r="T427" s="1" t="s">
        <v>76</v>
      </c>
      <c r="U427" s="1" t="s">
        <v>66</v>
      </c>
      <c r="V427" s="1" t="s">
        <v>49</v>
      </c>
      <c r="W427" s="1" t="s">
        <v>140</v>
      </c>
      <c r="X427" s="1" t="s">
        <v>493</v>
      </c>
      <c r="Y427" s="1" t="s">
        <v>678</v>
      </c>
      <c r="Z427" s="1" t="s">
        <v>679</v>
      </c>
      <c r="AA427" s="1" t="s">
        <v>680</v>
      </c>
      <c r="AB427" s="1" t="s">
        <v>681</v>
      </c>
      <c r="AC427" s="1">
        <v>0</v>
      </c>
      <c r="AD427" s="1" t="s">
        <v>56</v>
      </c>
      <c r="AE427" s="1" t="s">
        <v>83</v>
      </c>
      <c r="AG427" s="1" t="s">
        <v>682</v>
      </c>
      <c r="AI427" s="1" t="s">
        <v>71</v>
      </c>
      <c r="AK427" s="1" t="s">
        <v>86</v>
      </c>
      <c r="AL427" s="1" t="s">
        <v>133</v>
      </c>
      <c r="AM427" s="1">
        <v>1</v>
      </c>
      <c r="AN427" s="1">
        <v>0</v>
      </c>
      <c r="AO427" s="1">
        <f t="shared" si="76"/>
        <v>1</v>
      </c>
    </row>
    <row r="428" spans="1:41" x14ac:dyDescent="0.4">
      <c r="A428" s="1">
        <v>1</v>
      </c>
      <c r="B428" s="1">
        <v>3</v>
      </c>
      <c r="C428" s="1" t="s">
        <v>41</v>
      </c>
      <c r="D428" s="2">
        <v>38751</v>
      </c>
      <c r="E428" s="1">
        <v>34</v>
      </c>
      <c r="F428" s="1">
        <v>2.2000000000000002</v>
      </c>
      <c r="G428" s="3">
        <v>0.47362268518518519</v>
      </c>
      <c r="H428" s="3">
        <v>0.47410879629629626</v>
      </c>
      <c r="I428" s="3">
        <v>4.8611111111107608E-4</v>
      </c>
      <c r="J428" s="3">
        <v>4.8611111111107608E-4</v>
      </c>
      <c r="K428" s="5">
        <f t="shared" si="75"/>
        <v>42</v>
      </c>
      <c r="L428" s="3">
        <v>1.8692129629629628E-2</v>
      </c>
      <c r="N428" s="1" t="s">
        <v>42</v>
      </c>
      <c r="O428" s="1" t="s">
        <v>43</v>
      </c>
      <c r="P428" s="1" t="s">
        <v>44</v>
      </c>
      <c r="Q428" s="1" t="s">
        <v>76</v>
      </c>
      <c r="R428" s="1" t="s">
        <v>76</v>
      </c>
      <c r="S428" s="1" t="s">
        <v>46</v>
      </c>
      <c r="T428" s="1" t="s">
        <v>47</v>
      </c>
      <c r="U428" s="1" t="s">
        <v>66</v>
      </c>
      <c r="AB428" s="1" t="s">
        <v>93</v>
      </c>
      <c r="AC428" s="1">
        <v>1</v>
      </c>
      <c r="AI428" s="1" t="s">
        <v>71</v>
      </c>
      <c r="AK428" s="1" t="s">
        <v>86</v>
      </c>
      <c r="AL428" s="1" t="s">
        <v>133</v>
      </c>
      <c r="AN428" s="1">
        <v>1</v>
      </c>
      <c r="AO428" s="1">
        <f t="shared" si="76"/>
        <v>1</v>
      </c>
    </row>
    <row r="429" spans="1:41" x14ac:dyDescent="0.4">
      <c r="A429" s="1">
        <v>1</v>
      </c>
      <c r="B429" s="1">
        <v>3</v>
      </c>
      <c r="C429" s="1" t="s">
        <v>41</v>
      </c>
      <c r="D429" s="2">
        <v>38751</v>
      </c>
      <c r="E429" s="1">
        <v>34</v>
      </c>
      <c r="F429" s="1">
        <v>2.5</v>
      </c>
      <c r="G429" s="3">
        <v>0.49280092592592589</v>
      </c>
      <c r="H429" s="3">
        <v>0.49283564814814818</v>
      </c>
      <c r="I429" s="3">
        <v>3.4722222222283161E-5</v>
      </c>
      <c r="J429" s="3">
        <v>3.4722222222283161E-5</v>
      </c>
      <c r="K429" s="5">
        <f t="shared" si="75"/>
        <v>3</v>
      </c>
      <c r="L429" s="3">
        <v>8.7337962962962923E-2</v>
      </c>
      <c r="N429" s="1" t="s">
        <v>42</v>
      </c>
      <c r="O429" s="1" t="s">
        <v>43</v>
      </c>
      <c r="P429" s="1" t="s">
        <v>44</v>
      </c>
      <c r="Q429" s="1" t="s">
        <v>76</v>
      </c>
      <c r="R429" s="1" t="s">
        <v>76</v>
      </c>
      <c r="S429" s="1" t="s">
        <v>46</v>
      </c>
      <c r="T429" s="1" t="s">
        <v>76</v>
      </c>
      <c r="U429" s="1" t="s">
        <v>156</v>
      </c>
      <c r="AB429" s="1" t="s">
        <v>93</v>
      </c>
      <c r="AC429" s="1">
        <v>1</v>
      </c>
      <c r="AF429" s="1" t="s">
        <v>113</v>
      </c>
      <c r="AI429" s="1" t="s">
        <v>75</v>
      </c>
      <c r="AK429" s="1" t="s">
        <v>116</v>
      </c>
      <c r="AL429" s="1" t="s">
        <v>174</v>
      </c>
      <c r="AN429" s="1">
        <v>1</v>
      </c>
      <c r="AO429" s="1">
        <f t="shared" si="76"/>
        <v>1</v>
      </c>
    </row>
    <row r="430" spans="1:41" x14ac:dyDescent="0.4">
      <c r="A430" s="1">
        <v>1</v>
      </c>
      <c r="B430" s="1">
        <v>3</v>
      </c>
      <c r="C430" s="1" t="s">
        <v>41</v>
      </c>
      <c r="D430" s="2">
        <v>38751</v>
      </c>
      <c r="E430" s="1">
        <v>34</v>
      </c>
      <c r="F430" s="1">
        <v>2.7</v>
      </c>
      <c r="G430" s="3">
        <v>0.5801736111111111</v>
      </c>
      <c r="H430" s="3">
        <v>0.58068287037037036</v>
      </c>
      <c r="I430" s="3">
        <v>5.0925925925926485E-4</v>
      </c>
      <c r="J430" s="3">
        <v>5.0925925925926485E-4</v>
      </c>
      <c r="K430" s="5">
        <f t="shared" si="75"/>
        <v>44</v>
      </c>
      <c r="L430" s="3">
        <v>6.3657407407402555E-4</v>
      </c>
      <c r="N430" s="1" t="s">
        <v>251</v>
      </c>
      <c r="O430" s="1" t="s">
        <v>43</v>
      </c>
      <c r="P430" s="1" t="s">
        <v>44</v>
      </c>
      <c r="Q430" s="1" t="s">
        <v>76</v>
      </c>
      <c r="R430" s="1" t="s">
        <v>76</v>
      </c>
      <c r="S430" s="1" t="s">
        <v>46</v>
      </c>
      <c r="T430" s="1" t="s">
        <v>45</v>
      </c>
      <c r="U430" s="1" t="s">
        <v>66</v>
      </c>
      <c r="V430" s="1" t="s">
        <v>102</v>
      </c>
      <c r="W430" s="1" t="s">
        <v>103</v>
      </c>
      <c r="X430" s="1" t="s">
        <v>121</v>
      </c>
      <c r="AB430" s="1" t="s">
        <v>104</v>
      </c>
      <c r="AC430" s="1">
        <v>0</v>
      </c>
      <c r="AE430" s="1" t="s">
        <v>70</v>
      </c>
      <c r="AI430" s="1" t="s">
        <v>257</v>
      </c>
      <c r="AK430" s="1" t="s">
        <v>61</v>
      </c>
      <c r="AL430" s="1" t="s">
        <v>72</v>
      </c>
      <c r="AN430" s="1">
        <v>1</v>
      </c>
      <c r="AO430" s="1">
        <f t="shared" si="76"/>
        <v>1</v>
      </c>
    </row>
    <row r="431" spans="1:41" x14ac:dyDescent="0.4">
      <c r="A431" s="1">
        <v>1</v>
      </c>
      <c r="B431" s="1">
        <v>3</v>
      </c>
      <c r="C431" s="1" t="s">
        <v>41</v>
      </c>
      <c r="D431" s="2">
        <v>38751</v>
      </c>
      <c r="E431" s="1">
        <v>34</v>
      </c>
      <c r="F431" s="1">
        <v>3</v>
      </c>
      <c r="G431" s="3">
        <v>0.58131944444444439</v>
      </c>
      <c r="H431" s="3">
        <v>0.58170138888888889</v>
      </c>
      <c r="I431" s="3">
        <v>3.8194444444450415E-4</v>
      </c>
      <c r="J431" s="3">
        <v>3.8194444444450415E-4</v>
      </c>
      <c r="K431" s="5">
        <f t="shared" si="75"/>
        <v>33</v>
      </c>
      <c r="L431" s="3">
        <v>1.7013888888888884E-2</v>
      </c>
      <c r="N431" s="1" t="s">
        <v>251</v>
      </c>
      <c r="O431" s="1" t="s">
        <v>43</v>
      </c>
      <c r="P431" s="1" t="s">
        <v>44</v>
      </c>
      <c r="Q431" s="1" t="s">
        <v>76</v>
      </c>
      <c r="R431" s="1" t="s">
        <v>76</v>
      </c>
      <c r="S431" s="1" t="s">
        <v>46</v>
      </c>
      <c r="T431" s="1" t="s">
        <v>45</v>
      </c>
      <c r="U431" s="1" t="s">
        <v>66</v>
      </c>
      <c r="V431" s="1" t="s">
        <v>102</v>
      </c>
      <c r="W431" s="1" t="s">
        <v>103</v>
      </c>
      <c r="X431" s="1" t="s">
        <v>683</v>
      </c>
      <c r="AB431" s="1" t="s">
        <v>104</v>
      </c>
      <c r="AC431" s="1">
        <v>0</v>
      </c>
      <c r="AD431" s="1" t="s">
        <v>56</v>
      </c>
      <c r="AE431" s="1" t="s">
        <v>181</v>
      </c>
      <c r="AG431" s="1" t="s">
        <v>684</v>
      </c>
      <c r="AI431" s="1" t="s">
        <v>257</v>
      </c>
      <c r="AK431" s="1" t="s">
        <v>61</v>
      </c>
      <c r="AL431" s="1" t="s">
        <v>72</v>
      </c>
      <c r="AM431" s="1">
        <v>1</v>
      </c>
      <c r="AN431" s="1">
        <v>0</v>
      </c>
      <c r="AO431" s="1">
        <f t="shared" si="76"/>
        <v>1</v>
      </c>
    </row>
    <row r="432" spans="1:41" x14ac:dyDescent="0.4">
      <c r="A432" s="1">
        <v>1</v>
      </c>
      <c r="B432" s="1">
        <v>3</v>
      </c>
      <c r="C432" s="1" t="s">
        <v>41</v>
      </c>
      <c r="D432" s="2">
        <v>38751</v>
      </c>
      <c r="E432" s="1">
        <v>34</v>
      </c>
      <c r="F432" s="1">
        <v>3.2</v>
      </c>
      <c r="G432" s="3">
        <v>0.59871527777777778</v>
      </c>
      <c r="H432" s="3">
        <v>0.59947916666666667</v>
      </c>
      <c r="I432" s="3">
        <v>7.6388888888889728E-4</v>
      </c>
      <c r="J432" s="3">
        <v>7.6388888888889728E-4</v>
      </c>
      <c r="K432" s="5">
        <f t="shared" si="75"/>
        <v>66</v>
      </c>
      <c r="L432" s="3">
        <v>5.3587962962963198E-3</v>
      </c>
      <c r="N432" s="1" t="s">
        <v>251</v>
      </c>
      <c r="O432" s="1" t="s">
        <v>43</v>
      </c>
      <c r="P432" s="1" t="s">
        <v>44</v>
      </c>
      <c r="Q432" s="1" t="s">
        <v>76</v>
      </c>
      <c r="R432" s="1" t="s">
        <v>76</v>
      </c>
      <c r="S432" s="1" t="s">
        <v>46</v>
      </c>
      <c r="T432" s="1" t="s">
        <v>76</v>
      </c>
      <c r="U432" s="1" t="s">
        <v>66</v>
      </c>
      <c r="V432" s="1" t="s">
        <v>67</v>
      </c>
      <c r="W432" s="1" t="s">
        <v>68</v>
      </c>
      <c r="Y432" s="1" t="s">
        <v>68</v>
      </c>
      <c r="AB432" s="1" t="s">
        <v>69</v>
      </c>
      <c r="AC432" s="1">
        <v>0</v>
      </c>
      <c r="AD432" s="1" t="s">
        <v>68</v>
      </c>
      <c r="AE432" s="1" t="s">
        <v>70</v>
      </c>
      <c r="AI432" s="1" t="s">
        <v>257</v>
      </c>
      <c r="AK432" s="1" t="s">
        <v>86</v>
      </c>
      <c r="AL432" s="1" t="s">
        <v>187</v>
      </c>
      <c r="AN432" s="1">
        <v>1</v>
      </c>
      <c r="AO432" s="1">
        <f t="shared" si="76"/>
        <v>1</v>
      </c>
    </row>
    <row r="433" spans="1:41" x14ac:dyDescent="0.4">
      <c r="A433" s="1">
        <v>1</v>
      </c>
      <c r="B433" s="1">
        <v>3</v>
      </c>
      <c r="C433" s="1" t="s">
        <v>41</v>
      </c>
      <c r="D433" s="2">
        <v>38751</v>
      </c>
      <c r="E433" s="1">
        <v>34</v>
      </c>
      <c r="F433" s="1">
        <v>3.5</v>
      </c>
      <c r="G433" s="3">
        <v>0.60483796296296299</v>
      </c>
      <c r="H433" s="3">
        <v>0.6052777777777778</v>
      </c>
      <c r="I433" s="3">
        <v>4.3981481481480955E-4</v>
      </c>
      <c r="J433" s="3">
        <v>4.3981481481480955E-4</v>
      </c>
      <c r="K433" s="5">
        <f t="shared" si="75"/>
        <v>38</v>
      </c>
      <c r="L433" s="3">
        <v>0</v>
      </c>
      <c r="N433" s="1" t="s">
        <v>251</v>
      </c>
      <c r="O433" s="1" t="s">
        <v>43</v>
      </c>
      <c r="P433" s="1" t="s">
        <v>44</v>
      </c>
      <c r="S433" s="1" t="s">
        <v>46</v>
      </c>
      <c r="T433" s="1" t="s">
        <v>76</v>
      </c>
      <c r="U433" s="1" t="s">
        <v>66</v>
      </c>
      <c r="V433" s="1" t="s">
        <v>67</v>
      </c>
      <c r="W433" s="1" t="s">
        <v>68</v>
      </c>
      <c r="Y433" s="1" t="s">
        <v>68</v>
      </c>
      <c r="AB433" s="1" t="s">
        <v>69</v>
      </c>
      <c r="AC433" s="1">
        <v>0</v>
      </c>
      <c r="AD433" s="1" t="s">
        <v>68</v>
      </c>
      <c r="AE433" s="1" t="s">
        <v>70</v>
      </c>
      <c r="AG433" s="1" t="s">
        <v>685</v>
      </c>
      <c r="AI433" s="1" t="s">
        <v>257</v>
      </c>
      <c r="AJ433" s="1" t="s">
        <v>147</v>
      </c>
      <c r="AK433" s="1" t="s">
        <v>86</v>
      </c>
      <c r="AL433" s="1" t="s">
        <v>87</v>
      </c>
      <c r="AM433" s="1">
        <v>2</v>
      </c>
      <c r="AN433" s="1">
        <v>0</v>
      </c>
      <c r="AO433" s="1">
        <f t="shared" si="76"/>
        <v>2</v>
      </c>
    </row>
    <row r="434" spans="1:41" x14ac:dyDescent="0.4">
      <c r="A434" s="1">
        <v>1</v>
      </c>
      <c r="B434" s="1">
        <v>3</v>
      </c>
      <c r="C434" s="1" t="s">
        <v>41</v>
      </c>
      <c r="D434" s="2">
        <v>38751</v>
      </c>
      <c r="E434" s="1">
        <v>34</v>
      </c>
      <c r="F434" s="1">
        <v>4</v>
      </c>
      <c r="G434" s="3">
        <v>0.6052777777777778</v>
      </c>
      <c r="H434" s="3">
        <v>0.60978009259259258</v>
      </c>
      <c r="I434" s="3">
        <v>4.5023148148147785E-3</v>
      </c>
      <c r="J434" s="3">
        <v>4.5023148148147785E-3</v>
      </c>
      <c r="K434" s="5">
        <f t="shared" si="75"/>
        <v>389</v>
      </c>
      <c r="L434" s="3">
        <v>1.260416666666675E-2</v>
      </c>
      <c r="N434" s="1" t="s">
        <v>251</v>
      </c>
      <c r="O434" s="1" t="s">
        <v>43</v>
      </c>
      <c r="P434" s="1" t="s">
        <v>44</v>
      </c>
      <c r="S434" s="1" t="s">
        <v>46</v>
      </c>
      <c r="T434" s="1" t="s">
        <v>76</v>
      </c>
      <c r="U434" s="1" t="s">
        <v>66</v>
      </c>
      <c r="V434" s="1" t="s">
        <v>102</v>
      </c>
      <c r="W434" s="1" t="s">
        <v>686</v>
      </c>
      <c r="X434" s="1" t="s">
        <v>96</v>
      </c>
      <c r="AB434" s="1" t="s">
        <v>504</v>
      </c>
      <c r="AC434" s="1">
        <v>0</v>
      </c>
      <c r="AD434" s="1" t="s">
        <v>105</v>
      </c>
      <c r="AE434" s="1" t="s">
        <v>70</v>
      </c>
      <c r="AG434" s="1" t="s">
        <v>685</v>
      </c>
      <c r="AI434" s="1" t="s">
        <v>257</v>
      </c>
      <c r="AJ434" s="1" t="s">
        <v>147</v>
      </c>
      <c r="AK434" s="1" t="s">
        <v>86</v>
      </c>
      <c r="AL434" s="1" t="s">
        <v>87</v>
      </c>
      <c r="AM434" s="1">
        <v>2</v>
      </c>
      <c r="AN434" s="1">
        <v>0</v>
      </c>
      <c r="AO434" s="1">
        <f t="shared" si="76"/>
        <v>2</v>
      </c>
    </row>
    <row r="435" spans="1:41" x14ac:dyDescent="0.4">
      <c r="A435" s="1">
        <v>1</v>
      </c>
      <c r="B435" s="1">
        <v>3</v>
      </c>
      <c r="C435" s="1" t="s">
        <v>41</v>
      </c>
      <c r="D435" s="2">
        <v>38751</v>
      </c>
      <c r="E435" s="1">
        <v>34</v>
      </c>
      <c r="F435" s="1">
        <v>5</v>
      </c>
      <c r="G435" s="3">
        <v>0.62238425925925933</v>
      </c>
      <c r="H435" s="3">
        <v>0.63413194444444443</v>
      </c>
      <c r="I435" s="3">
        <v>1.1747685185185097E-2</v>
      </c>
      <c r="J435" s="3">
        <v>1.1030092592592577E-2</v>
      </c>
      <c r="K435" s="5">
        <f t="shared" si="75"/>
        <v>953</v>
      </c>
      <c r="L435" s="3">
        <v>2.1990740740741588E-3</v>
      </c>
      <c r="N435" s="1" t="s">
        <v>42</v>
      </c>
      <c r="O435" s="1" t="s">
        <v>43</v>
      </c>
      <c r="P435" s="1" t="s">
        <v>44</v>
      </c>
      <c r="Q435" s="1" t="s">
        <v>76</v>
      </c>
      <c r="R435" s="1" t="s">
        <v>76</v>
      </c>
      <c r="S435" s="1" t="s">
        <v>46</v>
      </c>
      <c r="T435" s="1" t="s">
        <v>47</v>
      </c>
      <c r="U435" s="1" t="s">
        <v>66</v>
      </c>
      <c r="V435" s="1" t="s">
        <v>49</v>
      </c>
      <c r="W435" s="1" t="s">
        <v>50</v>
      </c>
      <c r="X435" s="1" t="s">
        <v>96</v>
      </c>
      <c r="Y435" s="1" t="s">
        <v>52</v>
      </c>
      <c r="Z435" s="1" t="s">
        <v>53</v>
      </c>
      <c r="AA435" s="1" t="s">
        <v>687</v>
      </c>
      <c r="AB435" s="1" t="s">
        <v>688</v>
      </c>
      <c r="AC435" s="1">
        <v>0</v>
      </c>
      <c r="AD435" s="1" t="s">
        <v>56</v>
      </c>
      <c r="AE435" s="1" t="s">
        <v>70</v>
      </c>
      <c r="AG435" s="1" t="s">
        <v>689</v>
      </c>
      <c r="AH435" s="1" t="s">
        <v>59</v>
      </c>
      <c r="AI435" s="1" t="s">
        <v>71</v>
      </c>
      <c r="AK435" s="1" t="s">
        <v>61</v>
      </c>
      <c r="AL435" s="1" t="s">
        <v>61</v>
      </c>
      <c r="AM435" s="1">
        <v>2</v>
      </c>
      <c r="AN435" s="1">
        <v>0</v>
      </c>
      <c r="AO435" s="1">
        <f t="shared" si="76"/>
        <v>2</v>
      </c>
    </row>
    <row r="436" spans="1:41" x14ac:dyDescent="0.4">
      <c r="A436" s="1">
        <v>1</v>
      </c>
      <c r="B436" s="1">
        <v>3</v>
      </c>
      <c r="C436" s="1" t="s">
        <v>41</v>
      </c>
      <c r="D436" s="2">
        <v>38751</v>
      </c>
      <c r="E436" s="1">
        <v>34</v>
      </c>
      <c r="F436" s="1">
        <v>6</v>
      </c>
      <c r="G436" s="3">
        <v>0.63633101851851859</v>
      </c>
      <c r="H436" s="3">
        <v>0.64541666666666664</v>
      </c>
      <c r="I436" s="3">
        <v>9.0856481481480511E-3</v>
      </c>
      <c r="J436" s="3">
        <v>8.7731481481480023E-3</v>
      </c>
      <c r="K436" s="5">
        <f t="shared" si="75"/>
        <v>758</v>
      </c>
      <c r="L436" s="3">
        <v>2.1296296296295925E-3</v>
      </c>
      <c r="N436" s="1" t="s">
        <v>42</v>
      </c>
      <c r="O436" s="1" t="s">
        <v>43</v>
      </c>
      <c r="P436" s="1" t="s">
        <v>44</v>
      </c>
      <c r="Q436" s="1" t="s">
        <v>76</v>
      </c>
      <c r="R436" s="1" t="s">
        <v>76</v>
      </c>
      <c r="S436" s="1" t="s">
        <v>46</v>
      </c>
      <c r="T436" s="1" t="s">
        <v>47</v>
      </c>
      <c r="V436" s="1" t="s">
        <v>49</v>
      </c>
      <c r="W436" s="1" t="s">
        <v>77</v>
      </c>
      <c r="X436" s="1" t="s">
        <v>108</v>
      </c>
      <c r="Y436" s="1" t="s">
        <v>109</v>
      </c>
      <c r="Z436" s="1" t="s">
        <v>110</v>
      </c>
      <c r="AA436" s="1" t="s">
        <v>111</v>
      </c>
      <c r="AB436" s="1" t="s">
        <v>112</v>
      </c>
      <c r="AC436" s="1">
        <v>0</v>
      </c>
      <c r="AD436" s="1" t="s">
        <v>56</v>
      </c>
      <c r="AE436" s="1" t="s">
        <v>57</v>
      </c>
      <c r="AF436" s="1" t="s">
        <v>213</v>
      </c>
      <c r="AG436" s="1" t="s">
        <v>690</v>
      </c>
      <c r="AH436" s="1" t="s">
        <v>115</v>
      </c>
      <c r="AJ436" s="1" t="s">
        <v>147</v>
      </c>
      <c r="AK436" s="1" t="s">
        <v>61</v>
      </c>
      <c r="AL436" s="1" t="s">
        <v>72</v>
      </c>
      <c r="AM436" s="1">
        <v>1</v>
      </c>
      <c r="AN436" s="1">
        <v>0</v>
      </c>
      <c r="AO436" s="1">
        <f t="shared" si="76"/>
        <v>1</v>
      </c>
    </row>
    <row r="437" spans="1:41" x14ac:dyDescent="0.4">
      <c r="A437" s="1">
        <v>1</v>
      </c>
      <c r="B437" s="1">
        <v>3</v>
      </c>
      <c r="C437" s="1" t="s">
        <v>41</v>
      </c>
      <c r="D437" s="2">
        <v>38751</v>
      </c>
      <c r="E437" s="1">
        <v>34</v>
      </c>
      <c r="F437" s="1">
        <v>7</v>
      </c>
      <c r="G437" s="3">
        <v>0.64754629629629623</v>
      </c>
      <c r="H437" s="3">
        <v>0.64939814814814811</v>
      </c>
      <c r="I437" s="3">
        <v>1.8518518518518823E-3</v>
      </c>
      <c r="J437" s="3">
        <v>1.8518518518518823E-3</v>
      </c>
      <c r="K437" s="5">
        <f t="shared" si="75"/>
        <v>160</v>
      </c>
      <c r="L437" s="3">
        <v>1.6990740740740806E-2</v>
      </c>
      <c r="N437" s="1" t="s">
        <v>75</v>
      </c>
      <c r="O437" s="1" t="s">
        <v>43</v>
      </c>
      <c r="P437" s="1" t="s">
        <v>44</v>
      </c>
      <c r="Q437" s="1" t="s">
        <v>45</v>
      </c>
      <c r="R437" s="1" t="s">
        <v>45</v>
      </c>
      <c r="S437" s="1" t="s">
        <v>46</v>
      </c>
      <c r="T437" s="1" t="s">
        <v>47</v>
      </c>
      <c r="V437" s="1" t="s">
        <v>49</v>
      </c>
      <c r="W437" s="1" t="s">
        <v>50</v>
      </c>
      <c r="X437" s="1" t="s">
        <v>148</v>
      </c>
      <c r="Y437" s="1" t="s">
        <v>149</v>
      </c>
      <c r="Z437" s="1" t="s">
        <v>150</v>
      </c>
      <c r="AA437" s="1" t="s">
        <v>151</v>
      </c>
      <c r="AB437" s="1" t="s">
        <v>152</v>
      </c>
      <c r="AC437" s="1">
        <v>0</v>
      </c>
      <c r="AD437" s="1" t="s">
        <v>56</v>
      </c>
      <c r="AE437" s="1" t="s">
        <v>83</v>
      </c>
      <c r="AG437" s="1" t="s">
        <v>691</v>
      </c>
      <c r="AH437" s="1" t="s">
        <v>59</v>
      </c>
      <c r="AJ437" s="1" t="s">
        <v>147</v>
      </c>
      <c r="AK437" s="1" t="s">
        <v>86</v>
      </c>
      <c r="AL437" s="1" t="s">
        <v>187</v>
      </c>
      <c r="AM437" s="1">
        <v>1</v>
      </c>
      <c r="AN437" s="1">
        <v>0</v>
      </c>
      <c r="AO437" s="1">
        <f t="shared" si="76"/>
        <v>1</v>
      </c>
    </row>
    <row r="438" spans="1:41" x14ac:dyDescent="0.4">
      <c r="A438" s="1">
        <v>1</v>
      </c>
      <c r="B438" s="1">
        <v>3</v>
      </c>
      <c r="C438" s="1" t="s">
        <v>41</v>
      </c>
      <c r="D438" s="2">
        <v>38751</v>
      </c>
      <c r="E438" s="1">
        <v>34</v>
      </c>
      <c r="F438" s="1">
        <v>8</v>
      </c>
      <c r="G438" s="3">
        <v>0.66638888888888892</v>
      </c>
      <c r="H438" s="3">
        <v>0.67040509259259251</v>
      </c>
      <c r="I438" s="3">
        <v>4.0162037037035914E-3</v>
      </c>
      <c r="J438" s="3">
        <v>4.0162037037035914E-3</v>
      </c>
      <c r="K438" s="5">
        <f t="shared" si="75"/>
        <v>347</v>
      </c>
      <c r="L438" s="3">
        <v>9.3634259259259833E-3</v>
      </c>
      <c r="N438" s="1" t="s">
        <v>75</v>
      </c>
      <c r="O438" s="1" t="s">
        <v>43</v>
      </c>
      <c r="P438" s="1" t="s">
        <v>44</v>
      </c>
      <c r="Q438" s="1" t="s">
        <v>76</v>
      </c>
      <c r="R438" s="1" t="s">
        <v>76</v>
      </c>
      <c r="S438" s="1" t="s">
        <v>46</v>
      </c>
      <c r="T438" s="1" t="s">
        <v>76</v>
      </c>
      <c r="V438" s="1" t="s">
        <v>102</v>
      </c>
      <c r="W438" s="1" t="s">
        <v>103</v>
      </c>
      <c r="X438" s="1" t="s">
        <v>121</v>
      </c>
      <c r="AB438" s="1" t="s">
        <v>104</v>
      </c>
      <c r="AC438" s="1">
        <v>0</v>
      </c>
      <c r="AE438" s="1" t="s">
        <v>70</v>
      </c>
      <c r="AK438" s="1" t="s">
        <v>86</v>
      </c>
      <c r="AL438" s="1" t="s">
        <v>87</v>
      </c>
      <c r="AN438" s="1">
        <v>1</v>
      </c>
      <c r="AO438" s="1">
        <f t="shared" si="76"/>
        <v>1</v>
      </c>
    </row>
    <row r="439" spans="1:41" x14ac:dyDescent="0.4">
      <c r="A439" s="1">
        <v>1</v>
      </c>
      <c r="B439" s="1">
        <v>3</v>
      </c>
      <c r="C439" s="1" t="s">
        <v>41</v>
      </c>
      <c r="D439" s="2">
        <v>38751</v>
      </c>
      <c r="E439" s="1">
        <v>34</v>
      </c>
      <c r="F439" s="1">
        <v>9</v>
      </c>
      <c r="G439" s="3">
        <v>0.67976851851851849</v>
      </c>
      <c r="H439" s="3">
        <v>0.68008101851851854</v>
      </c>
      <c r="I439" s="3">
        <v>3.1250000000004885E-4</v>
      </c>
      <c r="J439" s="3">
        <v>3.1250000000004885E-4</v>
      </c>
      <c r="K439" s="5">
        <f t="shared" si="75"/>
        <v>27</v>
      </c>
      <c r="L439" s="3">
        <v>2.8935185185186008E-4</v>
      </c>
      <c r="N439" s="1" t="s">
        <v>42</v>
      </c>
      <c r="O439" s="1" t="s">
        <v>43</v>
      </c>
      <c r="P439" s="1" t="s">
        <v>44</v>
      </c>
      <c r="Q439" s="1" t="s">
        <v>76</v>
      </c>
      <c r="R439" s="1" t="s">
        <v>76</v>
      </c>
      <c r="S439" s="1" t="s">
        <v>46</v>
      </c>
      <c r="T439" s="1" t="s">
        <v>45</v>
      </c>
      <c r="U439" s="1" t="s">
        <v>66</v>
      </c>
      <c r="V439" s="1" t="s">
        <v>102</v>
      </c>
      <c r="W439" s="1" t="s">
        <v>103</v>
      </c>
      <c r="X439" s="1" t="s">
        <v>121</v>
      </c>
      <c r="AB439" s="1" t="s">
        <v>104</v>
      </c>
      <c r="AC439" s="1">
        <v>0</v>
      </c>
      <c r="AE439" s="1" t="s">
        <v>70</v>
      </c>
      <c r="AI439" s="1" t="s">
        <v>71</v>
      </c>
      <c r="AK439" s="1" t="s">
        <v>86</v>
      </c>
      <c r="AL439" s="1" t="s">
        <v>87</v>
      </c>
      <c r="AN439" s="1">
        <v>1</v>
      </c>
      <c r="AO439" s="1">
        <f t="shared" si="76"/>
        <v>1</v>
      </c>
    </row>
    <row r="440" spans="1:41" x14ac:dyDescent="0.4">
      <c r="A440" s="1">
        <v>1</v>
      </c>
      <c r="B440" s="1">
        <v>3</v>
      </c>
      <c r="C440" s="1" t="s">
        <v>41</v>
      </c>
      <c r="D440" s="2">
        <v>38751</v>
      </c>
      <c r="E440" s="1">
        <v>34</v>
      </c>
      <c r="F440" s="1">
        <v>10</v>
      </c>
      <c r="G440" s="3">
        <v>0.6803703703703704</v>
      </c>
      <c r="H440" s="3">
        <v>0.68125000000000002</v>
      </c>
      <c r="I440" s="3">
        <v>8.796296296296191E-4</v>
      </c>
      <c r="J440" s="3">
        <v>8.796296296296191E-4</v>
      </c>
      <c r="K440" s="5">
        <f t="shared" si="75"/>
        <v>76</v>
      </c>
      <c r="L440" s="3">
        <v>1.8032407407407414E-2</v>
      </c>
      <c r="N440" s="1" t="s">
        <v>42</v>
      </c>
      <c r="O440" s="1" t="s">
        <v>43</v>
      </c>
      <c r="P440" s="1" t="s">
        <v>44</v>
      </c>
      <c r="Q440" s="1" t="s">
        <v>76</v>
      </c>
      <c r="R440" s="1" t="s">
        <v>76</v>
      </c>
      <c r="S440" s="1" t="s">
        <v>46</v>
      </c>
      <c r="T440" s="1" t="s">
        <v>45</v>
      </c>
      <c r="U440" s="1" t="s">
        <v>66</v>
      </c>
      <c r="V440" s="1" t="s">
        <v>297</v>
      </c>
      <c r="W440" s="1" t="s">
        <v>167</v>
      </c>
      <c r="X440" s="1" t="s">
        <v>692</v>
      </c>
      <c r="AB440" s="1" t="s">
        <v>693</v>
      </c>
      <c r="AC440" s="1">
        <v>0</v>
      </c>
      <c r="AE440" s="1" t="s">
        <v>694</v>
      </c>
      <c r="AI440" s="1" t="s">
        <v>71</v>
      </c>
      <c r="AK440" s="1" t="s">
        <v>86</v>
      </c>
      <c r="AL440" s="1" t="s">
        <v>87</v>
      </c>
      <c r="AN440" s="1">
        <v>1</v>
      </c>
      <c r="AO440" s="1">
        <f t="shared" si="76"/>
        <v>1</v>
      </c>
    </row>
    <row r="441" spans="1:41" x14ac:dyDescent="0.4">
      <c r="A441" s="1">
        <v>1</v>
      </c>
      <c r="B441" s="1">
        <v>3</v>
      </c>
      <c r="C441" s="1" t="s">
        <v>41</v>
      </c>
      <c r="D441" s="2">
        <v>38751</v>
      </c>
      <c r="E441" s="1">
        <v>34</v>
      </c>
      <c r="F441" s="1">
        <v>11</v>
      </c>
      <c r="G441" s="3">
        <v>0.69928240740740744</v>
      </c>
      <c r="H441" s="3">
        <v>0.69967592592592587</v>
      </c>
      <c r="I441" s="3">
        <v>3.93518518518432E-4</v>
      </c>
      <c r="J441" s="3">
        <v>3.93518518518432E-4</v>
      </c>
      <c r="K441" s="5">
        <f t="shared" si="75"/>
        <v>34</v>
      </c>
      <c r="L441" s="3">
        <v>1.8402777777777324E-3</v>
      </c>
      <c r="N441" s="1" t="s">
        <v>42</v>
      </c>
      <c r="O441" s="1" t="s">
        <v>43</v>
      </c>
      <c r="P441" s="1" t="s">
        <v>44</v>
      </c>
      <c r="Q441" s="1" t="s">
        <v>76</v>
      </c>
      <c r="R441" s="1" t="s">
        <v>76</v>
      </c>
      <c r="S441" s="1" t="s">
        <v>46</v>
      </c>
      <c r="T441" s="1" t="s">
        <v>45</v>
      </c>
      <c r="U441" s="1" t="s">
        <v>156</v>
      </c>
      <c r="V441" s="1" t="s">
        <v>67</v>
      </c>
      <c r="W441" s="1" t="s">
        <v>68</v>
      </c>
      <c r="Y441" s="1" t="s">
        <v>68</v>
      </c>
      <c r="AB441" s="1" t="s">
        <v>69</v>
      </c>
      <c r="AC441" s="1">
        <v>0</v>
      </c>
      <c r="AD441" s="1" t="s">
        <v>68</v>
      </c>
      <c r="AE441" s="1" t="s">
        <v>70</v>
      </c>
      <c r="AI441" s="1" t="s">
        <v>75</v>
      </c>
      <c r="AK441" s="1" t="s">
        <v>86</v>
      </c>
      <c r="AL441" s="1" t="s">
        <v>87</v>
      </c>
      <c r="AN441" s="1">
        <v>1</v>
      </c>
      <c r="AO441" s="1">
        <f t="shared" si="76"/>
        <v>1</v>
      </c>
    </row>
    <row r="442" spans="1:41" x14ac:dyDescent="0.4">
      <c r="A442" s="1">
        <v>1</v>
      </c>
      <c r="B442" s="1">
        <v>3</v>
      </c>
      <c r="C442" s="1" t="s">
        <v>41</v>
      </c>
      <c r="D442" s="2">
        <v>38751</v>
      </c>
      <c r="E442" s="1">
        <v>34</v>
      </c>
      <c r="F442" s="1">
        <v>12</v>
      </c>
      <c r="G442" s="3">
        <v>0.7015162037037036</v>
      </c>
      <c r="H442" s="3">
        <v>0.70197916666666671</v>
      </c>
      <c r="I442" s="3">
        <v>4.6296296296310935E-4</v>
      </c>
      <c r="J442" s="3">
        <v>4.6296296296310935E-4</v>
      </c>
      <c r="K442" s="5">
        <f t="shared" si="75"/>
        <v>40</v>
      </c>
      <c r="L442" s="3">
        <v>2.7777777777777679E-3</v>
      </c>
      <c r="N442" s="1" t="s">
        <v>42</v>
      </c>
      <c r="O442" s="1" t="s">
        <v>43</v>
      </c>
      <c r="P442" s="1" t="s">
        <v>44</v>
      </c>
      <c r="Q442" s="1" t="s">
        <v>76</v>
      </c>
      <c r="R442" s="1" t="s">
        <v>76</v>
      </c>
      <c r="S442" s="1" t="s">
        <v>46</v>
      </c>
      <c r="T442" s="1" t="s">
        <v>76</v>
      </c>
      <c r="U442" s="1" t="s">
        <v>66</v>
      </c>
      <c r="V442" s="1" t="s">
        <v>67</v>
      </c>
      <c r="W442" s="1" t="s">
        <v>68</v>
      </c>
      <c r="Y442" s="1" t="s">
        <v>68</v>
      </c>
      <c r="AB442" s="1" t="s">
        <v>69</v>
      </c>
      <c r="AC442" s="1">
        <v>0</v>
      </c>
      <c r="AD442" s="1" t="s">
        <v>68</v>
      </c>
      <c r="AE442" s="1" t="s">
        <v>70</v>
      </c>
      <c r="AI442" s="1" t="s">
        <v>71</v>
      </c>
      <c r="AK442" s="1" t="s">
        <v>61</v>
      </c>
      <c r="AL442" s="1" t="s">
        <v>72</v>
      </c>
      <c r="AN442" s="1">
        <v>1</v>
      </c>
      <c r="AO442" s="1">
        <f t="shared" si="76"/>
        <v>1</v>
      </c>
    </row>
    <row r="443" spans="1:41" x14ac:dyDescent="0.4">
      <c r="A443" s="1">
        <v>1</v>
      </c>
      <c r="B443" s="1">
        <v>3</v>
      </c>
      <c r="C443" s="1" t="s">
        <v>41</v>
      </c>
      <c r="D443" s="2">
        <v>38751</v>
      </c>
      <c r="E443" s="1">
        <v>34</v>
      </c>
      <c r="F443" s="1">
        <v>13</v>
      </c>
      <c r="G443" s="3">
        <v>0.70475694444444448</v>
      </c>
      <c r="H443" s="3">
        <v>0.70498842592592592</v>
      </c>
      <c r="I443" s="3">
        <v>2.3148148148144365E-4</v>
      </c>
      <c r="J443" s="3">
        <v>2.3148148148144365E-4</v>
      </c>
      <c r="K443" s="5">
        <f t="shared" si="75"/>
        <v>20</v>
      </c>
      <c r="L443" s="3">
        <v>3.6921296296296147E-3</v>
      </c>
      <c r="N443" s="1" t="s">
        <v>42</v>
      </c>
      <c r="O443" s="1" t="s">
        <v>43</v>
      </c>
      <c r="P443" s="1" t="s">
        <v>44</v>
      </c>
      <c r="Q443" s="1" t="s">
        <v>76</v>
      </c>
      <c r="R443" s="1" t="s">
        <v>76</v>
      </c>
      <c r="S443" s="1" t="s">
        <v>46</v>
      </c>
      <c r="T443" s="1" t="s">
        <v>76</v>
      </c>
      <c r="U443" s="1" t="s">
        <v>66</v>
      </c>
      <c r="V443" s="1" t="s">
        <v>67</v>
      </c>
      <c r="W443" s="1" t="s">
        <v>68</v>
      </c>
      <c r="Y443" s="1" t="s">
        <v>68</v>
      </c>
      <c r="AB443" s="1" t="s">
        <v>69</v>
      </c>
      <c r="AC443" s="1">
        <v>0</v>
      </c>
      <c r="AD443" s="1" t="s">
        <v>68</v>
      </c>
      <c r="AE443" s="1" t="s">
        <v>70</v>
      </c>
      <c r="AI443" s="1" t="s">
        <v>71</v>
      </c>
      <c r="AK443" s="1" t="s">
        <v>86</v>
      </c>
      <c r="AL443" s="1" t="s">
        <v>87</v>
      </c>
      <c r="AN443" s="1">
        <v>1</v>
      </c>
      <c r="AO443" s="1">
        <f t="shared" si="76"/>
        <v>1</v>
      </c>
    </row>
    <row r="444" spans="1:41" x14ac:dyDescent="0.4">
      <c r="A444" s="1">
        <v>1</v>
      </c>
      <c r="B444" s="1">
        <v>3</v>
      </c>
      <c r="C444" s="1" t="s">
        <v>41</v>
      </c>
      <c r="D444" s="2">
        <v>38751</v>
      </c>
      <c r="E444" s="1">
        <v>34</v>
      </c>
      <c r="F444" s="1">
        <v>14</v>
      </c>
      <c r="G444" s="3">
        <v>0.70868055555555554</v>
      </c>
      <c r="H444" s="3">
        <v>0.70886574074074071</v>
      </c>
      <c r="I444" s="3">
        <v>1.8518518518517713E-4</v>
      </c>
      <c r="J444" s="3">
        <v>1.8518518518517713E-4</v>
      </c>
      <c r="K444" s="5">
        <f t="shared" si="75"/>
        <v>16</v>
      </c>
      <c r="L444" s="3">
        <v>2.17592592592597E-3</v>
      </c>
      <c r="N444" s="1" t="s">
        <v>42</v>
      </c>
      <c r="O444" s="1" t="s">
        <v>43</v>
      </c>
      <c r="P444" s="1" t="s">
        <v>44</v>
      </c>
      <c r="Q444" s="1" t="s">
        <v>76</v>
      </c>
      <c r="R444" s="1" t="s">
        <v>76</v>
      </c>
      <c r="S444" s="1" t="s">
        <v>46</v>
      </c>
      <c r="T444" s="1" t="s">
        <v>76</v>
      </c>
      <c r="U444" s="1" t="s">
        <v>66</v>
      </c>
      <c r="V444" s="1" t="s">
        <v>67</v>
      </c>
      <c r="W444" s="1" t="s">
        <v>68</v>
      </c>
      <c r="Y444" s="1" t="s">
        <v>68</v>
      </c>
      <c r="AB444" s="1" t="s">
        <v>69</v>
      </c>
      <c r="AC444" s="1">
        <v>0</v>
      </c>
      <c r="AD444" s="1" t="s">
        <v>68</v>
      </c>
      <c r="AE444" s="1" t="s">
        <v>70</v>
      </c>
      <c r="AI444" s="1" t="s">
        <v>71</v>
      </c>
      <c r="AK444" s="1" t="s">
        <v>86</v>
      </c>
      <c r="AL444" s="1" t="s">
        <v>87</v>
      </c>
      <c r="AN444" s="1">
        <v>1</v>
      </c>
      <c r="AO444" s="1">
        <f t="shared" si="76"/>
        <v>1</v>
      </c>
    </row>
    <row r="445" spans="1:41" x14ac:dyDescent="0.4">
      <c r="A445" s="1">
        <v>1</v>
      </c>
      <c r="B445" s="1">
        <v>3</v>
      </c>
      <c r="C445" s="1" t="s">
        <v>41</v>
      </c>
      <c r="D445" s="2">
        <v>38751</v>
      </c>
      <c r="E445" s="1">
        <v>34</v>
      </c>
      <c r="F445" s="1">
        <v>15</v>
      </c>
      <c r="G445" s="3">
        <v>0.71104166666666668</v>
      </c>
      <c r="H445" s="3">
        <v>0.71287037037037038</v>
      </c>
      <c r="I445" s="3">
        <v>1.8287037037036935E-3</v>
      </c>
      <c r="J445" s="3">
        <v>4.745370370370372E-4</v>
      </c>
      <c r="K445" s="5">
        <f t="shared" si="75"/>
        <v>41</v>
      </c>
      <c r="L445" s="3" t="s">
        <v>120</v>
      </c>
      <c r="N445" s="1" t="s">
        <v>42</v>
      </c>
      <c r="O445" s="1" t="s">
        <v>43</v>
      </c>
      <c r="P445" s="1" t="s">
        <v>44</v>
      </c>
      <c r="Q445" s="1" t="s">
        <v>76</v>
      </c>
      <c r="R445" s="1" t="s">
        <v>76</v>
      </c>
      <c r="S445" s="1" t="s">
        <v>46</v>
      </c>
      <c r="T445" s="1" t="s">
        <v>76</v>
      </c>
      <c r="U445" s="1" t="s">
        <v>66</v>
      </c>
      <c r="V445" s="1" t="s">
        <v>67</v>
      </c>
      <c r="W445" s="1" t="s">
        <v>68</v>
      </c>
      <c r="Y445" s="1" t="s">
        <v>68</v>
      </c>
      <c r="AB445" s="1" t="s">
        <v>69</v>
      </c>
      <c r="AC445" s="1">
        <v>0</v>
      </c>
      <c r="AD445" s="1" t="s">
        <v>68</v>
      </c>
      <c r="AE445" s="1" t="s">
        <v>70</v>
      </c>
      <c r="AI445" s="1" t="s">
        <v>71</v>
      </c>
      <c r="AK445" s="1" t="s">
        <v>86</v>
      </c>
      <c r="AL445" s="1" t="s">
        <v>86</v>
      </c>
      <c r="AN445" s="1">
        <v>1</v>
      </c>
      <c r="AO445" s="1">
        <f t="shared" si="76"/>
        <v>1</v>
      </c>
    </row>
    <row r="446" spans="1:41" x14ac:dyDescent="0.4">
      <c r="A446" s="1">
        <v>1</v>
      </c>
      <c r="B446" s="1">
        <v>3</v>
      </c>
      <c r="C446" s="1" t="s">
        <v>41</v>
      </c>
      <c r="D446" s="2">
        <v>38758</v>
      </c>
      <c r="E446" s="1">
        <v>41</v>
      </c>
      <c r="F446" s="1">
        <v>1</v>
      </c>
      <c r="G446" s="3">
        <v>0.30199074074074073</v>
      </c>
      <c r="H446" s="3">
        <v>0.35324074074074074</v>
      </c>
      <c r="I446" s="3">
        <v>5.1250000000000018E-2</v>
      </c>
      <c r="J446" s="3">
        <v>1.869791666666637E-2</v>
      </c>
      <c r="K446" s="5">
        <f t="shared" si="75"/>
        <v>1615</v>
      </c>
      <c r="L446" s="3">
        <v>0.16684027777777777</v>
      </c>
      <c r="N446" s="1" t="s">
        <v>75</v>
      </c>
      <c r="O446" s="1" t="s">
        <v>43</v>
      </c>
      <c r="P446" s="1" t="s">
        <v>44</v>
      </c>
      <c r="Q446" s="1" t="s">
        <v>695</v>
      </c>
      <c r="S446" s="1" t="s">
        <v>46</v>
      </c>
      <c r="T446" s="1" t="s">
        <v>45</v>
      </c>
      <c r="U446" s="1" t="s">
        <v>66</v>
      </c>
      <c r="V446" s="1" t="s">
        <v>49</v>
      </c>
      <c r="W446" s="1" t="s">
        <v>50</v>
      </c>
      <c r="X446" s="1" t="s">
        <v>148</v>
      </c>
      <c r="Y446" s="1" t="s">
        <v>149</v>
      </c>
      <c r="Z446" s="1" t="s">
        <v>150</v>
      </c>
      <c r="AA446" s="1" t="s">
        <v>151</v>
      </c>
      <c r="AB446" s="1" t="s">
        <v>152</v>
      </c>
      <c r="AC446" s="1">
        <v>0</v>
      </c>
      <c r="AD446" s="1" t="s">
        <v>56</v>
      </c>
      <c r="AE446" s="1" t="s">
        <v>83</v>
      </c>
      <c r="AF446" s="1" t="s">
        <v>213</v>
      </c>
      <c r="AG446" s="1" t="s">
        <v>696</v>
      </c>
      <c r="AH446" s="1" t="s">
        <v>59</v>
      </c>
      <c r="AI446" s="1" t="s">
        <v>75</v>
      </c>
      <c r="AJ446" s="1" t="s">
        <v>147</v>
      </c>
      <c r="AK446" s="1" t="s">
        <v>61</v>
      </c>
      <c r="AL446" s="1" t="s">
        <v>72</v>
      </c>
      <c r="AM446" s="1">
        <v>1</v>
      </c>
      <c r="AN446" s="1">
        <v>0</v>
      </c>
      <c r="AO446" s="1">
        <f t="shared" si="76"/>
        <v>1</v>
      </c>
    </row>
    <row r="447" spans="1:41" x14ac:dyDescent="0.4">
      <c r="A447" s="1">
        <v>1</v>
      </c>
      <c r="B447" s="1">
        <v>3</v>
      </c>
      <c r="C447" s="1" t="s">
        <v>41</v>
      </c>
      <c r="D447" s="2">
        <v>38758</v>
      </c>
      <c r="E447" s="1">
        <v>41</v>
      </c>
      <c r="F447" s="1">
        <v>2</v>
      </c>
      <c r="G447" s="3">
        <v>0.52008101851851851</v>
      </c>
      <c r="H447" s="3">
        <v>0.52396990740740745</v>
      </c>
      <c r="I447" s="3">
        <v>3.8888888888889417E-3</v>
      </c>
      <c r="J447" s="3">
        <v>3.8888888888889417E-3</v>
      </c>
      <c r="K447" s="5">
        <f t="shared" si="75"/>
        <v>336</v>
      </c>
      <c r="L447" s="3">
        <v>2.6921296296296249E-2</v>
      </c>
      <c r="N447" s="1" t="s">
        <v>42</v>
      </c>
      <c r="O447" s="1" t="s">
        <v>43</v>
      </c>
      <c r="P447" s="1" t="s">
        <v>44</v>
      </c>
      <c r="Q447" s="1" t="s">
        <v>45</v>
      </c>
      <c r="R447" s="1" t="s">
        <v>45</v>
      </c>
      <c r="S447" s="1" t="s">
        <v>46</v>
      </c>
      <c r="T447" s="1" t="s">
        <v>45</v>
      </c>
      <c r="U447" s="1" t="s">
        <v>92</v>
      </c>
      <c r="V447" s="1" t="s">
        <v>49</v>
      </c>
      <c r="W447" s="1" t="s">
        <v>609</v>
      </c>
      <c r="X447" s="1" t="s">
        <v>96</v>
      </c>
      <c r="Y447" s="1" t="s">
        <v>149</v>
      </c>
      <c r="Z447" s="1" t="s">
        <v>697</v>
      </c>
      <c r="AB447" s="1" t="s">
        <v>698</v>
      </c>
      <c r="AC447" s="1">
        <v>0</v>
      </c>
      <c r="AD447" s="1" t="s">
        <v>105</v>
      </c>
      <c r="AE447" s="1" t="s">
        <v>70</v>
      </c>
      <c r="AG447" s="1" t="s">
        <v>699</v>
      </c>
      <c r="AI447" s="1" t="s">
        <v>75</v>
      </c>
      <c r="AK447" s="1" t="s">
        <v>86</v>
      </c>
      <c r="AL447" s="1" t="s">
        <v>87</v>
      </c>
      <c r="AM447" s="1">
        <v>1</v>
      </c>
      <c r="AN447" s="1">
        <v>0</v>
      </c>
      <c r="AO447" s="1">
        <f t="shared" si="76"/>
        <v>1</v>
      </c>
    </row>
    <row r="448" spans="1:41" x14ac:dyDescent="0.4">
      <c r="A448" s="1">
        <v>1</v>
      </c>
      <c r="B448" s="1">
        <v>3</v>
      </c>
      <c r="C448" s="1" t="s">
        <v>41</v>
      </c>
      <c r="D448" s="2">
        <v>38758</v>
      </c>
      <c r="E448" s="1">
        <v>41</v>
      </c>
      <c r="F448" s="1">
        <v>4</v>
      </c>
      <c r="G448" s="3">
        <v>0.5508912037037037</v>
      </c>
      <c r="H448" s="3">
        <v>0.55178240740740747</v>
      </c>
      <c r="I448" s="3">
        <v>8.91203703703769E-4</v>
      </c>
      <c r="J448" s="3">
        <v>8.91203703703769E-4</v>
      </c>
      <c r="K448" s="5">
        <f t="shared" si="75"/>
        <v>77</v>
      </c>
      <c r="L448" s="3">
        <v>3.2407407407406552E-3</v>
      </c>
      <c r="N448" s="1" t="s">
        <v>42</v>
      </c>
      <c r="O448" s="1" t="s">
        <v>43</v>
      </c>
      <c r="P448" s="1" t="s">
        <v>44</v>
      </c>
      <c r="Q448" s="1" t="s">
        <v>695</v>
      </c>
      <c r="R448" s="1" t="s">
        <v>695</v>
      </c>
      <c r="S448" s="1" t="s">
        <v>46</v>
      </c>
      <c r="T448" s="1" t="s">
        <v>76</v>
      </c>
      <c r="U448" s="1" t="s">
        <v>66</v>
      </c>
      <c r="V448" s="1" t="s">
        <v>102</v>
      </c>
      <c r="W448" s="1" t="s">
        <v>103</v>
      </c>
      <c r="X448" s="1" t="s">
        <v>96</v>
      </c>
      <c r="AB448" s="1" t="s">
        <v>104</v>
      </c>
      <c r="AC448" s="1">
        <v>0</v>
      </c>
      <c r="AE448" s="1" t="s">
        <v>70</v>
      </c>
      <c r="AI448" s="1" t="s">
        <v>71</v>
      </c>
      <c r="AK448" s="1" t="s">
        <v>61</v>
      </c>
      <c r="AL448" s="1" t="s">
        <v>155</v>
      </c>
      <c r="AN448" s="1">
        <v>1</v>
      </c>
      <c r="AO448" s="1">
        <f t="shared" si="76"/>
        <v>1</v>
      </c>
    </row>
    <row r="449" spans="1:41" x14ac:dyDescent="0.4">
      <c r="A449" s="1">
        <v>1</v>
      </c>
      <c r="B449" s="1">
        <v>3</v>
      </c>
      <c r="C449" s="1" t="s">
        <v>41</v>
      </c>
      <c r="D449" s="2">
        <v>38758</v>
      </c>
      <c r="E449" s="1">
        <v>41</v>
      </c>
      <c r="F449" s="1">
        <v>5</v>
      </c>
      <c r="G449" s="3">
        <v>0.55502314814814813</v>
      </c>
      <c r="H449" s="3">
        <v>0.55516203703703704</v>
      </c>
      <c r="I449" s="3">
        <v>1.388888888889106E-4</v>
      </c>
      <c r="J449" s="3">
        <v>1.388888888889106E-4</v>
      </c>
      <c r="K449" s="5">
        <f t="shared" si="75"/>
        <v>12</v>
      </c>
      <c r="L449" s="3">
        <v>5.7754629629629628E-2</v>
      </c>
      <c r="N449" s="1" t="s">
        <v>42</v>
      </c>
      <c r="O449" s="1" t="s">
        <v>43</v>
      </c>
      <c r="P449" s="1" t="s">
        <v>44</v>
      </c>
      <c r="Q449" s="1" t="s">
        <v>695</v>
      </c>
      <c r="R449" s="1" t="s">
        <v>695</v>
      </c>
      <c r="S449" s="1" t="s">
        <v>46</v>
      </c>
      <c r="T449" s="1" t="s">
        <v>76</v>
      </c>
      <c r="U449" s="1" t="s">
        <v>66</v>
      </c>
      <c r="AB449" s="1" t="s">
        <v>93</v>
      </c>
      <c r="AC449" s="1">
        <v>1</v>
      </c>
      <c r="AI449" s="1" t="s">
        <v>71</v>
      </c>
      <c r="AK449" s="1" t="s">
        <v>86</v>
      </c>
      <c r="AL449" s="1" t="s">
        <v>87</v>
      </c>
      <c r="AN449" s="1">
        <v>1</v>
      </c>
      <c r="AO449" s="1">
        <f t="shared" si="76"/>
        <v>1</v>
      </c>
    </row>
    <row r="450" spans="1:41" x14ac:dyDescent="0.4">
      <c r="A450" s="1">
        <v>1</v>
      </c>
      <c r="B450" s="1">
        <v>3</v>
      </c>
      <c r="C450" s="1" t="s">
        <v>41</v>
      </c>
      <c r="D450" s="2">
        <v>38758</v>
      </c>
      <c r="E450" s="1">
        <v>41</v>
      </c>
      <c r="F450" s="1">
        <v>5.5</v>
      </c>
      <c r="G450" s="3">
        <v>0.61291666666666667</v>
      </c>
      <c r="H450" s="3">
        <v>0.61439814814814808</v>
      </c>
      <c r="I450" s="3">
        <v>1.481481481481417E-3</v>
      </c>
      <c r="J450" s="3">
        <v>1.0185185185184187E-3</v>
      </c>
      <c r="K450" s="5">
        <f t="shared" ref="K450:K513" si="77">HOUR(J450)*60*60+MINUTE(J450)*60+SECOND(J450)</f>
        <v>88</v>
      </c>
      <c r="L450" s="3">
        <v>5.4236111111111152E-2</v>
      </c>
      <c r="N450" s="1" t="s">
        <v>42</v>
      </c>
      <c r="O450" s="1" t="s">
        <v>43</v>
      </c>
      <c r="P450" s="1" t="s">
        <v>44</v>
      </c>
      <c r="Q450" s="1" t="s">
        <v>191</v>
      </c>
      <c r="R450" s="1" t="s">
        <v>191</v>
      </c>
      <c r="S450" s="1" t="s">
        <v>46</v>
      </c>
      <c r="T450" s="1" t="s">
        <v>45</v>
      </c>
      <c r="U450" s="1" t="s">
        <v>66</v>
      </c>
      <c r="AB450" s="1" t="s">
        <v>93</v>
      </c>
      <c r="AC450" s="1">
        <v>1</v>
      </c>
      <c r="AI450" s="1" t="s">
        <v>71</v>
      </c>
      <c r="AK450" s="1" t="s">
        <v>86</v>
      </c>
      <c r="AL450" s="1" t="s">
        <v>187</v>
      </c>
      <c r="AN450" s="1">
        <v>1</v>
      </c>
      <c r="AO450" s="1">
        <f t="shared" si="76"/>
        <v>1</v>
      </c>
    </row>
    <row r="451" spans="1:41" x14ac:dyDescent="0.4">
      <c r="A451" s="1">
        <v>1</v>
      </c>
      <c r="B451" s="1">
        <v>3</v>
      </c>
      <c r="C451" s="1" t="s">
        <v>41</v>
      </c>
      <c r="D451" s="2">
        <v>38758</v>
      </c>
      <c r="E451" s="1">
        <v>41</v>
      </c>
      <c r="F451" s="1">
        <v>6</v>
      </c>
      <c r="G451" s="3">
        <v>0.66863425925925923</v>
      </c>
      <c r="H451" s="3">
        <v>0.68346064814814822</v>
      </c>
      <c r="I451" s="3">
        <v>1.4826388888888986E-2</v>
      </c>
      <c r="J451" s="3">
        <v>1.2662037037037277E-2</v>
      </c>
      <c r="K451" s="5">
        <f t="shared" si="77"/>
        <v>1094</v>
      </c>
      <c r="L451" s="3">
        <v>1.0624999999999996E-2</v>
      </c>
      <c r="N451" s="1" t="s">
        <v>75</v>
      </c>
      <c r="O451" s="1" t="s">
        <v>43</v>
      </c>
      <c r="P451" s="1" t="s">
        <v>44</v>
      </c>
      <c r="Q451" s="1" t="s">
        <v>191</v>
      </c>
      <c r="R451" s="1" t="s">
        <v>191</v>
      </c>
      <c r="S451" s="1" t="s">
        <v>46</v>
      </c>
      <c r="T451" s="1" t="s">
        <v>45</v>
      </c>
      <c r="U451" s="1" t="s">
        <v>92</v>
      </c>
      <c r="V451" s="1" t="s">
        <v>49</v>
      </c>
      <c r="W451" s="1" t="s">
        <v>634</v>
      </c>
      <c r="X451" s="1" t="s">
        <v>700</v>
      </c>
      <c r="Y451" s="1" t="s">
        <v>701</v>
      </c>
      <c r="Z451" s="1" t="s">
        <v>702</v>
      </c>
      <c r="AA451" s="1" t="s">
        <v>703</v>
      </c>
      <c r="AB451" s="1" t="s">
        <v>704</v>
      </c>
      <c r="AC451" s="1">
        <v>0</v>
      </c>
      <c r="AD451" s="1" t="s">
        <v>56</v>
      </c>
      <c r="AE451" s="1" t="s">
        <v>181</v>
      </c>
      <c r="AF451" s="1" t="s">
        <v>113</v>
      </c>
      <c r="AG451" s="1" t="s">
        <v>705</v>
      </c>
      <c r="AH451" s="1" t="s">
        <v>59</v>
      </c>
      <c r="AI451" s="1" t="s">
        <v>75</v>
      </c>
      <c r="AK451" s="1" t="s">
        <v>86</v>
      </c>
      <c r="AL451" s="1" t="s">
        <v>86</v>
      </c>
      <c r="AM451" s="1">
        <v>2</v>
      </c>
      <c r="AN451" s="1">
        <v>0</v>
      </c>
      <c r="AO451" s="1">
        <f t="shared" ref="AO451:AO514" si="78">SUM(AM451:AN451)</f>
        <v>2</v>
      </c>
    </row>
    <row r="452" spans="1:41" x14ac:dyDescent="0.4">
      <c r="A452" s="1">
        <v>1</v>
      </c>
      <c r="B452" s="1">
        <v>3</v>
      </c>
      <c r="C452" s="1" t="s">
        <v>41</v>
      </c>
      <c r="D452" s="2">
        <v>38758</v>
      </c>
      <c r="E452" s="1">
        <v>41</v>
      </c>
      <c r="F452" s="1">
        <v>7</v>
      </c>
      <c r="G452" s="3">
        <v>0.69408564814814822</v>
      </c>
      <c r="H452" s="3">
        <v>0.69826388888888891</v>
      </c>
      <c r="I452" s="3">
        <v>4.1782407407406907E-3</v>
      </c>
      <c r="J452" s="3">
        <v>4.1782407407406907E-3</v>
      </c>
      <c r="K452" s="5">
        <f t="shared" si="77"/>
        <v>361</v>
      </c>
      <c r="L452" s="3">
        <v>6.331018518518583E-3</v>
      </c>
      <c r="N452" s="1" t="s">
        <v>42</v>
      </c>
      <c r="O452" s="1" t="s">
        <v>43</v>
      </c>
      <c r="P452" s="1" t="s">
        <v>44</v>
      </c>
      <c r="Q452" s="1" t="s">
        <v>45</v>
      </c>
      <c r="R452" s="1" t="s">
        <v>45</v>
      </c>
      <c r="S452" s="1" t="s">
        <v>46</v>
      </c>
      <c r="T452" s="1" t="s">
        <v>47</v>
      </c>
      <c r="U452" s="1" t="s">
        <v>66</v>
      </c>
      <c r="X452" s="1" t="s">
        <v>460</v>
      </c>
      <c r="AB452" s="1" t="s">
        <v>93</v>
      </c>
      <c r="AC452" s="1">
        <v>1</v>
      </c>
      <c r="AD452" s="1" t="s">
        <v>56</v>
      </c>
      <c r="AF452" s="1" t="s">
        <v>163</v>
      </c>
      <c r="AG452" s="1" t="s">
        <v>706</v>
      </c>
      <c r="AI452" s="1" t="s">
        <v>71</v>
      </c>
      <c r="AK452" s="1" t="s">
        <v>86</v>
      </c>
      <c r="AL452" s="1" t="s">
        <v>133</v>
      </c>
      <c r="AM452" s="1">
        <v>1</v>
      </c>
      <c r="AN452" s="1">
        <v>0</v>
      </c>
      <c r="AO452" s="1">
        <f t="shared" si="78"/>
        <v>1</v>
      </c>
    </row>
    <row r="453" spans="1:41" x14ac:dyDescent="0.4">
      <c r="A453" s="1">
        <v>1</v>
      </c>
      <c r="B453" s="1">
        <v>3</v>
      </c>
      <c r="C453" s="1" t="s">
        <v>41</v>
      </c>
      <c r="D453" s="2">
        <v>38758</v>
      </c>
      <c r="E453" s="1">
        <v>41</v>
      </c>
      <c r="F453" s="1">
        <v>8</v>
      </c>
      <c r="G453" s="3">
        <v>0.70459490740740749</v>
      </c>
      <c r="H453" s="3">
        <v>0.70702546296296298</v>
      </c>
      <c r="I453" s="3">
        <v>2.4305555555554914E-3</v>
      </c>
      <c r="J453" s="3">
        <v>2.4305555555554914E-3</v>
      </c>
      <c r="K453" s="5">
        <f t="shared" si="77"/>
        <v>210</v>
      </c>
      <c r="L453" s="3">
        <v>2.8819444444443398E-3</v>
      </c>
      <c r="N453" s="1" t="s">
        <v>42</v>
      </c>
      <c r="O453" s="1" t="s">
        <v>43</v>
      </c>
      <c r="P453" s="1" t="s">
        <v>44</v>
      </c>
      <c r="S453" s="1" t="s">
        <v>46</v>
      </c>
      <c r="T453" s="1" t="s">
        <v>45</v>
      </c>
      <c r="U453" s="1" t="s">
        <v>66</v>
      </c>
      <c r="V453" s="1" t="s">
        <v>49</v>
      </c>
      <c r="W453" s="1" t="s">
        <v>77</v>
      </c>
      <c r="X453" s="1" t="s">
        <v>108</v>
      </c>
      <c r="Y453" s="1" t="s">
        <v>109</v>
      </c>
      <c r="Z453" s="1" t="s">
        <v>110</v>
      </c>
      <c r="AA453" s="1" t="s">
        <v>111</v>
      </c>
      <c r="AB453" s="1" t="s">
        <v>112</v>
      </c>
      <c r="AC453" s="1">
        <v>0</v>
      </c>
      <c r="AD453" s="1" t="s">
        <v>56</v>
      </c>
      <c r="AE453" s="1" t="s">
        <v>57</v>
      </c>
      <c r="AF453" s="1" t="s">
        <v>113</v>
      </c>
      <c r="AH453" s="1" t="s">
        <v>115</v>
      </c>
      <c r="AI453" s="1" t="s">
        <v>71</v>
      </c>
      <c r="AK453" s="1" t="s">
        <v>116</v>
      </c>
      <c r="AL453" s="1" t="s">
        <v>117</v>
      </c>
      <c r="AN453" s="1">
        <v>1</v>
      </c>
      <c r="AO453" s="1">
        <f t="shared" si="78"/>
        <v>1</v>
      </c>
    </row>
    <row r="454" spans="1:41" x14ac:dyDescent="0.4">
      <c r="A454" s="1">
        <v>1</v>
      </c>
      <c r="B454" s="1">
        <v>3</v>
      </c>
      <c r="C454" s="1" t="s">
        <v>41</v>
      </c>
      <c r="D454" s="2">
        <v>38758</v>
      </c>
      <c r="E454" s="1">
        <v>41</v>
      </c>
      <c r="F454" s="1">
        <v>8.5</v>
      </c>
      <c r="G454" s="3">
        <v>0.70990740740740732</v>
      </c>
      <c r="H454" s="3">
        <v>0.7114583333333333</v>
      </c>
      <c r="I454" s="3">
        <v>1.5509259259259833E-3</v>
      </c>
      <c r="J454" s="3">
        <v>1.5509259259259833E-3</v>
      </c>
      <c r="K454" s="5">
        <f t="shared" si="77"/>
        <v>134</v>
      </c>
      <c r="L454" s="3">
        <v>8.2175925925925819E-3</v>
      </c>
      <c r="N454" s="1" t="s">
        <v>42</v>
      </c>
      <c r="O454" s="1" t="s">
        <v>43</v>
      </c>
      <c r="P454" s="1" t="s">
        <v>44</v>
      </c>
      <c r="Q454" s="1" t="s">
        <v>45</v>
      </c>
      <c r="R454" s="1" t="s">
        <v>45</v>
      </c>
      <c r="S454" s="1" t="s">
        <v>46</v>
      </c>
      <c r="AB454" s="1" t="s">
        <v>93</v>
      </c>
      <c r="AC454" s="1">
        <v>1</v>
      </c>
      <c r="AJ454" s="1" t="s">
        <v>147</v>
      </c>
      <c r="AK454" s="1" t="s">
        <v>116</v>
      </c>
      <c r="AL454" s="1" t="s">
        <v>117</v>
      </c>
      <c r="AN454" s="1">
        <v>1</v>
      </c>
      <c r="AO454" s="1">
        <f t="shared" si="78"/>
        <v>1</v>
      </c>
    </row>
    <row r="455" spans="1:41" x14ac:dyDescent="0.4">
      <c r="A455" s="1">
        <v>1</v>
      </c>
      <c r="B455" s="1">
        <v>3</v>
      </c>
      <c r="C455" s="1" t="s">
        <v>41</v>
      </c>
      <c r="D455" s="2">
        <v>38758</v>
      </c>
      <c r="E455" s="1">
        <v>41</v>
      </c>
      <c r="F455" s="1">
        <v>9</v>
      </c>
      <c r="G455" s="3">
        <v>0.71967592592592589</v>
      </c>
      <c r="H455" s="3">
        <v>0.72113425925925922</v>
      </c>
      <c r="I455" s="3">
        <v>1.4583333333333393E-3</v>
      </c>
      <c r="J455" s="3">
        <v>1.4583333333333393E-3</v>
      </c>
      <c r="K455" s="5">
        <f t="shared" si="77"/>
        <v>126</v>
      </c>
      <c r="L455" s="3" t="s">
        <v>120</v>
      </c>
      <c r="N455" s="1" t="s">
        <v>75</v>
      </c>
      <c r="O455" s="1" t="s">
        <v>43</v>
      </c>
      <c r="P455" s="1" t="s">
        <v>44</v>
      </c>
      <c r="Q455" s="1" t="s">
        <v>76</v>
      </c>
      <c r="R455" s="1" t="s">
        <v>76</v>
      </c>
      <c r="S455" s="1" t="s">
        <v>46</v>
      </c>
      <c r="T455" s="1" t="s">
        <v>45</v>
      </c>
      <c r="U455" s="1" t="s">
        <v>66</v>
      </c>
      <c r="V455" s="1" t="s">
        <v>49</v>
      </c>
      <c r="W455" s="1" t="s">
        <v>140</v>
      </c>
      <c r="X455" s="1" t="s">
        <v>707</v>
      </c>
      <c r="Y455" s="1" t="s">
        <v>126</v>
      </c>
      <c r="Z455" s="1" t="s">
        <v>708</v>
      </c>
      <c r="AA455" s="1" t="s">
        <v>709</v>
      </c>
      <c r="AB455" s="1" t="s">
        <v>710</v>
      </c>
      <c r="AC455" s="1">
        <v>0</v>
      </c>
      <c r="AD455" s="1" t="s">
        <v>56</v>
      </c>
      <c r="AE455" s="1" t="s">
        <v>83</v>
      </c>
      <c r="AF455" s="1" t="s">
        <v>163</v>
      </c>
      <c r="AG455" s="1" t="s">
        <v>711</v>
      </c>
      <c r="AI455" s="1" t="s">
        <v>122</v>
      </c>
      <c r="AK455" s="1" t="s">
        <v>116</v>
      </c>
      <c r="AL455" s="1" t="s">
        <v>155</v>
      </c>
      <c r="AM455" s="1">
        <v>1</v>
      </c>
      <c r="AN455" s="1">
        <v>0</v>
      </c>
      <c r="AO455" s="1">
        <f t="shared" si="78"/>
        <v>1</v>
      </c>
    </row>
    <row r="456" spans="1:41" x14ac:dyDescent="0.4">
      <c r="A456" s="1">
        <v>1</v>
      </c>
      <c r="B456" s="1">
        <v>3</v>
      </c>
      <c r="C456" s="1" t="s">
        <v>41</v>
      </c>
      <c r="D456" s="2">
        <v>38764</v>
      </c>
      <c r="E456" s="1">
        <v>47</v>
      </c>
      <c r="F456" s="1">
        <v>1</v>
      </c>
      <c r="G456" s="3">
        <v>0.39872685185185186</v>
      </c>
      <c r="H456" s="3">
        <v>0.4019212962962963</v>
      </c>
      <c r="I456" s="3">
        <v>3.1944444444444442E-3</v>
      </c>
      <c r="J456" s="3">
        <v>3.1944444444444442E-3</v>
      </c>
      <c r="K456" s="5">
        <f t="shared" si="77"/>
        <v>276</v>
      </c>
      <c r="L456" s="3">
        <v>8.7939814814814776E-2</v>
      </c>
      <c r="N456" s="1" t="s">
        <v>42</v>
      </c>
      <c r="O456" s="1" t="s">
        <v>43</v>
      </c>
      <c r="P456" s="1" t="s">
        <v>44</v>
      </c>
      <c r="Q456" s="1" t="s">
        <v>45</v>
      </c>
      <c r="R456" s="1" t="s">
        <v>45</v>
      </c>
      <c r="S456" s="1" t="s">
        <v>46</v>
      </c>
      <c r="T456" s="1" t="s">
        <v>45</v>
      </c>
      <c r="U456" s="1" t="s">
        <v>66</v>
      </c>
      <c r="X456" s="1" t="s">
        <v>96</v>
      </c>
      <c r="AB456" s="1" t="s">
        <v>93</v>
      </c>
      <c r="AC456" s="1">
        <v>1</v>
      </c>
      <c r="AD456" s="1" t="s">
        <v>56</v>
      </c>
      <c r="AE456" s="1" t="s">
        <v>70</v>
      </c>
      <c r="AG456" s="1" t="s">
        <v>712</v>
      </c>
      <c r="AI456" s="1" t="s">
        <v>71</v>
      </c>
      <c r="AJ456" s="1" t="s">
        <v>147</v>
      </c>
      <c r="AK456" s="1" t="s">
        <v>86</v>
      </c>
      <c r="AL456" s="1" t="s">
        <v>133</v>
      </c>
      <c r="AM456" s="1">
        <v>1</v>
      </c>
      <c r="AN456" s="1">
        <v>0</v>
      </c>
      <c r="AO456" s="1">
        <f t="shared" si="78"/>
        <v>1</v>
      </c>
    </row>
    <row r="457" spans="1:41" x14ac:dyDescent="0.4">
      <c r="A457" s="1">
        <v>1</v>
      </c>
      <c r="B457" s="1">
        <v>3</v>
      </c>
      <c r="C457" s="1" t="s">
        <v>41</v>
      </c>
      <c r="D457" s="2">
        <v>38764</v>
      </c>
      <c r="E457" s="1">
        <v>47</v>
      </c>
      <c r="F457" s="1">
        <v>1.5</v>
      </c>
      <c r="G457" s="3">
        <v>0.48986111111111108</v>
      </c>
      <c r="H457" s="3">
        <v>0.49134259259259255</v>
      </c>
      <c r="I457" s="3">
        <v>1.4814814814814725E-3</v>
      </c>
      <c r="J457" s="3">
        <v>1.4814814814814725E-3</v>
      </c>
      <c r="K457" s="5">
        <f t="shared" si="77"/>
        <v>128</v>
      </c>
      <c r="L457" s="3">
        <v>7.8148148148148133E-2</v>
      </c>
      <c r="N457" s="1" t="s">
        <v>75</v>
      </c>
      <c r="O457" s="1" t="s">
        <v>43</v>
      </c>
      <c r="P457" s="1" t="s">
        <v>44</v>
      </c>
      <c r="Q457" s="1" t="s">
        <v>45</v>
      </c>
      <c r="R457" s="1" t="s">
        <v>45</v>
      </c>
      <c r="S457" s="1" t="s">
        <v>46</v>
      </c>
      <c r="T457" s="1" t="s">
        <v>76</v>
      </c>
      <c r="U457" s="1" t="s">
        <v>48</v>
      </c>
      <c r="AB457" s="1" t="s">
        <v>93</v>
      </c>
      <c r="AC457" s="1">
        <v>1</v>
      </c>
      <c r="AI457" s="1" t="s">
        <v>75</v>
      </c>
      <c r="AK457" s="1" t="s">
        <v>86</v>
      </c>
      <c r="AL457" s="1" t="s">
        <v>87</v>
      </c>
      <c r="AN457" s="1">
        <v>1</v>
      </c>
      <c r="AO457" s="1">
        <f t="shared" si="78"/>
        <v>1</v>
      </c>
    </row>
    <row r="458" spans="1:41" x14ac:dyDescent="0.4">
      <c r="A458" s="1">
        <v>1</v>
      </c>
      <c r="B458" s="1">
        <v>3</v>
      </c>
      <c r="C458" s="1" t="s">
        <v>41</v>
      </c>
      <c r="D458" s="2">
        <v>38764</v>
      </c>
      <c r="E458" s="1">
        <v>47</v>
      </c>
      <c r="F458" s="1">
        <v>1.7</v>
      </c>
      <c r="G458" s="3">
        <v>0.56949074074074069</v>
      </c>
      <c r="H458" s="3">
        <v>0.57018518518518524</v>
      </c>
      <c r="I458" s="3">
        <v>6.94444444444553E-4</v>
      </c>
      <c r="J458" s="3">
        <v>6.94444444444553E-4</v>
      </c>
      <c r="K458" s="5">
        <f t="shared" si="77"/>
        <v>60</v>
      </c>
      <c r="L458" s="3">
        <v>1.6388888888888786E-2</v>
      </c>
      <c r="N458" s="1" t="s">
        <v>42</v>
      </c>
      <c r="O458" s="1" t="s">
        <v>43</v>
      </c>
      <c r="P458" s="1" t="s">
        <v>44</v>
      </c>
      <c r="Q458" s="1" t="s">
        <v>45</v>
      </c>
      <c r="R458" s="1" t="s">
        <v>45</v>
      </c>
      <c r="S458" s="1" t="s">
        <v>46</v>
      </c>
      <c r="T458" s="1" t="s">
        <v>76</v>
      </c>
      <c r="U458" s="1" t="s">
        <v>66</v>
      </c>
      <c r="V458" s="1" t="s">
        <v>102</v>
      </c>
      <c r="W458" s="1" t="s">
        <v>671</v>
      </c>
      <c r="X458" s="1" t="s">
        <v>121</v>
      </c>
      <c r="AB458" s="1" t="s">
        <v>104</v>
      </c>
      <c r="AC458" s="1">
        <v>0</v>
      </c>
      <c r="AE458" s="1" t="s">
        <v>70</v>
      </c>
      <c r="AI458" s="1" t="s">
        <v>71</v>
      </c>
      <c r="AK458" s="1" t="s">
        <v>61</v>
      </c>
      <c r="AL458" s="1" t="s">
        <v>133</v>
      </c>
      <c r="AN458" s="1">
        <v>1</v>
      </c>
      <c r="AO458" s="1">
        <f t="shared" si="78"/>
        <v>1</v>
      </c>
    </row>
    <row r="459" spans="1:41" x14ac:dyDescent="0.4">
      <c r="A459" s="1">
        <v>1</v>
      </c>
      <c r="B459" s="1">
        <v>3</v>
      </c>
      <c r="C459" s="1" t="s">
        <v>41</v>
      </c>
      <c r="D459" s="2">
        <v>38764</v>
      </c>
      <c r="E459" s="1">
        <v>47</v>
      </c>
      <c r="F459" s="1">
        <v>2</v>
      </c>
      <c r="G459" s="3">
        <v>0.58657407407407403</v>
      </c>
      <c r="H459" s="3">
        <v>0.59697916666666673</v>
      </c>
      <c r="I459" s="3">
        <v>1.0405092592592702E-2</v>
      </c>
      <c r="J459" s="3">
        <v>1.0162037037037108E-2</v>
      </c>
      <c r="K459" s="5">
        <f t="shared" si="77"/>
        <v>878</v>
      </c>
      <c r="L459" s="3">
        <v>5.138888888888804E-3</v>
      </c>
      <c r="N459" s="1" t="s">
        <v>42</v>
      </c>
      <c r="O459" s="1" t="s">
        <v>43</v>
      </c>
      <c r="P459" s="1" t="s">
        <v>44</v>
      </c>
      <c r="Q459" s="1" t="s">
        <v>132</v>
      </c>
      <c r="R459" s="1" t="s">
        <v>132</v>
      </c>
      <c r="S459" s="1" t="s">
        <v>46</v>
      </c>
      <c r="T459" s="1" t="s">
        <v>45</v>
      </c>
      <c r="U459" s="1" t="s">
        <v>92</v>
      </c>
      <c r="V459" s="1" t="s">
        <v>49</v>
      </c>
      <c r="W459" s="1" t="s">
        <v>50</v>
      </c>
      <c r="X459" s="1" t="s">
        <v>148</v>
      </c>
      <c r="Y459" s="1" t="s">
        <v>149</v>
      </c>
      <c r="Z459" s="1" t="s">
        <v>150</v>
      </c>
      <c r="AA459" s="1" t="s">
        <v>151</v>
      </c>
      <c r="AB459" s="1" t="s">
        <v>152</v>
      </c>
      <c r="AC459" s="1">
        <v>0</v>
      </c>
      <c r="AD459" s="1" t="s">
        <v>56</v>
      </c>
      <c r="AE459" s="1" t="s">
        <v>83</v>
      </c>
      <c r="AF459" s="1" t="s">
        <v>113</v>
      </c>
      <c r="AG459" s="1" t="s">
        <v>713</v>
      </c>
      <c r="AH459" s="1" t="s">
        <v>59</v>
      </c>
      <c r="AI459" s="1" t="s">
        <v>75</v>
      </c>
      <c r="AJ459" s="1" t="s">
        <v>147</v>
      </c>
      <c r="AK459" s="1" t="s">
        <v>86</v>
      </c>
      <c r="AL459" s="1" t="s">
        <v>86</v>
      </c>
      <c r="AM459" s="1">
        <v>1</v>
      </c>
      <c r="AN459" s="1">
        <v>0</v>
      </c>
      <c r="AO459" s="1">
        <f t="shared" si="78"/>
        <v>1</v>
      </c>
    </row>
    <row r="460" spans="1:41" x14ac:dyDescent="0.4">
      <c r="A460" s="1">
        <v>1</v>
      </c>
      <c r="B460" s="1">
        <v>3</v>
      </c>
      <c r="C460" s="1" t="s">
        <v>41</v>
      </c>
      <c r="D460" s="2">
        <v>38764</v>
      </c>
      <c r="E460" s="1">
        <v>47</v>
      </c>
      <c r="F460" s="1">
        <v>2.2000000000000002</v>
      </c>
      <c r="G460" s="3">
        <v>0.60211805555555553</v>
      </c>
      <c r="H460" s="3">
        <v>0.60215277777777776</v>
      </c>
      <c r="I460" s="3">
        <v>3.472222222222765E-5</v>
      </c>
      <c r="J460" s="3">
        <v>3.472222222222765E-5</v>
      </c>
      <c r="K460" s="5">
        <f t="shared" si="77"/>
        <v>3</v>
      </c>
      <c r="L460" s="3">
        <v>1.0787037037036984E-2</v>
      </c>
      <c r="N460" s="1" t="s">
        <v>42</v>
      </c>
      <c r="O460" s="1" t="s">
        <v>43</v>
      </c>
      <c r="P460" s="1" t="s">
        <v>44</v>
      </c>
      <c r="Q460" s="1" t="s">
        <v>132</v>
      </c>
      <c r="R460" s="1" t="s">
        <v>132</v>
      </c>
      <c r="S460" s="1" t="s">
        <v>46</v>
      </c>
      <c r="T460" s="1" t="s">
        <v>45</v>
      </c>
      <c r="U460" s="1" t="s">
        <v>66</v>
      </c>
      <c r="AB460" s="1" t="s">
        <v>93</v>
      </c>
      <c r="AC460" s="1">
        <v>1</v>
      </c>
      <c r="AI460" s="1" t="s">
        <v>71</v>
      </c>
      <c r="AK460" s="1" t="s">
        <v>116</v>
      </c>
      <c r="AL460" s="1" t="s">
        <v>117</v>
      </c>
      <c r="AN460" s="1">
        <v>1</v>
      </c>
      <c r="AO460" s="1">
        <f t="shared" si="78"/>
        <v>1</v>
      </c>
    </row>
    <row r="461" spans="1:41" x14ac:dyDescent="0.4">
      <c r="A461" s="1">
        <v>1</v>
      </c>
      <c r="B461" s="1">
        <v>3</v>
      </c>
      <c r="C461" s="1" t="s">
        <v>41</v>
      </c>
      <c r="D461" s="2">
        <v>38764</v>
      </c>
      <c r="E461" s="1">
        <v>47</v>
      </c>
      <c r="F461" s="1">
        <v>2.4</v>
      </c>
      <c r="G461" s="3">
        <v>0.61293981481481474</v>
      </c>
      <c r="H461" s="3">
        <v>0.61310185185185184</v>
      </c>
      <c r="I461" s="3">
        <v>1.6203703703709937E-4</v>
      </c>
      <c r="J461" s="3">
        <v>1.6203703703709937E-4</v>
      </c>
      <c r="K461" s="5">
        <f t="shared" si="77"/>
        <v>14</v>
      </c>
      <c r="L461" s="3">
        <v>1.563657407407415E-2</v>
      </c>
      <c r="N461" s="1" t="s">
        <v>75</v>
      </c>
      <c r="O461" s="1" t="s">
        <v>43</v>
      </c>
      <c r="P461" s="1" t="s">
        <v>44</v>
      </c>
      <c r="Q461" s="1" t="s">
        <v>45</v>
      </c>
      <c r="R461" s="1" t="s">
        <v>45</v>
      </c>
      <c r="S461" s="1" t="s">
        <v>46</v>
      </c>
      <c r="AB461" s="1" t="s">
        <v>93</v>
      </c>
      <c r="AC461" s="1">
        <v>1</v>
      </c>
      <c r="AK461" s="1" t="s">
        <v>61</v>
      </c>
      <c r="AL461" s="1" t="s">
        <v>133</v>
      </c>
      <c r="AN461" s="1">
        <v>1</v>
      </c>
      <c r="AO461" s="1">
        <f t="shared" si="78"/>
        <v>1</v>
      </c>
    </row>
    <row r="462" spans="1:41" x14ac:dyDescent="0.4">
      <c r="A462" s="1">
        <v>1</v>
      </c>
      <c r="B462" s="1">
        <v>3</v>
      </c>
      <c r="C462" s="1" t="s">
        <v>41</v>
      </c>
      <c r="D462" s="2">
        <v>38764</v>
      </c>
      <c r="E462" s="1">
        <v>47</v>
      </c>
      <c r="F462" s="1">
        <v>4</v>
      </c>
      <c r="G462" s="3">
        <v>0.62873842592592599</v>
      </c>
      <c r="H462" s="3">
        <v>0.63061342592592595</v>
      </c>
      <c r="I462" s="3">
        <v>1.87499999999996E-3</v>
      </c>
      <c r="J462" s="3">
        <v>1.3078703703703898E-3</v>
      </c>
      <c r="K462" s="5">
        <f t="shared" si="77"/>
        <v>113</v>
      </c>
      <c r="L462" s="3">
        <v>5.8217592592592071E-3</v>
      </c>
      <c r="N462" s="1" t="s">
        <v>75</v>
      </c>
      <c r="O462" s="1" t="s">
        <v>43</v>
      </c>
      <c r="P462" s="1" t="s">
        <v>44</v>
      </c>
      <c r="Q462" s="1" t="s">
        <v>45</v>
      </c>
      <c r="R462" s="1" t="s">
        <v>45</v>
      </c>
      <c r="S462" s="1" t="s">
        <v>46</v>
      </c>
      <c r="T462" s="1" t="s">
        <v>47</v>
      </c>
      <c r="U462" s="1" t="s">
        <v>48</v>
      </c>
      <c r="V462" s="1" t="s">
        <v>49</v>
      </c>
      <c r="W462" s="1" t="s">
        <v>50</v>
      </c>
      <c r="X462" s="1" t="s">
        <v>96</v>
      </c>
      <c r="Y462" s="1" t="s">
        <v>52</v>
      </c>
      <c r="Z462" s="1" t="s">
        <v>53</v>
      </c>
      <c r="AA462" s="1">
        <v>8</v>
      </c>
      <c r="AB462" s="1" t="s">
        <v>714</v>
      </c>
      <c r="AC462" s="1">
        <v>0</v>
      </c>
      <c r="AD462" s="1" t="s">
        <v>56</v>
      </c>
      <c r="AE462" s="1" t="s">
        <v>70</v>
      </c>
      <c r="AG462" s="1" t="s">
        <v>715</v>
      </c>
      <c r="AI462" s="1" t="s">
        <v>75</v>
      </c>
      <c r="AK462" s="1" t="s">
        <v>86</v>
      </c>
      <c r="AL462" s="1" t="s">
        <v>133</v>
      </c>
      <c r="AM462" s="1">
        <v>1</v>
      </c>
      <c r="AN462" s="1">
        <v>0</v>
      </c>
      <c r="AO462" s="1">
        <f t="shared" si="78"/>
        <v>1</v>
      </c>
    </row>
    <row r="463" spans="1:41" x14ac:dyDescent="0.4">
      <c r="A463" s="1">
        <v>1</v>
      </c>
      <c r="B463" s="1">
        <v>3</v>
      </c>
      <c r="C463" s="1" t="s">
        <v>41</v>
      </c>
      <c r="D463" s="2">
        <v>38764</v>
      </c>
      <c r="E463" s="1">
        <v>47</v>
      </c>
      <c r="F463" s="1">
        <v>5</v>
      </c>
      <c r="G463" s="3">
        <v>0.63643518518518516</v>
      </c>
      <c r="H463" s="3">
        <v>0.63973379629629623</v>
      </c>
      <c r="I463" s="3">
        <v>3.2986111111110716E-3</v>
      </c>
      <c r="J463" s="3">
        <v>3.2986111111110716E-3</v>
      </c>
      <c r="K463" s="5">
        <f t="shared" si="77"/>
        <v>285</v>
      </c>
      <c r="L463" s="3">
        <v>1.9918981481481524E-2</v>
      </c>
      <c r="N463" s="1" t="s">
        <v>42</v>
      </c>
      <c r="O463" s="1" t="s">
        <v>43</v>
      </c>
      <c r="P463" s="1" t="s">
        <v>44</v>
      </c>
      <c r="Q463" s="1" t="s">
        <v>76</v>
      </c>
      <c r="R463" s="1" t="s">
        <v>76</v>
      </c>
      <c r="S463" s="1" t="s">
        <v>46</v>
      </c>
      <c r="T463" s="1" t="s">
        <v>47</v>
      </c>
      <c r="X463" s="1" t="s">
        <v>96</v>
      </c>
      <c r="AB463" s="1" t="s">
        <v>93</v>
      </c>
      <c r="AC463" s="1">
        <v>1</v>
      </c>
      <c r="AD463" s="1" t="s">
        <v>56</v>
      </c>
      <c r="AE463" s="1" t="s">
        <v>70</v>
      </c>
      <c r="AF463" s="1" t="s">
        <v>113</v>
      </c>
      <c r="AG463" s="1" t="s">
        <v>716</v>
      </c>
      <c r="AK463" s="1" t="s">
        <v>116</v>
      </c>
      <c r="AL463" s="1" t="s">
        <v>717</v>
      </c>
      <c r="AM463" s="1">
        <v>1</v>
      </c>
      <c r="AN463" s="1">
        <v>0</v>
      </c>
      <c r="AO463" s="1">
        <f t="shared" si="78"/>
        <v>1</v>
      </c>
    </row>
    <row r="464" spans="1:41" x14ac:dyDescent="0.4">
      <c r="A464" s="1">
        <v>1</v>
      </c>
      <c r="B464" s="1">
        <v>3</v>
      </c>
      <c r="C464" s="1" t="s">
        <v>41</v>
      </c>
      <c r="D464" s="2">
        <v>38764</v>
      </c>
      <c r="E464" s="1">
        <v>47</v>
      </c>
      <c r="F464" s="1">
        <v>5.4</v>
      </c>
      <c r="G464" s="3">
        <v>0.65965277777777775</v>
      </c>
      <c r="H464" s="3">
        <v>0.65984953703703708</v>
      </c>
      <c r="I464" s="3">
        <v>1.9675925925932702E-4</v>
      </c>
      <c r="J464" s="3">
        <v>1.9675925925932702E-4</v>
      </c>
      <c r="K464" s="5">
        <f t="shared" si="77"/>
        <v>17</v>
      </c>
      <c r="L464" s="3">
        <v>2.8113425925925917E-2</v>
      </c>
      <c r="N464" s="1" t="s">
        <v>42</v>
      </c>
      <c r="O464" s="1" t="s">
        <v>43</v>
      </c>
      <c r="P464" s="1" t="s">
        <v>44</v>
      </c>
      <c r="Q464" s="1" t="s">
        <v>45</v>
      </c>
      <c r="R464" s="1" t="s">
        <v>45</v>
      </c>
      <c r="S464" s="1" t="s">
        <v>46</v>
      </c>
      <c r="T464" s="1" t="s">
        <v>45</v>
      </c>
      <c r="U464" s="1" t="s">
        <v>66</v>
      </c>
      <c r="V464" s="1" t="s">
        <v>49</v>
      </c>
      <c r="W464" s="1" t="s">
        <v>168</v>
      </c>
      <c r="X464" s="1" t="s">
        <v>718</v>
      </c>
      <c r="AB464" s="1" t="s">
        <v>258</v>
      </c>
      <c r="AC464" s="1">
        <v>0</v>
      </c>
      <c r="AE464" s="1" t="s">
        <v>181</v>
      </c>
      <c r="AI464" s="1" t="s">
        <v>71</v>
      </c>
      <c r="AK464" s="1" t="s">
        <v>116</v>
      </c>
      <c r="AL464" s="1" t="s">
        <v>117</v>
      </c>
      <c r="AN464" s="1">
        <v>1</v>
      </c>
      <c r="AO464" s="1">
        <f t="shared" si="78"/>
        <v>1</v>
      </c>
    </row>
    <row r="465" spans="1:41" x14ac:dyDescent="0.4">
      <c r="A465" s="1">
        <v>1</v>
      </c>
      <c r="B465" s="1">
        <v>3</v>
      </c>
      <c r="C465" s="1" t="s">
        <v>41</v>
      </c>
      <c r="D465" s="2">
        <v>38764</v>
      </c>
      <c r="E465" s="1">
        <v>47</v>
      </c>
      <c r="F465" s="1">
        <v>5.7</v>
      </c>
      <c r="G465" s="3">
        <v>0.687962962962963</v>
      </c>
      <c r="H465" s="3">
        <v>0.70804398148148151</v>
      </c>
      <c r="I465" s="3">
        <v>2.0081018518518512E-2</v>
      </c>
      <c r="J465" s="3">
        <v>1.9293981481481426E-2</v>
      </c>
      <c r="K465" s="5">
        <f t="shared" si="77"/>
        <v>1667</v>
      </c>
      <c r="L465" s="3">
        <v>6.2499999999987566E-4</v>
      </c>
      <c r="N465" s="1" t="s">
        <v>42</v>
      </c>
      <c r="O465" s="1" t="s">
        <v>43</v>
      </c>
      <c r="P465" s="1" t="s">
        <v>44</v>
      </c>
      <c r="Q465" s="1" t="s">
        <v>76</v>
      </c>
      <c r="R465" s="1" t="s">
        <v>76</v>
      </c>
      <c r="S465" s="1" t="s">
        <v>46</v>
      </c>
      <c r="T465" s="1" t="s">
        <v>47</v>
      </c>
      <c r="U465" s="1" t="s">
        <v>66</v>
      </c>
      <c r="V465" s="1" t="s">
        <v>49</v>
      </c>
      <c r="W465" s="1" t="s">
        <v>140</v>
      </c>
      <c r="X465" s="1" t="s">
        <v>96</v>
      </c>
      <c r="Y465" s="1" t="s">
        <v>239</v>
      </c>
      <c r="Z465" s="1" t="s">
        <v>240</v>
      </c>
      <c r="AA465" s="1" t="s">
        <v>719</v>
      </c>
      <c r="AB465" s="1" t="s">
        <v>720</v>
      </c>
      <c r="AC465" s="1">
        <v>0</v>
      </c>
      <c r="AD465" s="1" t="s">
        <v>56</v>
      </c>
      <c r="AE465" s="1" t="s">
        <v>70</v>
      </c>
      <c r="AF465" s="1" t="s">
        <v>113</v>
      </c>
      <c r="AG465" s="1" t="s">
        <v>721</v>
      </c>
      <c r="AH465" s="1" t="s">
        <v>115</v>
      </c>
      <c r="AI465" s="1" t="s">
        <v>71</v>
      </c>
      <c r="AK465" s="1" t="s">
        <v>86</v>
      </c>
      <c r="AL465" s="1" t="s">
        <v>133</v>
      </c>
      <c r="AM465" s="1">
        <v>3</v>
      </c>
      <c r="AN465" s="1">
        <v>0</v>
      </c>
      <c r="AO465" s="1">
        <f t="shared" si="78"/>
        <v>3</v>
      </c>
    </row>
    <row r="466" spans="1:41" x14ac:dyDescent="0.4">
      <c r="A466" s="1">
        <v>1</v>
      </c>
      <c r="B466" s="1">
        <v>3</v>
      </c>
      <c r="C466" s="1" t="s">
        <v>41</v>
      </c>
      <c r="D466" s="2">
        <v>38764</v>
      </c>
      <c r="E466" s="1">
        <v>47</v>
      </c>
      <c r="F466" s="1">
        <v>5.8</v>
      </c>
      <c r="G466" s="3">
        <v>0.70866898148148139</v>
      </c>
      <c r="H466" s="3">
        <v>0.71403935185185186</v>
      </c>
      <c r="I466" s="3">
        <v>5.3703703703704697E-3</v>
      </c>
      <c r="J466" s="3">
        <v>5.3703703703704697E-3</v>
      </c>
      <c r="K466" s="5">
        <f t="shared" si="77"/>
        <v>464</v>
      </c>
      <c r="L466" s="3">
        <v>2.7777777777771018E-4</v>
      </c>
      <c r="N466" s="1" t="s">
        <v>42</v>
      </c>
      <c r="O466" s="1" t="s">
        <v>43</v>
      </c>
      <c r="P466" s="1" t="s">
        <v>44</v>
      </c>
      <c r="Q466" s="1" t="s">
        <v>45</v>
      </c>
      <c r="R466" s="1" t="s">
        <v>45</v>
      </c>
      <c r="S466" s="1" t="s">
        <v>46</v>
      </c>
      <c r="T466" s="1" t="s">
        <v>45</v>
      </c>
      <c r="U466" s="1" t="s">
        <v>66</v>
      </c>
      <c r="V466" s="1" t="s">
        <v>49</v>
      </c>
      <c r="W466" s="1" t="s">
        <v>50</v>
      </c>
      <c r="X466" s="1" t="s">
        <v>148</v>
      </c>
      <c r="Y466" s="1" t="s">
        <v>149</v>
      </c>
      <c r="Z466" s="1" t="s">
        <v>150</v>
      </c>
      <c r="AA466" s="1" t="s">
        <v>151</v>
      </c>
      <c r="AB466" s="1" t="s">
        <v>152</v>
      </c>
      <c r="AC466" s="1">
        <v>0</v>
      </c>
      <c r="AD466" s="1" t="s">
        <v>56</v>
      </c>
      <c r="AE466" s="1" t="s">
        <v>83</v>
      </c>
      <c r="AF466" s="1" t="s">
        <v>113</v>
      </c>
      <c r="AH466" s="1" t="s">
        <v>59</v>
      </c>
      <c r="AI466" s="1" t="s">
        <v>71</v>
      </c>
      <c r="AK466" s="1" t="s">
        <v>61</v>
      </c>
      <c r="AL466" s="1" t="s">
        <v>72</v>
      </c>
      <c r="AN466" s="1">
        <v>1</v>
      </c>
      <c r="AO466" s="1">
        <f t="shared" si="78"/>
        <v>1</v>
      </c>
    </row>
    <row r="467" spans="1:41" x14ac:dyDescent="0.4">
      <c r="A467" s="1">
        <v>1</v>
      </c>
      <c r="B467" s="1">
        <v>3</v>
      </c>
      <c r="C467" s="1" t="s">
        <v>41</v>
      </c>
      <c r="D467" s="2">
        <v>38764</v>
      </c>
      <c r="E467" s="1">
        <v>47</v>
      </c>
      <c r="F467" s="1">
        <v>6</v>
      </c>
      <c r="G467" s="3">
        <v>0.71431712962962957</v>
      </c>
      <c r="H467" s="3">
        <v>0.7179282407407408</v>
      </c>
      <c r="I467" s="3">
        <v>3.6111111111112315E-3</v>
      </c>
      <c r="J467" s="3">
        <v>3.6111111111112315E-3</v>
      </c>
      <c r="K467" s="5">
        <f t="shared" si="77"/>
        <v>312</v>
      </c>
      <c r="L467" s="3" t="s">
        <v>120</v>
      </c>
      <c r="N467" s="1" t="s">
        <v>42</v>
      </c>
      <c r="O467" s="1" t="s">
        <v>43</v>
      </c>
      <c r="P467" s="1" t="s">
        <v>44</v>
      </c>
      <c r="Q467" s="1" t="s">
        <v>76</v>
      </c>
      <c r="R467" s="1" t="s">
        <v>76</v>
      </c>
      <c r="S467" s="1" t="s">
        <v>46</v>
      </c>
      <c r="T467" s="1" t="s">
        <v>45</v>
      </c>
      <c r="U467" s="1" t="s">
        <v>92</v>
      </c>
      <c r="V467" s="1" t="s">
        <v>49</v>
      </c>
      <c r="W467" s="1" t="s">
        <v>634</v>
      </c>
      <c r="X467" s="1" t="s">
        <v>700</v>
      </c>
      <c r="Y467" s="1" t="s">
        <v>701</v>
      </c>
      <c r="Z467" s="1" t="s">
        <v>702</v>
      </c>
      <c r="AA467" s="1" t="s">
        <v>703</v>
      </c>
      <c r="AB467" s="1" t="s">
        <v>704</v>
      </c>
      <c r="AC467" s="1">
        <v>0</v>
      </c>
      <c r="AD467" s="1" t="s">
        <v>56</v>
      </c>
      <c r="AE467" s="1" t="s">
        <v>181</v>
      </c>
      <c r="AF467" s="1" t="s">
        <v>113</v>
      </c>
      <c r="AG467" s="1" t="s">
        <v>705</v>
      </c>
      <c r="AH467" s="1" t="s">
        <v>59</v>
      </c>
      <c r="AI467" s="1" t="s">
        <v>75</v>
      </c>
      <c r="AK467" s="1" t="s">
        <v>116</v>
      </c>
      <c r="AL467" s="1" t="s">
        <v>117</v>
      </c>
      <c r="AM467" s="1">
        <v>2</v>
      </c>
      <c r="AN467" s="1">
        <v>0</v>
      </c>
      <c r="AO467" s="1">
        <f t="shared" si="78"/>
        <v>2</v>
      </c>
    </row>
    <row r="468" spans="1:41" x14ac:dyDescent="0.4">
      <c r="A468" s="1">
        <v>1</v>
      </c>
      <c r="B468" s="1">
        <v>3</v>
      </c>
      <c r="C468" s="1" t="s">
        <v>41</v>
      </c>
      <c r="D468" s="2">
        <v>38768</v>
      </c>
      <c r="E468" s="1">
        <v>51</v>
      </c>
      <c r="F468" s="1">
        <v>1</v>
      </c>
      <c r="G468" s="3">
        <v>0.25355324074074076</v>
      </c>
      <c r="H468" s="3">
        <v>0.2712384259259259</v>
      </c>
      <c r="I468" s="3">
        <v>1.7685185185185137E-2</v>
      </c>
      <c r="J468" s="3">
        <v>1.2175925925925812E-2</v>
      </c>
      <c r="K468" s="5">
        <f t="shared" si="77"/>
        <v>1052</v>
      </c>
      <c r="L468" s="3">
        <v>4.6759259259259722E-3</v>
      </c>
      <c r="N468" s="1" t="s">
        <v>75</v>
      </c>
      <c r="O468" s="1" t="s">
        <v>43</v>
      </c>
      <c r="P468" s="1" t="s">
        <v>44</v>
      </c>
      <c r="Q468" s="1" t="s">
        <v>76</v>
      </c>
      <c r="R468" s="1" t="s">
        <v>76</v>
      </c>
      <c r="S468" s="1" t="s">
        <v>46</v>
      </c>
      <c r="T468" s="1" t="s">
        <v>45</v>
      </c>
      <c r="U468" s="1" t="s">
        <v>92</v>
      </c>
      <c r="V468" s="1" t="s">
        <v>49</v>
      </c>
      <c r="W468" s="1" t="s">
        <v>50</v>
      </c>
      <c r="X468" s="1" t="s">
        <v>148</v>
      </c>
      <c r="Y468" s="1" t="s">
        <v>149</v>
      </c>
      <c r="Z468" s="1" t="s">
        <v>150</v>
      </c>
      <c r="AA468" s="1" t="s">
        <v>151</v>
      </c>
      <c r="AB468" s="1" t="s">
        <v>152</v>
      </c>
      <c r="AC468" s="1">
        <v>0</v>
      </c>
      <c r="AD468" s="1" t="s">
        <v>56</v>
      </c>
      <c r="AE468" s="1" t="s">
        <v>83</v>
      </c>
      <c r="AF468" s="1" t="s">
        <v>113</v>
      </c>
      <c r="AG468" s="1" t="s">
        <v>722</v>
      </c>
      <c r="AH468" s="1" t="s">
        <v>59</v>
      </c>
      <c r="AI468" s="1" t="s">
        <v>122</v>
      </c>
      <c r="AJ468" s="1" t="s">
        <v>147</v>
      </c>
      <c r="AK468" s="1" t="s">
        <v>86</v>
      </c>
      <c r="AL468" s="1" t="s">
        <v>86</v>
      </c>
      <c r="AM468" s="1">
        <v>1</v>
      </c>
      <c r="AN468" s="1">
        <v>0</v>
      </c>
      <c r="AO468" s="1">
        <f t="shared" si="78"/>
        <v>1</v>
      </c>
    </row>
    <row r="469" spans="1:41" x14ac:dyDescent="0.4">
      <c r="A469" s="1">
        <v>1</v>
      </c>
      <c r="B469" s="1">
        <v>3</v>
      </c>
      <c r="C469" s="1" t="s">
        <v>41</v>
      </c>
      <c r="D469" s="2">
        <v>38768</v>
      </c>
      <c r="E469" s="1">
        <v>51</v>
      </c>
      <c r="F469" s="1">
        <v>2</v>
      </c>
      <c r="G469" s="3">
        <v>0.27591435185185187</v>
      </c>
      <c r="H469" s="3">
        <v>0.27980324074074076</v>
      </c>
      <c r="I469" s="3">
        <v>3.8888888888888862E-3</v>
      </c>
      <c r="J469" s="3">
        <v>3.8888888888888862E-3</v>
      </c>
      <c r="K469" s="5">
        <f t="shared" si="77"/>
        <v>336</v>
      </c>
      <c r="L469" s="3">
        <v>1.8159722222222174E-2</v>
      </c>
      <c r="N469" s="1" t="s">
        <v>75</v>
      </c>
      <c r="O469" s="1" t="s">
        <v>43</v>
      </c>
      <c r="P469" s="1" t="s">
        <v>44</v>
      </c>
      <c r="Q469" s="1" t="s">
        <v>76</v>
      </c>
      <c r="R469" s="1" t="s">
        <v>76</v>
      </c>
      <c r="S469" s="1" t="s">
        <v>46</v>
      </c>
      <c r="T469" s="1" t="s">
        <v>47</v>
      </c>
      <c r="U469" s="1" t="s">
        <v>66</v>
      </c>
      <c r="V469" s="1" t="s">
        <v>49</v>
      </c>
      <c r="W469" s="1" t="s">
        <v>77</v>
      </c>
      <c r="X469" s="1" t="s">
        <v>108</v>
      </c>
      <c r="Y469" s="1" t="s">
        <v>109</v>
      </c>
      <c r="Z469" s="1" t="s">
        <v>110</v>
      </c>
      <c r="AA469" s="1" t="s">
        <v>111</v>
      </c>
      <c r="AB469" s="1" t="s">
        <v>112</v>
      </c>
      <c r="AC469" s="1">
        <v>0</v>
      </c>
      <c r="AD469" s="1" t="s">
        <v>56</v>
      </c>
      <c r="AE469" s="1" t="s">
        <v>57</v>
      </c>
      <c r="AF469" s="1" t="s">
        <v>153</v>
      </c>
      <c r="AG469" s="1" t="s">
        <v>723</v>
      </c>
      <c r="AH469" s="1" t="s">
        <v>115</v>
      </c>
      <c r="AI469" s="1" t="s">
        <v>75</v>
      </c>
      <c r="AK469" s="1" t="s">
        <v>116</v>
      </c>
      <c r="AL469" s="1" t="s">
        <v>174</v>
      </c>
      <c r="AM469" s="1">
        <v>1</v>
      </c>
      <c r="AN469" s="1">
        <v>0</v>
      </c>
      <c r="AO469" s="1">
        <f t="shared" si="78"/>
        <v>1</v>
      </c>
    </row>
    <row r="470" spans="1:41" x14ac:dyDescent="0.4">
      <c r="A470" s="1">
        <v>1</v>
      </c>
      <c r="B470" s="1">
        <v>3</v>
      </c>
      <c r="C470" s="1" t="s">
        <v>41</v>
      </c>
      <c r="D470" s="2">
        <v>38768</v>
      </c>
      <c r="E470" s="1">
        <v>51</v>
      </c>
      <c r="F470" s="1">
        <v>2.2000000000000002</v>
      </c>
      <c r="G470" s="3">
        <v>0.29796296296296293</v>
      </c>
      <c r="H470" s="3">
        <v>0.29920138888888886</v>
      </c>
      <c r="I470" s="3">
        <v>1.2384259259259345E-3</v>
      </c>
      <c r="J470" s="3">
        <v>1.1574074074077734E-4</v>
      </c>
      <c r="K470" s="5">
        <f t="shared" si="77"/>
        <v>10</v>
      </c>
      <c r="L470" s="3">
        <v>3.5879629629629872E-3</v>
      </c>
      <c r="N470" s="1" t="s">
        <v>42</v>
      </c>
      <c r="O470" s="1" t="s">
        <v>43</v>
      </c>
      <c r="P470" s="1" t="s">
        <v>44</v>
      </c>
      <c r="Q470" s="1" t="s">
        <v>132</v>
      </c>
      <c r="R470" s="1" t="s">
        <v>132</v>
      </c>
      <c r="S470" s="1" t="s">
        <v>46</v>
      </c>
      <c r="T470" s="1" t="s">
        <v>45</v>
      </c>
      <c r="U470" s="1" t="s">
        <v>48</v>
      </c>
      <c r="AB470" s="1" t="s">
        <v>93</v>
      </c>
      <c r="AC470" s="1">
        <v>1</v>
      </c>
      <c r="AI470" s="1" t="s">
        <v>60</v>
      </c>
      <c r="AK470" s="1" t="s">
        <v>61</v>
      </c>
      <c r="AL470" s="1" t="s">
        <v>61</v>
      </c>
      <c r="AN470" s="1">
        <v>1</v>
      </c>
      <c r="AO470" s="1">
        <f t="shared" si="78"/>
        <v>1</v>
      </c>
    </row>
    <row r="471" spans="1:41" x14ac:dyDescent="0.4">
      <c r="A471" s="1">
        <v>1</v>
      </c>
      <c r="B471" s="1">
        <v>3</v>
      </c>
      <c r="C471" s="1" t="s">
        <v>41</v>
      </c>
      <c r="D471" s="2">
        <v>38768</v>
      </c>
      <c r="E471" s="1">
        <v>51</v>
      </c>
      <c r="F471" s="1">
        <v>2.4</v>
      </c>
      <c r="G471" s="3">
        <v>0.30278935185185185</v>
      </c>
      <c r="H471" s="3">
        <v>0.30285879629629631</v>
      </c>
      <c r="I471" s="3">
        <v>6.94444444444553E-5</v>
      </c>
      <c r="J471" s="3">
        <v>6.94444444444553E-5</v>
      </c>
      <c r="K471" s="5">
        <f t="shared" si="77"/>
        <v>6</v>
      </c>
      <c r="L471" s="3">
        <v>0.11494212962962963</v>
      </c>
      <c r="N471" s="1" t="s">
        <v>42</v>
      </c>
      <c r="O471" s="1" t="s">
        <v>43</v>
      </c>
      <c r="P471" s="1" t="s">
        <v>44</v>
      </c>
      <c r="Q471" s="1" t="s">
        <v>132</v>
      </c>
      <c r="R471" s="1" t="s">
        <v>132</v>
      </c>
      <c r="S471" s="1" t="s">
        <v>46</v>
      </c>
      <c r="T471" s="1" t="s">
        <v>45</v>
      </c>
      <c r="U471" s="1" t="s">
        <v>66</v>
      </c>
      <c r="AB471" s="1" t="s">
        <v>93</v>
      </c>
      <c r="AC471" s="1">
        <v>1</v>
      </c>
      <c r="AI471" s="1" t="s">
        <v>71</v>
      </c>
      <c r="AK471" s="1" t="s">
        <v>86</v>
      </c>
      <c r="AL471" s="1" t="s">
        <v>133</v>
      </c>
      <c r="AN471" s="1">
        <v>1</v>
      </c>
      <c r="AO471" s="1">
        <f t="shared" si="78"/>
        <v>1</v>
      </c>
    </row>
    <row r="472" spans="1:41" x14ac:dyDescent="0.4">
      <c r="A472" s="1">
        <v>1</v>
      </c>
      <c r="B472" s="1">
        <v>3</v>
      </c>
      <c r="C472" s="1" t="s">
        <v>41</v>
      </c>
      <c r="D472" s="2">
        <v>38768</v>
      </c>
      <c r="E472" s="1">
        <v>51</v>
      </c>
      <c r="F472" s="1">
        <v>2.6</v>
      </c>
      <c r="G472" s="3">
        <v>0.41780092592592594</v>
      </c>
      <c r="H472" s="3">
        <v>0.42001157407407402</v>
      </c>
      <c r="I472" s="3">
        <v>2.2106481481480866E-3</v>
      </c>
      <c r="J472" s="3">
        <v>5.7870370370249891E-5</v>
      </c>
      <c r="K472" s="5">
        <f t="shared" si="77"/>
        <v>5</v>
      </c>
      <c r="L472" s="3">
        <v>1.6053240740740771E-2</v>
      </c>
      <c r="N472" s="1" t="s">
        <v>42</v>
      </c>
      <c r="O472" s="1" t="s">
        <v>43</v>
      </c>
      <c r="P472" s="1" t="s">
        <v>44</v>
      </c>
      <c r="Q472" s="1" t="s">
        <v>76</v>
      </c>
      <c r="R472" s="1" t="s">
        <v>76</v>
      </c>
      <c r="S472" s="1" t="s">
        <v>46</v>
      </c>
      <c r="T472" s="1" t="s">
        <v>76</v>
      </c>
      <c r="U472" s="1" t="s">
        <v>92</v>
      </c>
      <c r="AB472" s="1" t="s">
        <v>93</v>
      </c>
      <c r="AC472" s="1">
        <v>1</v>
      </c>
      <c r="AI472" s="1" t="s">
        <v>75</v>
      </c>
      <c r="AK472" s="1" t="s">
        <v>86</v>
      </c>
      <c r="AL472" s="1" t="s">
        <v>133</v>
      </c>
      <c r="AN472" s="1">
        <v>1</v>
      </c>
      <c r="AO472" s="1">
        <f t="shared" si="78"/>
        <v>1</v>
      </c>
    </row>
    <row r="473" spans="1:41" x14ac:dyDescent="0.4">
      <c r="A473" s="1">
        <v>1</v>
      </c>
      <c r="B473" s="1">
        <v>3</v>
      </c>
      <c r="C473" s="1" t="s">
        <v>41</v>
      </c>
      <c r="D473" s="2">
        <v>38768</v>
      </c>
      <c r="E473" s="1">
        <v>51</v>
      </c>
      <c r="F473" s="1">
        <v>3</v>
      </c>
      <c r="G473" s="3">
        <v>0.43606481481481479</v>
      </c>
      <c r="H473" s="3">
        <v>0.43775462962962958</v>
      </c>
      <c r="I473" s="3">
        <v>1.6898148148147829E-3</v>
      </c>
      <c r="J473" s="3">
        <v>1.2500000000000289E-3</v>
      </c>
      <c r="K473" s="5">
        <f t="shared" si="77"/>
        <v>108</v>
      </c>
      <c r="L473" s="3">
        <v>4.5509259259259305E-2</v>
      </c>
      <c r="N473" s="1" t="s">
        <v>75</v>
      </c>
      <c r="O473" s="1" t="s">
        <v>43</v>
      </c>
      <c r="P473" s="1" t="s">
        <v>44</v>
      </c>
      <c r="Q473" s="1" t="s">
        <v>45</v>
      </c>
      <c r="R473" s="1" t="s">
        <v>45</v>
      </c>
      <c r="S473" s="1" t="s">
        <v>46</v>
      </c>
      <c r="T473" s="1" t="s">
        <v>76</v>
      </c>
      <c r="U473" s="1" t="s">
        <v>66</v>
      </c>
      <c r="V473" s="1" t="s">
        <v>49</v>
      </c>
      <c r="W473" s="1" t="s">
        <v>233</v>
      </c>
      <c r="X473" s="1" t="s">
        <v>724</v>
      </c>
      <c r="Y473" s="1" t="s">
        <v>725</v>
      </c>
      <c r="Z473" s="1" t="s">
        <v>726</v>
      </c>
      <c r="AA473" s="1" t="s">
        <v>727</v>
      </c>
      <c r="AB473" s="1" t="s">
        <v>728</v>
      </c>
      <c r="AC473" s="1">
        <v>0</v>
      </c>
      <c r="AD473" s="1" t="s">
        <v>56</v>
      </c>
      <c r="AE473" s="1" t="s">
        <v>83</v>
      </c>
      <c r="AG473" s="1" t="s">
        <v>729</v>
      </c>
      <c r="AH473" s="1" t="s">
        <v>165</v>
      </c>
      <c r="AI473" s="1" t="s">
        <v>75</v>
      </c>
      <c r="AK473" s="1" t="s">
        <v>86</v>
      </c>
      <c r="AL473" s="1" t="s">
        <v>87</v>
      </c>
      <c r="AM473" s="1">
        <v>1</v>
      </c>
      <c r="AN473" s="1">
        <v>0</v>
      </c>
      <c r="AO473" s="1">
        <f t="shared" si="78"/>
        <v>1</v>
      </c>
    </row>
    <row r="474" spans="1:41" x14ac:dyDescent="0.4">
      <c r="A474" s="1">
        <v>1</v>
      </c>
      <c r="B474" s="1">
        <v>3</v>
      </c>
      <c r="C474" s="1" t="s">
        <v>41</v>
      </c>
      <c r="D474" s="2">
        <v>38768</v>
      </c>
      <c r="E474" s="1">
        <v>51</v>
      </c>
      <c r="F474" s="1">
        <v>4</v>
      </c>
      <c r="G474" s="3">
        <v>0.48326388888888888</v>
      </c>
      <c r="H474" s="3">
        <v>0.50206018518518525</v>
      </c>
      <c r="I474" s="3">
        <v>1.8796296296296366E-2</v>
      </c>
      <c r="J474" s="3">
        <v>1.3692129629629624E-2</v>
      </c>
      <c r="K474" s="5">
        <f t="shared" si="77"/>
        <v>1183</v>
      </c>
      <c r="L474" s="3">
        <v>4.5451388888888777E-2</v>
      </c>
      <c r="N474" s="1" t="s">
        <v>42</v>
      </c>
      <c r="O474" s="1" t="s">
        <v>43</v>
      </c>
      <c r="P474" s="1" t="s">
        <v>44</v>
      </c>
      <c r="Q474" s="1" t="s">
        <v>45</v>
      </c>
      <c r="R474" s="1" t="s">
        <v>45</v>
      </c>
      <c r="S474" s="1" t="s">
        <v>46</v>
      </c>
      <c r="T474" s="1" t="s">
        <v>76</v>
      </c>
      <c r="U474" s="1" t="s">
        <v>66</v>
      </c>
      <c r="V474" s="1" t="s">
        <v>49</v>
      </c>
      <c r="W474" s="1" t="s">
        <v>634</v>
      </c>
      <c r="X474" s="1" t="s">
        <v>700</v>
      </c>
      <c r="Y474" s="1" t="s">
        <v>701</v>
      </c>
      <c r="Z474" s="1" t="s">
        <v>702</v>
      </c>
      <c r="AA474" s="1" t="s">
        <v>703</v>
      </c>
      <c r="AB474" s="1" t="s">
        <v>704</v>
      </c>
      <c r="AC474" s="1">
        <v>0</v>
      </c>
      <c r="AD474" s="1" t="s">
        <v>56</v>
      </c>
      <c r="AE474" s="1" t="s">
        <v>181</v>
      </c>
      <c r="AF474" s="1" t="s">
        <v>213</v>
      </c>
      <c r="AG474" s="1" t="s">
        <v>730</v>
      </c>
      <c r="AH474" s="1" t="s">
        <v>59</v>
      </c>
      <c r="AI474" s="1" t="s">
        <v>71</v>
      </c>
      <c r="AJ474" s="1" t="s">
        <v>147</v>
      </c>
      <c r="AK474" s="1" t="s">
        <v>86</v>
      </c>
      <c r="AL474" s="1" t="s">
        <v>87</v>
      </c>
      <c r="AM474" s="1">
        <v>1</v>
      </c>
      <c r="AN474" s="1">
        <v>0</v>
      </c>
      <c r="AO474" s="1">
        <f t="shared" si="78"/>
        <v>1</v>
      </c>
    </row>
    <row r="475" spans="1:41" x14ac:dyDescent="0.4">
      <c r="A475" s="1">
        <v>1</v>
      </c>
      <c r="B475" s="1">
        <v>3</v>
      </c>
      <c r="C475" s="1" t="s">
        <v>41</v>
      </c>
      <c r="D475" s="2">
        <v>38768</v>
      </c>
      <c r="E475" s="1">
        <v>51</v>
      </c>
      <c r="F475" s="1">
        <v>4.2</v>
      </c>
      <c r="G475" s="3">
        <v>0.54751157407407403</v>
      </c>
      <c r="H475" s="3">
        <v>0.54752314814814818</v>
      </c>
      <c r="I475" s="3">
        <v>1.1574074074149898E-5</v>
      </c>
      <c r="J475" s="3">
        <v>1.1574074074149898E-5</v>
      </c>
      <c r="K475" s="5">
        <f t="shared" si="77"/>
        <v>1</v>
      </c>
      <c r="L475" s="3">
        <v>8.3333333333335258E-4</v>
      </c>
      <c r="N475" s="1" t="s">
        <v>42</v>
      </c>
      <c r="O475" s="1" t="s">
        <v>43</v>
      </c>
      <c r="P475" s="1" t="s">
        <v>44</v>
      </c>
      <c r="Q475" s="1" t="s">
        <v>45</v>
      </c>
      <c r="R475" s="1" t="s">
        <v>45</v>
      </c>
      <c r="S475" s="1" t="s">
        <v>46</v>
      </c>
      <c r="AB475" s="1" t="s">
        <v>93</v>
      </c>
      <c r="AC475" s="1">
        <v>1</v>
      </c>
      <c r="AK475" s="1" t="s">
        <v>86</v>
      </c>
      <c r="AL475" s="1" t="s">
        <v>133</v>
      </c>
      <c r="AN475" s="1">
        <v>1</v>
      </c>
      <c r="AO475" s="1">
        <f t="shared" si="78"/>
        <v>1</v>
      </c>
    </row>
    <row r="476" spans="1:41" x14ac:dyDescent="0.4">
      <c r="A476" s="1">
        <v>1</v>
      </c>
      <c r="B476" s="1">
        <v>3</v>
      </c>
      <c r="C476" s="1" t="s">
        <v>41</v>
      </c>
      <c r="D476" s="2">
        <v>38768</v>
      </c>
      <c r="E476" s="1">
        <v>51</v>
      </c>
      <c r="F476" s="1">
        <v>4.4000000000000004</v>
      </c>
      <c r="G476" s="3">
        <v>0.54835648148148153</v>
      </c>
      <c r="H476" s="3">
        <v>0.54840277777777779</v>
      </c>
      <c r="I476" s="3">
        <v>4.6296296296266526E-5</v>
      </c>
      <c r="J476" s="3">
        <v>4.6296296296266526E-5</v>
      </c>
      <c r="K476" s="5">
        <f t="shared" si="77"/>
        <v>4</v>
      </c>
      <c r="L476" s="3">
        <v>1.7361111111110494E-3</v>
      </c>
      <c r="N476" s="1" t="s">
        <v>42</v>
      </c>
      <c r="O476" s="1" t="s">
        <v>43</v>
      </c>
      <c r="P476" s="1" t="s">
        <v>44</v>
      </c>
      <c r="Q476" s="1" t="s">
        <v>45</v>
      </c>
      <c r="R476" s="1" t="s">
        <v>45</v>
      </c>
      <c r="S476" s="1" t="s">
        <v>46</v>
      </c>
      <c r="AB476" s="1" t="s">
        <v>93</v>
      </c>
      <c r="AC476" s="1">
        <v>1</v>
      </c>
      <c r="AK476" s="1" t="s">
        <v>86</v>
      </c>
      <c r="AL476" s="1" t="s">
        <v>86</v>
      </c>
      <c r="AN476" s="1">
        <v>1</v>
      </c>
      <c r="AO476" s="1">
        <f t="shared" si="78"/>
        <v>1</v>
      </c>
    </row>
    <row r="477" spans="1:41" x14ac:dyDescent="0.4">
      <c r="A477" s="1">
        <v>1</v>
      </c>
      <c r="B477" s="1">
        <v>3</v>
      </c>
      <c r="C477" s="1" t="s">
        <v>41</v>
      </c>
      <c r="D477" s="2">
        <v>38768</v>
      </c>
      <c r="E477" s="1">
        <v>51</v>
      </c>
      <c r="F477" s="1">
        <v>4.5999999999999996</v>
      </c>
      <c r="G477" s="3">
        <v>0.55013888888888884</v>
      </c>
      <c r="H477" s="3">
        <v>0.55027777777777775</v>
      </c>
      <c r="I477" s="3">
        <v>1.388888888889106E-4</v>
      </c>
      <c r="J477" s="3">
        <v>1.388888888889106E-4</v>
      </c>
      <c r="K477" s="5">
        <f t="shared" si="77"/>
        <v>12</v>
      </c>
      <c r="L477" s="3">
        <v>1.8865740740741099E-3</v>
      </c>
      <c r="N477" s="1" t="s">
        <v>42</v>
      </c>
      <c r="O477" s="1" t="s">
        <v>43</v>
      </c>
      <c r="P477" s="1" t="s">
        <v>44</v>
      </c>
      <c r="Q477" s="1" t="s">
        <v>45</v>
      </c>
      <c r="R477" s="1" t="s">
        <v>191</v>
      </c>
      <c r="S477" s="1" t="s">
        <v>46</v>
      </c>
      <c r="AB477" s="1" t="s">
        <v>93</v>
      </c>
      <c r="AC477" s="1">
        <v>1</v>
      </c>
      <c r="AK477" s="1" t="s">
        <v>86</v>
      </c>
      <c r="AL477" s="1" t="s">
        <v>87</v>
      </c>
      <c r="AN477" s="1">
        <v>1</v>
      </c>
      <c r="AO477" s="1">
        <f t="shared" si="78"/>
        <v>1</v>
      </c>
    </row>
    <row r="478" spans="1:41" x14ac:dyDescent="0.4">
      <c r="A478" s="1">
        <v>1</v>
      </c>
      <c r="B478" s="1">
        <v>3</v>
      </c>
      <c r="C478" s="1" t="s">
        <v>41</v>
      </c>
      <c r="D478" s="2">
        <v>38768</v>
      </c>
      <c r="E478" s="1">
        <v>51</v>
      </c>
      <c r="F478" s="1">
        <v>4.8</v>
      </c>
      <c r="G478" s="3">
        <v>0.55216435185185186</v>
      </c>
      <c r="H478" s="3">
        <v>0.55351851851851852</v>
      </c>
      <c r="I478" s="3">
        <v>1.3541666666666563E-3</v>
      </c>
      <c r="J478" s="3">
        <v>1.3541666666666563E-3</v>
      </c>
      <c r="K478" s="5">
        <f t="shared" si="77"/>
        <v>117</v>
      </c>
      <c r="L478" s="3">
        <v>4.398148148148151E-2</v>
      </c>
      <c r="N478" s="1" t="s">
        <v>42</v>
      </c>
      <c r="O478" s="1" t="s">
        <v>43</v>
      </c>
      <c r="P478" s="1" t="s">
        <v>44</v>
      </c>
      <c r="Q478" s="1" t="s">
        <v>45</v>
      </c>
      <c r="R478" s="1" t="s">
        <v>45</v>
      </c>
      <c r="S478" s="1" t="s">
        <v>46</v>
      </c>
      <c r="T478" s="1" t="s">
        <v>76</v>
      </c>
      <c r="U478" s="1" t="s">
        <v>156</v>
      </c>
      <c r="V478" s="1" t="s">
        <v>102</v>
      </c>
      <c r="W478" s="1" t="s">
        <v>103</v>
      </c>
      <c r="X478" s="1" t="s">
        <v>121</v>
      </c>
      <c r="AB478" s="1" t="s">
        <v>104</v>
      </c>
      <c r="AC478" s="1">
        <v>0</v>
      </c>
      <c r="AE478" s="1" t="s">
        <v>70</v>
      </c>
      <c r="AF478" s="1" t="s">
        <v>84</v>
      </c>
      <c r="AI478" s="1" t="s">
        <v>75</v>
      </c>
      <c r="AK478" s="1" t="s">
        <v>61</v>
      </c>
      <c r="AL478" s="1" t="s">
        <v>61</v>
      </c>
      <c r="AN478" s="1">
        <v>1</v>
      </c>
      <c r="AO478" s="1">
        <f t="shared" si="78"/>
        <v>1</v>
      </c>
    </row>
    <row r="479" spans="1:41" x14ac:dyDescent="0.4">
      <c r="A479" s="1">
        <v>1</v>
      </c>
      <c r="B479" s="1">
        <v>3</v>
      </c>
      <c r="C479" s="1" t="s">
        <v>41</v>
      </c>
      <c r="D479" s="2">
        <v>38768</v>
      </c>
      <c r="E479" s="1">
        <v>51</v>
      </c>
      <c r="F479" s="1">
        <v>5</v>
      </c>
      <c r="G479" s="3">
        <v>0.59750000000000003</v>
      </c>
      <c r="H479" s="3">
        <v>0.61194444444444451</v>
      </c>
      <c r="I479" s="3">
        <v>1.4444444444444482E-2</v>
      </c>
      <c r="J479" s="3">
        <v>6.8171296296296591E-3</v>
      </c>
      <c r="K479" s="5">
        <f t="shared" si="77"/>
        <v>589</v>
      </c>
      <c r="L479" s="3">
        <v>4.4097222222221344E-3</v>
      </c>
      <c r="N479" s="1" t="s">
        <v>42</v>
      </c>
      <c r="O479" s="1" t="s">
        <v>43</v>
      </c>
      <c r="P479" s="1" t="s">
        <v>44</v>
      </c>
      <c r="Q479" s="1" t="s">
        <v>76</v>
      </c>
      <c r="R479" s="1" t="s">
        <v>76</v>
      </c>
      <c r="S479" s="1" t="s">
        <v>46</v>
      </c>
      <c r="T479" s="1" t="s">
        <v>124</v>
      </c>
      <c r="V479" s="1" t="s">
        <v>49</v>
      </c>
      <c r="W479" s="1" t="s">
        <v>50</v>
      </c>
      <c r="X479" s="1" t="s">
        <v>96</v>
      </c>
      <c r="Y479" s="1" t="s">
        <v>52</v>
      </c>
      <c r="Z479" s="1" t="s">
        <v>53</v>
      </c>
      <c r="AA479" s="1" t="s">
        <v>731</v>
      </c>
      <c r="AB479" s="1" t="s">
        <v>732</v>
      </c>
      <c r="AC479" s="1">
        <v>0</v>
      </c>
      <c r="AD479" s="1" t="s">
        <v>56</v>
      </c>
      <c r="AE479" s="1" t="s">
        <v>70</v>
      </c>
      <c r="AF479" s="1" t="s">
        <v>113</v>
      </c>
      <c r="AG479" s="1" t="s">
        <v>733</v>
      </c>
      <c r="AH479" s="1" t="s">
        <v>59</v>
      </c>
      <c r="AK479" s="1" t="s">
        <v>86</v>
      </c>
      <c r="AL479" s="1" t="s">
        <v>86</v>
      </c>
      <c r="AM479" s="1">
        <v>2</v>
      </c>
      <c r="AN479" s="1">
        <v>0</v>
      </c>
      <c r="AO479" s="1">
        <f t="shared" si="78"/>
        <v>2</v>
      </c>
    </row>
    <row r="480" spans="1:41" x14ac:dyDescent="0.4">
      <c r="A480" s="1">
        <v>1</v>
      </c>
      <c r="B480" s="1">
        <v>3</v>
      </c>
      <c r="C480" s="1" t="s">
        <v>41</v>
      </c>
      <c r="D480" s="2">
        <v>38768</v>
      </c>
      <c r="E480" s="1">
        <v>51</v>
      </c>
      <c r="F480" s="1">
        <v>6</v>
      </c>
      <c r="G480" s="3">
        <v>0.61635416666666665</v>
      </c>
      <c r="H480" s="3">
        <v>0.61774305555555553</v>
      </c>
      <c r="I480" s="3">
        <v>1.388888888888884E-3</v>
      </c>
      <c r="J480" s="3">
        <v>1.388888888888884E-3</v>
      </c>
      <c r="K480" s="5">
        <f t="shared" si="77"/>
        <v>120</v>
      </c>
      <c r="L480" s="3">
        <v>9.6412037037036935E-3</v>
      </c>
      <c r="N480" s="1" t="s">
        <v>42</v>
      </c>
      <c r="O480" s="1" t="s">
        <v>43</v>
      </c>
      <c r="P480" s="1" t="s">
        <v>44</v>
      </c>
      <c r="Q480" s="1" t="s">
        <v>45</v>
      </c>
      <c r="R480" s="1" t="s">
        <v>91</v>
      </c>
      <c r="S480" s="1" t="s">
        <v>46</v>
      </c>
      <c r="T480" s="1" t="s">
        <v>76</v>
      </c>
      <c r="U480" s="1" t="s">
        <v>156</v>
      </c>
      <c r="V480" s="1" t="s">
        <v>102</v>
      </c>
      <c r="W480" s="1" t="s">
        <v>103</v>
      </c>
      <c r="X480" s="1" t="s">
        <v>448</v>
      </c>
      <c r="Y480" s="1">
        <v>13</v>
      </c>
      <c r="AB480" s="1" t="s">
        <v>734</v>
      </c>
      <c r="AC480" s="1">
        <v>0</v>
      </c>
      <c r="AD480" s="1" t="s">
        <v>56</v>
      </c>
      <c r="AE480" s="1" t="s">
        <v>181</v>
      </c>
      <c r="AG480" s="1" t="s">
        <v>735</v>
      </c>
      <c r="AH480" s="1" t="s">
        <v>157</v>
      </c>
      <c r="AI480" s="1" t="s">
        <v>75</v>
      </c>
      <c r="AJ480" s="1" t="s">
        <v>147</v>
      </c>
      <c r="AK480" s="1" t="s">
        <v>86</v>
      </c>
      <c r="AL480" s="1" t="s">
        <v>87</v>
      </c>
      <c r="AM480" s="1">
        <v>1</v>
      </c>
      <c r="AN480" s="1">
        <v>0</v>
      </c>
      <c r="AO480" s="1">
        <f t="shared" si="78"/>
        <v>1</v>
      </c>
    </row>
    <row r="481" spans="1:41" x14ac:dyDescent="0.4">
      <c r="A481" s="1">
        <v>1</v>
      </c>
      <c r="B481" s="1">
        <v>3</v>
      </c>
      <c r="C481" s="1" t="s">
        <v>41</v>
      </c>
      <c r="D481" s="2">
        <v>38768</v>
      </c>
      <c r="E481" s="1">
        <v>51</v>
      </c>
      <c r="F481" s="1">
        <v>7</v>
      </c>
      <c r="G481" s="3">
        <v>0.62738425925925922</v>
      </c>
      <c r="H481" s="3">
        <v>0.65459490740740744</v>
      </c>
      <c r="I481" s="3">
        <v>2.721064814814822E-2</v>
      </c>
      <c r="J481" s="3">
        <v>2.5775462962963069E-2</v>
      </c>
      <c r="K481" s="5">
        <f t="shared" si="77"/>
        <v>2227</v>
      </c>
      <c r="L481" s="3">
        <v>1.0879629629629628E-2</v>
      </c>
      <c r="N481" s="1" t="s">
        <v>42</v>
      </c>
      <c r="O481" s="1" t="s">
        <v>43</v>
      </c>
      <c r="P481" s="1" t="s">
        <v>44</v>
      </c>
      <c r="Q481" s="1" t="s">
        <v>76</v>
      </c>
      <c r="R481" s="1" t="s">
        <v>76</v>
      </c>
      <c r="S481" s="1" t="s">
        <v>46</v>
      </c>
      <c r="T481" s="1" t="s">
        <v>47</v>
      </c>
      <c r="U481" s="1" t="s">
        <v>48</v>
      </c>
      <c r="V481" s="1" t="s">
        <v>49</v>
      </c>
      <c r="W481" s="1" t="s">
        <v>50</v>
      </c>
      <c r="X481" s="1" t="s">
        <v>51</v>
      </c>
      <c r="Y481" s="1" t="s">
        <v>52</v>
      </c>
      <c r="Z481" s="1" t="s">
        <v>53</v>
      </c>
      <c r="AA481" s="1" t="s">
        <v>54</v>
      </c>
      <c r="AB481" s="1" t="s">
        <v>55</v>
      </c>
      <c r="AC481" s="1">
        <v>0</v>
      </c>
      <c r="AD481" s="1" t="s">
        <v>56</v>
      </c>
      <c r="AE481" s="1" t="s">
        <v>57</v>
      </c>
      <c r="AF481" s="1" t="s">
        <v>113</v>
      </c>
      <c r="AG481" s="1" t="s">
        <v>736</v>
      </c>
      <c r="AH481" s="1" t="s">
        <v>59</v>
      </c>
      <c r="AI481" s="1" t="s">
        <v>60</v>
      </c>
      <c r="AK481" s="1" t="s">
        <v>116</v>
      </c>
      <c r="AL481" s="1" t="s">
        <v>116</v>
      </c>
      <c r="AM481" s="1">
        <v>1</v>
      </c>
      <c r="AN481" s="1">
        <v>0</v>
      </c>
      <c r="AO481" s="1">
        <f t="shared" si="78"/>
        <v>1</v>
      </c>
    </row>
    <row r="482" spans="1:41" x14ac:dyDescent="0.4">
      <c r="A482" s="1">
        <v>1</v>
      </c>
      <c r="B482" s="1">
        <v>3</v>
      </c>
      <c r="C482" s="1" t="s">
        <v>41</v>
      </c>
      <c r="D482" s="2">
        <v>38768</v>
      </c>
      <c r="E482" s="1">
        <v>51</v>
      </c>
      <c r="F482" s="1">
        <v>8</v>
      </c>
      <c r="G482" s="3">
        <v>0.66547453703703707</v>
      </c>
      <c r="H482" s="3">
        <v>0.66555555555555557</v>
      </c>
      <c r="I482" s="3">
        <v>8.1018518518494176E-5</v>
      </c>
      <c r="J482" s="3">
        <v>8.1018518518494176E-5</v>
      </c>
      <c r="K482" s="5">
        <f t="shared" si="77"/>
        <v>7</v>
      </c>
      <c r="L482" s="3" t="s">
        <v>120</v>
      </c>
      <c r="N482" s="1" t="s">
        <v>42</v>
      </c>
      <c r="O482" s="1" t="s">
        <v>43</v>
      </c>
      <c r="P482" s="1" t="s">
        <v>44</v>
      </c>
      <c r="Q482" s="1" t="s">
        <v>45</v>
      </c>
      <c r="R482" s="1" t="s">
        <v>45</v>
      </c>
      <c r="S482" s="1" t="s">
        <v>46</v>
      </c>
      <c r="T482" s="1" t="s">
        <v>45</v>
      </c>
      <c r="U482" s="1" t="s">
        <v>156</v>
      </c>
      <c r="AB482" s="1" t="s">
        <v>93</v>
      </c>
      <c r="AC482" s="1">
        <v>1</v>
      </c>
      <c r="AI482" s="1" t="s">
        <v>75</v>
      </c>
      <c r="AK482" s="1" t="s">
        <v>61</v>
      </c>
      <c r="AL482" s="1" t="s">
        <v>61</v>
      </c>
      <c r="AN482" s="1">
        <v>1</v>
      </c>
      <c r="AO482" s="1">
        <f t="shared" si="78"/>
        <v>1</v>
      </c>
    </row>
    <row r="483" spans="1:41" x14ac:dyDescent="0.4">
      <c r="A483" s="1">
        <v>1</v>
      </c>
      <c r="B483" s="1">
        <v>3</v>
      </c>
      <c r="C483" s="1" t="s">
        <v>41</v>
      </c>
      <c r="D483" s="2">
        <v>38810</v>
      </c>
      <c r="E483" s="1">
        <v>93</v>
      </c>
      <c r="F483" s="1">
        <v>0.5</v>
      </c>
      <c r="G483" s="3">
        <v>0.30020833333333335</v>
      </c>
      <c r="H483" s="3">
        <v>0.30048611111111112</v>
      </c>
      <c r="I483" s="3">
        <v>2.7777777777776569E-4</v>
      </c>
      <c r="J483" s="3">
        <v>2.7777777777776569E-4</v>
      </c>
      <c r="K483" s="5">
        <f t="shared" si="77"/>
        <v>24</v>
      </c>
      <c r="L483" s="3">
        <v>1.0138888888888864E-2</v>
      </c>
      <c r="N483" s="1" t="s">
        <v>75</v>
      </c>
      <c r="O483" s="1" t="s">
        <v>43</v>
      </c>
      <c r="P483" s="1" t="s">
        <v>44</v>
      </c>
      <c r="Q483" s="1" t="s">
        <v>132</v>
      </c>
      <c r="R483" s="1" t="s">
        <v>76</v>
      </c>
      <c r="S483" s="1" t="s">
        <v>46</v>
      </c>
      <c r="T483" s="1" t="s">
        <v>76</v>
      </c>
      <c r="U483" s="1" t="s">
        <v>66</v>
      </c>
      <c r="V483" s="1" t="s">
        <v>67</v>
      </c>
      <c r="W483" s="1" t="s">
        <v>68</v>
      </c>
      <c r="Y483" s="1" t="s">
        <v>68</v>
      </c>
      <c r="AB483" s="1" t="s">
        <v>69</v>
      </c>
      <c r="AC483" s="1">
        <v>0</v>
      </c>
      <c r="AD483" s="1" t="s">
        <v>68</v>
      </c>
      <c r="AE483" s="1" t="s">
        <v>70</v>
      </c>
      <c r="AI483" s="1" t="s">
        <v>75</v>
      </c>
      <c r="AK483" s="1" t="s">
        <v>86</v>
      </c>
      <c r="AL483" s="1" t="s">
        <v>133</v>
      </c>
      <c r="AN483" s="1">
        <v>1</v>
      </c>
      <c r="AO483" s="1">
        <f t="shared" si="78"/>
        <v>1</v>
      </c>
    </row>
    <row r="484" spans="1:41" x14ac:dyDescent="0.4">
      <c r="A484" s="1">
        <v>1</v>
      </c>
      <c r="B484" s="1">
        <v>3</v>
      </c>
      <c r="C484" s="1" t="s">
        <v>41</v>
      </c>
      <c r="D484" s="2">
        <v>38810</v>
      </c>
      <c r="E484" s="1">
        <v>93</v>
      </c>
      <c r="F484" s="1">
        <v>1</v>
      </c>
      <c r="G484" s="3">
        <v>0.31062499999999998</v>
      </c>
      <c r="H484" s="3">
        <v>0.31828703703703703</v>
      </c>
      <c r="I484" s="3">
        <v>7.6620370370370505E-3</v>
      </c>
      <c r="J484" s="3">
        <v>7.6620370370370505E-3</v>
      </c>
      <c r="K484" s="5">
        <f t="shared" si="77"/>
        <v>662</v>
      </c>
      <c r="L484" s="3">
        <v>4.5150462962962989E-2</v>
      </c>
      <c r="N484" s="1" t="s">
        <v>75</v>
      </c>
      <c r="O484" s="1" t="s">
        <v>43</v>
      </c>
      <c r="P484" s="1" t="s">
        <v>44</v>
      </c>
      <c r="Q484" s="1" t="s">
        <v>132</v>
      </c>
      <c r="R484" s="1" t="s">
        <v>76</v>
      </c>
      <c r="S484" s="1" t="s">
        <v>46</v>
      </c>
      <c r="T484" s="1" t="s">
        <v>47</v>
      </c>
      <c r="U484" s="1" t="s">
        <v>66</v>
      </c>
      <c r="V484" s="1" t="s">
        <v>49</v>
      </c>
      <c r="W484" s="1" t="s">
        <v>77</v>
      </c>
      <c r="X484" s="1" t="s">
        <v>108</v>
      </c>
      <c r="Y484" s="1" t="s">
        <v>109</v>
      </c>
      <c r="Z484" s="1" t="s">
        <v>110</v>
      </c>
      <c r="AA484" s="1" t="s">
        <v>111</v>
      </c>
      <c r="AB484" s="1" t="s">
        <v>112</v>
      </c>
      <c r="AC484" s="1">
        <v>0</v>
      </c>
      <c r="AD484" s="1" t="s">
        <v>56</v>
      </c>
      <c r="AE484" s="1" t="s">
        <v>57</v>
      </c>
      <c r="AG484" s="1" t="s">
        <v>737</v>
      </c>
      <c r="AH484" s="1" t="s">
        <v>115</v>
      </c>
      <c r="AI484" s="1" t="s">
        <v>75</v>
      </c>
      <c r="AK484" s="1" t="s">
        <v>86</v>
      </c>
      <c r="AL484" s="1" t="s">
        <v>133</v>
      </c>
      <c r="AM484" s="1">
        <v>1</v>
      </c>
      <c r="AN484" s="1">
        <v>0</v>
      </c>
      <c r="AO484" s="1">
        <f t="shared" si="78"/>
        <v>1</v>
      </c>
    </row>
    <row r="485" spans="1:41" x14ac:dyDescent="0.4">
      <c r="A485" s="1">
        <v>1</v>
      </c>
      <c r="B485" s="1">
        <v>3</v>
      </c>
      <c r="C485" s="1" t="s">
        <v>41</v>
      </c>
      <c r="D485" s="2">
        <v>38810</v>
      </c>
      <c r="E485" s="1">
        <v>93</v>
      </c>
      <c r="F485" s="1">
        <v>2</v>
      </c>
      <c r="G485" s="3">
        <v>0.36343750000000002</v>
      </c>
      <c r="H485" s="3">
        <v>0.37130787037037033</v>
      </c>
      <c r="I485" s="3">
        <v>7.8703703703703054E-3</v>
      </c>
      <c r="J485" s="3">
        <v>7.1990740740740522E-3</v>
      </c>
      <c r="K485" s="5">
        <f t="shared" si="77"/>
        <v>622</v>
      </c>
      <c r="L485" s="3" t="s">
        <v>120</v>
      </c>
      <c r="N485" s="1" t="s">
        <v>75</v>
      </c>
      <c r="O485" s="1" t="s">
        <v>43</v>
      </c>
      <c r="P485" s="1" t="s">
        <v>44</v>
      </c>
      <c r="Q485" s="1" t="s">
        <v>45</v>
      </c>
      <c r="R485" s="1" t="s">
        <v>45</v>
      </c>
      <c r="S485" s="1" t="s">
        <v>46</v>
      </c>
      <c r="T485" s="1" t="s">
        <v>47</v>
      </c>
      <c r="U485" s="1" t="s">
        <v>66</v>
      </c>
      <c r="V485" s="1" t="s">
        <v>49</v>
      </c>
      <c r="W485" s="1" t="s">
        <v>50</v>
      </c>
      <c r="X485" s="1" t="s">
        <v>405</v>
      </c>
      <c r="Y485" s="1" t="s">
        <v>406</v>
      </c>
      <c r="Z485" s="1" t="s">
        <v>407</v>
      </c>
      <c r="AA485" s="1" t="s">
        <v>408</v>
      </c>
      <c r="AB485" s="1" t="s">
        <v>409</v>
      </c>
      <c r="AC485" s="1">
        <v>0</v>
      </c>
      <c r="AD485" s="1" t="s">
        <v>105</v>
      </c>
      <c r="AE485" s="1" t="s">
        <v>181</v>
      </c>
      <c r="AG485" s="1" t="s">
        <v>738</v>
      </c>
      <c r="AH485" s="1" t="s">
        <v>59</v>
      </c>
      <c r="AI485" s="1" t="s">
        <v>75</v>
      </c>
      <c r="AK485" s="1" t="s">
        <v>86</v>
      </c>
      <c r="AL485" s="1" t="s">
        <v>133</v>
      </c>
      <c r="AM485" s="1">
        <v>4</v>
      </c>
      <c r="AN485" s="1">
        <v>0</v>
      </c>
      <c r="AO485" s="1">
        <f t="shared" si="78"/>
        <v>4</v>
      </c>
    </row>
    <row r="486" spans="1:41" x14ac:dyDescent="0.4">
      <c r="A486" s="1">
        <v>1</v>
      </c>
      <c r="B486" s="1">
        <v>3</v>
      </c>
      <c r="C486" s="1" t="s">
        <v>41</v>
      </c>
      <c r="D486" s="2">
        <v>38841</v>
      </c>
      <c r="E486" s="1">
        <v>124</v>
      </c>
      <c r="F486" s="1">
        <v>1</v>
      </c>
      <c r="G486" s="3">
        <v>0.28837962962962965</v>
      </c>
      <c r="H486" s="3">
        <v>0.31234953703703705</v>
      </c>
      <c r="I486" s="3">
        <v>2.3969907407407398E-2</v>
      </c>
      <c r="J486" s="3">
        <v>2.3715277777777766E-2</v>
      </c>
      <c r="K486" s="5">
        <f t="shared" si="77"/>
        <v>2049</v>
      </c>
      <c r="L486" s="3">
        <v>3.3564814814814825E-2</v>
      </c>
      <c r="N486" s="1" t="s">
        <v>75</v>
      </c>
      <c r="O486" s="1" t="s">
        <v>286</v>
      </c>
      <c r="P486" s="1" t="s">
        <v>44</v>
      </c>
      <c r="Q486" s="1" t="s">
        <v>76</v>
      </c>
      <c r="R486" s="1" t="s">
        <v>76</v>
      </c>
      <c r="S486" s="1" t="s">
        <v>46</v>
      </c>
      <c r="T486" s="1" t="s">
        <v>47</v>
      </c>
      <c r="U486" s="1" t="s">
        <v>66</v>
      </c>
      <c r="V486" s="1" t="s">
        <v>49</v>
      </c>
      <c r="W486" s="1" t="s">
        <v>200</v>
      </c>
      <c r="X486" s="1" t="s">
        <v>739</v>
      </c>
      <c r="Y486" s="1" t="s">
        <v>126</v>
      </c>
      <c r="Z486" s="1" t="s">
        <v>202</v>
      </c>
      <c r="AA486" s="1" t="s">
        <v>203</v>
      </c>
      <c r="AB486" s="1" t="s">
        <v>204</v>
      </c>
      <c r="AC486" s="1">
        <v>0</v>
      </c>
      <c r="AD486" s="1" t="s">
        <v>56</v>
      </c>
      <c r="AE486" s="1" t="s">
        <v>83</v>
      </c>
      <c r="AF486" s="1" t="s">
        <v>113</v>
      </c>
      <c r="AG486" s="1" t="s">
        <v>740</v>
      </c>
      <c r="AH486" s="1" t="s">
        <v>206</v>
      </c>
      <c r="AI486" s="1" t="s">
        <v>75</v>
      </c>
      <c r="AK486" s="1" t="s">
        <v>116</v>
      </c>
      <c r="AL486" s="1" t="s">
        <v>117</v>
      </c>
      <c r="AM486" s="1">
        <v>3</v>
      </c>
      <c r="AN486" s="1">
        <v>0</v>
      </c>
      <c r="AO486" s="1">
        <f t="shared" si="78"/>
        <v>3</v>
      </c>
    </row>
    <row r="487" spans="1:41" x14ac:dyDescent="0.4">
      <c r="A487" s="1">
        <v>1</v>
      </c>
      <c r="B487" s="1">
        <v>3</v>
      </c>
      <c r="C487" s="1" t="s">
        <v>41</v>
      </c>
      <c r="D487" s="2">
        <v>38841</v>
      </c>
      <c r="E487" s="1">
        <v>124</v>
      </c>
      <c r="F487" s="1">
        <v>2</v>
      </c>
      <c r="G487" s="3">
        <v>0.34591435185185188</v>
      </c>
      <c r="H487" s="3">
        <v>0.3478472222222222</v>
      </c>
      <c r="I487" s="3">
        <v>1.9328703703703209E-3</v>
      </c>
      <c r="J487" s="3">
        <v>1.9328703703703209E-3</v>
      </c>
      <c r="K487" s="5">
        <f t="shared" si="77"/>
        <v>167</v>
      </c>
      <c r="L487" s="3">
        <v>2.5138888888888877E-2</v>
      </c>
      <c r="N487" s="1" t="s">
        <v>75</v>
      </c>
      <c r="O487" s="1" t="s">
        <v>286</v>
      </c>
      <c r="P487" s="1" t="s">
        <v>44</v>
      </c>
      <c r="Q487" s="1" t="s">
        <v>76</v>
      </c>
      <c r="R487" s="1" t="s">
        <v>76</v>
      </c>
      <c r="S487" s="1" t="s">
        <v>46</v>
      </c>
      <c r="T487" s="1" t="s">
        <v>76</v>
      </c>
      <c r="U487" s="1" t="s">
        <v>66</v>
      </c>
      <c r="V487" s="1" t="s">
        <v>102</v>
      </c>
      <c r="W487" s="1" t="s">
        <v>103</v>
      </c>
      <c r="X487" s="1" t="s">
        <v>275</v>
      </c>
      <c r="Y487" s="1" t="s">
        <v>52</v>
      </c>
      <c r="Z487" s="1" t="s">
        <v>325</v>
      </c>
      <c r="AA487" s="1" t="s">
        <v>326</v>
      </c>
      <c r="AB487" s="1" t="s">
        <v>327</v>
      </c>
      <c r="AC487" s="1">
        <v>0</v>
      </c>
      <c r="AD487" s="1" t="s">
        <v>56</v>
      </c>
      <c r="AE487" s="1" t="s">
        <v>57</v>
      </c>
      <c r="AG487" s="1" t="s">
        <v>741</v>
      </c>
      <c r="AH487" s="1" t="s">
        <v>157</v>
      </c>
      <c r="AI487" s="1" t="s">
        <v>75</v>
      </c>
      <c r="AK487" s="1" t="s">
        <v>86</v>
      </c>
      <c r="AL487" s="1" t="s">
        <v>133</v>
      </c>
      <c r="AM487" s="1">
        <v>3</v>
      </c>
      <c r="AN487" s="1">
        <v>0</v>
      </c>
      <c r="AO487" s="1">
        <f t="shared" si="78"/>
        <v>3</v>
      </c>
    </row>
    <row r="488" spans="1:41" x14ac:dyDescent="0.4">
      <c r="A488" s="1">
        <v>1</v>
      </c>
      <c r="B488" s="1">
        <v>3</v>
      </c>
      <c r="C488" s="1" t="s">
        <v>41</v>
      </c>
      <c r="D488" s="2">
        <v>38841</v>
      </c>
      <c r="E488" s="1">
        <v>124</v>
      </c>
      <c r="F488" s="1">
        <v>3</v>
      </c>
      <c r="G488" s="3">
        <v>0.37298611111111107</v>
      </c>
      <c r="H488" s="3">
        <v>0.37850694444444444</v>
      </c>
      <c r="I488" s="3">
        <v>5.5208333333333637E-3</v>
      </c>
      <c r="J488" s="3">
        <v>5.5208333333333637E-3</v>
      </c>
      <c r="K488" s="5">
        <f t="shared" si="77"/>
        <v>477</v>
      </c>
      <c r="L488" s="3">
        <v>3.7638888888888944E-2</v>
      </c>
      <c r="N488" s="1" t="s">
        <v>75</v>
      </c>
      <c r="O488" s="1" t="s">
        <v>286</v>
      </c>
      <c r="P488" s="1" t="s">
        <v>44</v>
      </c>
      <c r="Q488" s="1" t="s">
        <v>76</v>
      </c>
      <c r="R488" s="1" t="s">
        <v>76</v>
      </c>
      <c r="S488" s="1" t="s">
        <v>46</v>
      </c>
      <c r="T488" s="1" t="s">
        <v>47</v>
      </c>
      <c r="V488" s="1" t="s">
        <v>49</v>
      </c>
      <c r="W488" s="1" t="s">
        <v>233</v>
      </c>
      <c r="X488" s="1" t="s">
        <v>742</v>
      </c>
      <c r="Y488" s="1" t="s">
        <v>239</v>
      </c>
      <c r="Z488" s="1" t="s">
        <v>743</v>
      </c>
      <c r="AA488" s="1" t="s">
        <v>744</v>
      </c>
      <c r="AB488" s="1" t="s">
        <v>745</v>
      </c>
      <c r="AC488" s="1">
        <v>0</v>
      </c>
      <c r="AD488" s="1" t="s">
        <v>56</v>
      </c>
      <c r="AE488" s="1" t="s">
        <v>181</v>
      </c>
      <c r="AF488" s="1" t="s">
        <v>113</v>
      </c>
      <c r="AG488" s="1" t="s">
        <v>746</v>
      </c>
      <c r="AH488" s="1" t="s">
        <v>206</v>
      </c>
      <c r="AK488" s="1" t="s">
        <v>86</v>
      </c>
      <c r="AL488" s="1" t="s">
        <v>86</v>
      </c>
      <c r="AM488" s="1">
        <v>2</v>
      </c>
      <c r="AN488" s="1">
        <v>0</v>
      </c>
      <c r="AO488" s="1">
        <f t="shared" si="78"/>
        <v>2</v>
      </c>
    </row>
    <row r="489" spans="1:41" x14ac:dyDescent="0.4">
      <c r="A489" s="1">
        <v>1</v>
      </c>
      <c r="B489" s="1">
        <v>3</v>
      </c>
      <c r="C489" s="1" t="s">
        <v>41</v>
      </c>
      <c r="D489" s="2">
        <v>38841</v>
      </c>
      <c r="E489" s="1">
        <v>124</v>
      </c>
      <c r="F489" s="1">
        <v>4</v>
      </c>
      <c r="G489" s="3">
        <v>0.41614583333333338</v>
      </c>
      <c r="H489" s="3">
        <v>0.41805555555555557</v>
      </c>
      <c r="I489" s="3">
        <v>1.9097222222221877E-3</v>
      </c>
      <c r="J489" s="3">
        <v>1.9097222222221877E-3</v>
      </c>
      <c r="K489" s="5">
        <f t="shared" si="77"/>
        <v>165</v>
      </c>
      <c r="L489" s="3">
        <v>0</v>
      </c>
      <c r="N489" s="1" t="s">
        <v>42</v>
      </c>
      <c r="O489" s="1" t="s">
        <v>286</v>
      </c>
      <c r="P489" s="1" t="s">
        <v>44</v>
      </c>
      <c r="Q489" s="1" t="s">
        <v>45</v>
      </c>
      <c r="R489" s="1" t="s">
        <v>76</v>
      </c>
      <c r="S489" s="1" t="s">
        <v>46</v>
      </c>
      <c r="T489" s="1" t="s">
        <v>45</v>
      </c>
      <c r="U489" s="1" t="s">
        <v>66</v>
      </c>
      <c r="V489" s="1" t="s">
        <v>102</v>
      </c>
      <c r="W489" s="1" t="s">
        <v>103</v>
      </c>
      <c r="X489" s="1" t="s">
        <v>673</v>
      </c>
      <c r="AB489" s="1" t="s">
        <v>104</v>
      </c>
      <c r="AC489" s="1">
        <v>0</v>
      </c>
      <c r="AD489" s="1" t="s">
        <v>105</v>
      </c>
      <c r="AE489" s="1" t="s">
        <v>181</v>
      </c>
      <c r="AG489" s="1" t="s">
        <v>747</v>
      </c>
      <c r="AH489" s="1" t="s">
        <v>157</v>
      </c>
      <c r="AI489" s="1" t="s">
        <v>71</v>
      </c>
      <c r="AK489" s="1" t="s">
        <v>86</v>
      </c>
      <c r="AL489" s="1" t="s">
        <v>133</v>
      </c>
      <c r="AM489" s="1">
        <v>3</v>
      </c>
      <c r="AN489" s="1">
        <v>0</v>
      </c>
      <c r="AO489" s="1">
        <f t="shared" si="78"/>
        <v>3</v>
      </c>
    </row>
    <row r="490" spans="1:41" x14ac:dyDescent="0.4">
      <c r="A490" s="1">
        <v>1</v>
      </c>
      <c r="B490" s="1">
        <v>3</v>
      </c>
      <c r="C490" s="1" t="s">
        <v>41</v>
      </c>
      <c r="D490" s="2">
        <v>38841</v>
      </c>
      <c r="E490" s="1">
        <v>124</v>
      </c>
      <c r="F490" s="1">
        <v>4.5</v>
      </c>
      <c r="G490" s="3">
        <v>0.41805555555555557</v>
      </c>
      <c r="H490" s="3">
        <v>0.41898148148148145</v>
      </c>
      <c r="I490" s="3">
        <v>9.2592592592588563E-4</v>
      </c>
      <c r="J490" s="3">
        <v>4.629629629628873E-4</v>
      </c>
      <c r="K490" s="5">
        <f t="shared" si="77"/>
        <v>40</v>
      </c>
      <c r="L490" s="3">
        <v>9.6296296296296546E-3</v>
      </c>
      <c r="N490" s="1" t="s">
        <v>75</v>
      </c>
      <c r="O490" s="1" t="s">
        <v>286</v>
      </c>
      <c r="P490" s="1" t="s">
        <v>44</v>
      </c>
      <c r="Q490" s="1" t="s">
        <v>45</v>
      </c>
      <c r="R490" s="1" t="s">
        <v>76</v>
      </c>
      <c r="S490" s="1" t="s">
        <v>46</v>
      </c>
      <c r="T490" s="1" t="s">
        <v>45</v>
      </c>
      <c r="U490" s="1" t="s">
        <v>66</v>
      </c>
      <c r="V490" s="1" t="s">
        <v>49</v>
      </c>
      <c r="W490" s="1" t="s">
        <v>233</v>
      </c>
      <c r="X490" s="1" t="s">
        <v>234</v>
      </c>
      <c r="Y490" s="1" t="s">
        <v>235</v>
      </c>
      <c r="Z490" s="1" t="s">
        <v>236</v>
      </c>
      <c r="AA490" s="1" t="s">
        <v>221</v>
      </c>
      <c r="AB490" s="1" t="s">
        <v>237</v>
      </c>
      <c r="AC490" s="1">
        <v>0</v>
      </c>
      <c r="AD490" s="1" t="s">
        <v>56</v>
      </c>
      <c r="AE490" s="1" t="s">
        <v>83</v>
      </c>
      <c r="AG490" s="1" t="s">
        <v>747</v>
      </c>
      <c r="AH490" s="1" t="s">
        <v>206</v>
      </c>
      <c r="AI490" s="1" t="s">
        <v>75</v>
      </c>
      <c r="AK490" s="1" t="s">
        <v>86</v>
      </c>
      <c r="AL490" s="1" t="s">
        <v>133</v>
      </c>
      <c r="AM490" s="1">
        <v>3</v>
      </c>
      <c r="AN490" s="1">
        <v>0</v>
      </c>
      <c r="AO490" s="1">
        <f t="shared" si="78"/>
        <v>3</v>
      </c>
    </row>
    <row r="491" spans="1:41" x14ac:dyDescent="0.4">
      <c r="A491" s="1">
        <v>1</v>
      </c>
      <c r="B491" s="1">
        <v>3</v>
      </c>
      <c r="C491" s="1" t="s">
        <v>41</v>
      </c>
      <c r="D491" s="2">
        <v>38841</v>
      </c>
      <c r="E491" s="1">
        <v>124</v>
      </c>
      <c r="F491" s="1">
        <v>5</v>
      </c>
      <c r="G491" s="3">
        <v>0.42861111111111111</v>
      </c>
      <c r="H491" s="3">
        <v>0.43091435185185184</v>
      </c>
      <c r="I491" s="3">
        <v>2.3032407407407307E-3</v>
      </c>
      <c r="J491" s="3">
        <v>2.3032407407407307E-3</v>
      </c>
      <c r="K491" s="5">
        <f t="shared" si="77"/>
        <v>199</v>
      </c>
      <c r="L491" s="3">
        <v>0</v>
      </c>
      <c r="N491" s="1" t="s">
        <v>75</v>
      </c>
      <c r="O491" s="1" t="s">
        <v>286</v>
      </c>
      <c r="P491" s="1" t="s">
        <v>44</v>
      </c>
      <c r="Q491" s="1" t="s">
        <v>45</v>
      </c>
      <c r="R491" s="1" t="s">
        <v>76</v>
      </c>
      <c r="S491" s="1" t="s">
        <v>46</v>
      </c>
      <c r="T491" s="1" t="s">
        <v>47</v>
      </c>
      <c r="U491" s="1" t="s">
        <v>66</v>
      </c>
      <c r="V491" s="1" t="s">
        <v>49</v>
      </c>
      <c r="W491" s="1" t="s">
        <v>233</v>
      </c>
      <c r="X491" s="1" t="s">
        <v>234</v>
      </c>
      <c r="Y491" s="1" t="s">
        <v>235</v>
      </c>
      <c r="Z491" s="1" t="s">
        <v>236</v>
      </c>
      <c r="AA491" s="1" t="s">
        <v>221</v>
      </c>
      <c r="AB491" s="1" t="s">
        <v>237</v>
      </c>
      <c r="AC491" s="1">
        <v>0</v>
      </c>
      <c r="AD491" s="1" t="s">
        <v>56</v>
      </c>
      <c r="AE491" s="1" t="s">
        <v>83</v>
      </c>
      <c r="AF491" s="1" t="s">
        <v>163</v>
      </c>
      <c r="AG491" s="1" t="s">
        <v>748</v>
      </c>
      <c r="AH491" s="1" t="s">
        <v>206</v>
      </c>
      <c r="AI491" s="1" t="s">
        <v>75</v>
      </c>
      <c r="AK491" s="1" t="s">
        <v>116</v>
      </c>
      <c r="AL491" s="1" t="s">
        <v>117</v>
      </c>
      <c r="AM491" s="1">
        <v>3</v>
      </c>
      <c r="AN491" s="1">
        <v>0</v>
      </c>
      <c r="AO491" s="1">
        <f t="shared" si="78"/>
        <v>3</v>
      </c>
    </row>
    <row r="492" spans="1:41" x14ac:dyDescent="0.4">
      <c r="A492" s="1">
        <v>1</v>
      </c>
      <c r="B492" s="1">
        <v>3</v>
      </c>
      <c r="C492" s="1" t="s">
        <v>41</v>
      </c>
      <c r="D492" s="2">
        <v>38841</v>
      </c>
      <c r="E492" s="1">
        <v>124</v>
      </c>
      <c r="F492" s="1">
        <v>6</v>
      </c>
      <c r="G492" s="3">
        <v>0.43091435185185184</v>
      </c>
      <c r="H492" s="3">
        <v>0.43296296296296299</v>
      </c>
      <c r="I492" s="3">
        <v>2.0486111111111538E-3</v>
      </c>
      <c r="J492" s="3">
        <v>1.3657407407408062E-3</v>
      </c>
      <c r="K492" s="5">
        <f t="shared" si="77"/>
        <v>118</v>
      </c>
      <c r="L492" s="3">
        <v>1.2928240740740726E-2</v>
      </c>
      <c r="N492" s="1" t="s">
        <v>75</v>
      </c>
      <c r="O492" s="1" t="s">
        <v>286</v>
      </c>
      <c r="P492" s="1" t="s">
        <v>44</v>
      </c>
      <c r="Q492" s="1" t="s">
        <v>76</v>
      </c>
      <c r="R492" s="1" t="s">
        <v>76</v>
      </c>
      <c r="S492" s="1" t="s">
        <v>46</v>
      </c>
      <c r="T492" s="1" t="s">
        <v>47</v>
      </c>
      <c r="V492" s="1" t="s">
        <v>49</v>
      </c>
      <c r="W492" s="1" t="s">
        <v>77</v>
      </c>
      <c r="X492" s="1" t="s">
        <v>108</v>
      </c>
      <c r="Y492" s="1" t="s">
        <v>109</v>
      </c>
      <c r="Z492" s="1" t="s">
        <v>110</v>
      </c>
      <c r="AA492" s="1" t="s">
        <v>111</v>
      </c>
      <c r="AB492" s="1" t="s">
        <v>112</v>
      </c>
      <c r="AC492" s="1">
        <v>0</v>
      </c>
      <c r="AD492" s="1" t="s">
        <v>56</v>
      </c>
      <c r="AE492" s="1" t="s">
        <v>57</v>
      </c>
      <c r="AF492" s="1" t="s">
        <v>113</v>
      </c>
      <c r="AG492" s="1" t="s">
        <v>749</v>
      </c>
      <c r="AH492" s="1" t="s">
        <v>115</v>
      </c>
      <c r="AK492" s="1" t="s">
        <v>61</v>
      </c>
      <c r="AL492" s="1" t="s">
        <v>72</v>
      </c>
      <c r="AM492" s="1">
        <v>1</v>
      </c>
      <c r="AN492" s="1">
        <v>0</v>
      </c>
      <c r="AO492" s="1">
        <f t="shared" si="78"/>
        <v>1</v>
      </c>
    </row>
    <row r="493" spans="1:41" x14ac:dyDescent="0.4">
      <c r="A493" s="1">
        <v>1</v>
      </c>
      <c r="B493" s="1">
        <v>3</v>
      </c>
      <c r="C493" s="1" t="s">
        <v>41</v>
      </c>
      <c r="D493" s="2">
        <v>38841</v>
      </c>
      <c r="E493" s="1">
        <v>124</v>
      </c>
      <c r="F493" s="1">
        <v>7</v>
      </c>
      <c r="G493" s="3">
        <v>0.44589120370370372</v>
      </c>
      <c r="H493" s="3">
        <v>0.44640046296296299</v>
      </c>
      <c r="I493" s="3">
        <v>5.0925925925926485E-4</v>
      </c>
      <c r="J493" s="3">
        <v>4.3981481481480955E-4</v>
      </c>
      <c r="K493" s="5">
        <f t="shared" si="77"/>
        <v>38</v>
      </c>
      <c r="L493" s="3">
        <v>1.8657407407407345E-2</v>
      </c>
      <c r="N493" s="1" t="s">
        <v>42</v>
      </c>
      <c r="O493" s="1" t="s">
        <v>286</v>
      </c>
      <c r="P493" s="1" t="s">
        <v>44</v>
      </c>
      <c r="Q493" s="1" t="s">
        <v>76</v>
      </c>
      <c r="R493" s="1" t="s">
        <v>45</v>
      </c>
      <c r="S493" s="1" t="s">
        <v>46</v>
      </c>
      <c r="T493" s="1" t="s">
        <v>47</v>
      </c>
      <c r="V493" s="1" t="s">
        <v>49</v>
      </c>
      <c r="W493" s="1" t="s">
        <v>77</v>
      </c>
      <c r="X493" s="1" t="s">
        <v>108</v>
      </c>
      <c r="Y493" s="1" t="s">
        <v>109</v>
      </c>
      <c r="Z493" s="1" t="s">
        <v>110</v>
      </c>
      <c r="AA493" s="1" t="s">
        <v>111</v>
      </c>
      <c r="AB493" s="1" t="s">
        <v>112</v>
      </c>
      <c r="AC493" s="1">
        <v>0</v>
      </c>
      <c r="AD493" s="1" t="s">
        <v>56</v>
      </c>
      <c r="AE493" s="1" t="s">
        <v>57</v>
      </c>
      <c r="AF493" s="1" t="s">
        <v>113</v>
      </c>
      <c r="AG493" s="1" t="s">
        <v>750</v>
      </c>
      <c r="AH493" s="1" t="s">
        <v>115</v>
      </c>
      <c r="AK493" s="1" t="s">
        <v>116</v>
      </c>
      <c r="AL493" s="1" t="s">
        <v>174</v>
      </c>
      <c r="AM493" s="1">
        <v>1</v>
      </c>
      <c r="AN493" s="1">
        <v>0</v>
      </c>
      <c r="AO493" s="1">
        <f t="shared" si="78"/>
        <v>1</v>
      </c>
    </row>
    <row r="494" spans="1:41" x14ac:dyDescent="0.4">
      <c r="A494" s="1">
        <v>1</v>
      </c>
      <c r="B494" s="1">
        <v>3</v>
      </c>
      <c r="C494" s="1" t="s">
        <v>41</v>
      </c>
      <c r="D494" s="2">
        <v>38841</v>
      </c>
      <c r="E494" s="1">
        <v>124</v>
      </c>
      <c r="F494" s="1">
        <v>7.5</v>
      </c>
      <c r="G494" s="3">
        <v>0.46505787037037033</v>
      </c>
      <c r="H494" s="3">
        <v>0.46510416666666665</v>
      </c>
      <c r="I494" s="3">
        <v>4.6296296296322037E-5</v>
      </c>
      <c r="J494" s="3">
        <v>4.6296296296322037E-5</v>
      </c>
      <c r="K494" s="5">
        <f t="shared" si="77"/>
        <v>4</v>
      </c>
      <c r="L494" s="3">
        <v>5.800925925925926E-2</v>
      </c>
      <c r="N494" s="1" t="s">
        <v>42</v>
      </c>
      <c r="O494" s="1" t="s">
        <v>286</v>
      </c>
      <c r="P494" s="1" t="s">
        <v>44</v>
      </c>
      <c r="Q494" s="1" t="s">
        <v>76</v>
      </c>
      <c r="R494" s="1" t="s">
        <v>91</v>
      </c>
      <c r="S494" s="1" t="s">
        <v>46</v>
      </c>
      <c r="T494" s="1" t="s">
        <v>76</v>
      </c>
      <c r="U494" s="1" t="s">
        <v>66</v>
      </c>
      <c r="AB494" s="1" t="s">
        <v>93</v>
      </c>
      <c r="AC494" s="1">
        <v>1</v>
      </c>
      <c r="AI494" s="1" t="s">
        <v>71</v>
      </c>
      <c r="AK494" s="1" t="s">
        <v>86</v>
      </c>
      <c r="AL494" s="1" t="s">
        <v>133</v>
      </c>
      <c r="AN494" s="1">
        <v>1</v>
      </c>
      <c r="AO494" s="1">
        <f t="shared" si="78"/>
        <v>1</v>
      </c>
    </row>
    <row r="495" spans="1:41" x14ac:dyDescent="0.4">
      <c r="A495" s="1">
        <v>1</v>
      </c>
      <c r="B495" s="1">
        <v>3</v>
      </c>
      <c r="C495" s="1" t="s">
        <v>41</v>
      </c>
      <c r="D495" s="2">
        <v>38841</v>
      </c>
      <c r="E495" s="1">
        <v>124</v>
      </c>
      <c r="F495" s="1">
        <v>9.6999999999999993</v>
      </c>
      <c r="G495" s="3">
        <v>0.52311342592592591</v>
      </c>
      <c r="H495" s="3">
        <v>0.52508101851851852</v>
      </c>
      <c r="I495" s="3">
        <v>1.9675925925926041E-3</v>
      </c>
      <c r="J495" s="3">
        <v>1.9675925925926041E-3</v>
      </c>
      <c r="K495" s="5">
        <f t="shared" si="77"/>
        <v>170</v>
      </c>
      <c r="L495" s="3">
        <v>2.98032407407407E-2</v>
      </c>
      <c r="N495" s="1" t="s">
        <v>42</v>
      </c>
      <c r="O495" s="1" t="s">
        <v>286</v>
      </c>
      <c r="P495" s="1" t="s">
        <v>44</v>
      </c>
      <c r="Q495" s="1" t="s">
        <v>132</v>
      </c>
      <c r="R495" s="1" t="s">
        <v>76</v>
      </c>
      <c r="S495" s="1" t="s">
        <v>46</v>
      </c>
      <c r="T495" s="1" t="s">
        <v>45</v>
      </c>
      <c r="U495" s="1" t="s">
        <v>156</v>
      </c>
      <c r="V495" s="1" t="s">
        <v>102</v>
      </c>
      <c r="W495" s="1" t="s">
        <v>103</v>
      </c>
      <c r="X495" s="1" t="s">
        <v>96</v>
      </c>
      <c r="Y495" s="1">
        <v>46</v>
      </c>
      <c r="AB495" s="1" t="s">
        <v>584</v>
      </c>
      <c r="AC495" s="1">
        <v>0</v>
      </c>
      <c r="AD495" s="1" t="s">
        <v>105</v>
      </c>
      <c r="AE495" s="1" t="s">
        <v>70</v>
      </c>
      <c r="AH495" s="1" t="s">
        <v>157</v>
      </c>
      <c r="AI495" s="1" t="s">
        <v>75</v>
      </c>
      <c r="AK495" s="1" t="s">
        <v>86</v>
      </c>
      <c r="AL495" s="1" t="s">
        <v>133</v>
      </c>
      <c r="AN495" s="1">
        <v>1</v>
      </c>
      <c r="AO495" s="1">
        <f t="shared" si="78"/>
        <v>1</v>
      </c>
    </row>
    <row r="496" spans="1:41" x14ac:dyDescent="0.4">
      <c r="A496" s="1">
        <v>1</v>
      </c>
      <c r="B496" s="1">
        <v>3</v>
      </c>
      <c r="C496" s="1" t="s">
        <v>41</v>
      </c>
      <c r="D496" s="2">
        <v>38841</v>
      </c>
      <c r="E496" s="1">
        <v>124</v>
      </c>
      <c r="F496" s="1">
        <v>10</v>
      </c>
      <c r="G496" s="3">
        <v>0.55488425925925922</v>
      </c>
      <c r="H496" s="3">
        <v>0.57370370370370372</v>
      </c>
      <c r="I496" s="3">
        <v>1.88194444444445E-2</v>
      </c>
      <c r="J496" s="3">
        <v>1.7372685185185199E-2</v>
      </c>
      <c r="K496" s="5">
        <f t="shared" si="77"/>
        <v>1501</v>
      </c>
      <c r="L496" s="3">
        <v>7.0520833333333366E-2</v>
      </c>
      <c r="N496" s="1" t="s">
        <v>42</v>
      </c>
      <c r="O496" s="1" t="s">
        <v>286</v>
      </c>
      <c r="P496" s="1" t="s">
        <v>44</v>
      </c>
      <c r="Q496" s="1" t="s">
        <v>76</v>
      </c>
      <c r="R496" s="1" t="s">
        <v>45</v>
      </c>
      <c r="S496" s="1" t="s">
        <v>46</v>
      </c>
      <c r="T496" s="1" t="s">
        <v>47</v>
      </c>
      <c r="U496" s="1" t="s">
        <v>156</v>
      </c>
      <c r="V496" s="1" t="s">
        <v>49</v>
      </c>
      <c r="W496" s="1" t="s">
        <v>200</v>
      </c>
      <c r="X496" s="1" t="s">
        <v>739</v>
      </c>
      <c r="Y496" s="1" t="s">
        <v>126</v>
      </c>
      <c r="Z496" s="1" t="s">
        <v>202</v>
      </c>
      <c r="AA496" s="1" t="s">
        <v>203</v>
      </c>
      <c r="AB496" s="1" t="s">
        <v>204</v>
      </c>
      <c r="AC496" s="1">
        <v>0</v>
      </c>
      <c r="AD496" s="1" t="s">
        <v>56</v>
      </c>
      <c r="AE496" s="1" t="s">
        <v>83</v>
      </c>
      <c r="AF496" s="1" t="s">
        <v>113</v>
      </c>
      <c r="AG496" s="1" t="s">
        <v>740</v>
      </c>
      <c r="AH496" s="1" t="s">
        <v>206</v>
      </c>
      <c r="AI496" s="1" t="s">
        <v>75</v>
      </c>
      <c r="AK496" s="1" t="s">
        <v>116</v>
      </c>
      <c r="AL496" s="1" t="s">
        <v>155</v>
      </c>
      <c r="AM496" s="1">
        <v>3</v>
      </c>
      <c r="AN496" s="1">
        <v>0</v>
      </c>
      <c r="AO496" s="1">
        <f t="shared" si="78"/>
        <v>3</v>
      </c>
    </row>
    <row r="497" spans="1:41" x14ac:dyDescent="0.4">
      <c r="A497" s="1">
        <v>1</v>
      </c>
      <c r="B497" s="1">
        <v>3</v>
      </c>
      <c r="C497" s="1" t="s">
        <v>41</v>
      </c>
      <c r="D497" s="2">
        <v>38841</v>
      </c>
      <c r="E497" s="1">
        <v>124</v>
      </c>
      <c r="F497" s="1">
        <v>11</v>
      </c>
      <c r="G497" s="3">
        <v>0.64422453703703708</v>
      </c>
      <c r="H497" s="3">
        <v>0.64504629629629628</v>
      </c>
      <c r="I497" s="3">
        <v>8.2175925925920268E-4</v>
      </c>
      <c r="J497" s="3">
        <v>8.2175925925920268E-4</v>
      </c>
      <c r="K497" s="5">
        <f t="shared" si="77"/>
        <v>71</v>
      </c>
      <c r="L497" s="3">
        <v>5.3125000000000533E-3</v>
      </c>
      <c r="N497" s="1" t="s">
        <v>42</v>
      </c>
      <c r="O497" s="1" t="s">
        <v>286</v>
      </c>
      <c r="P497" s="1" t="s">
        <v>44</v>
      </c>
      <c r="Q497" s="1" t="s">
        <v>76</v>
      </c>
      <c r="R497" s="1" t="s">
        <v>45</v>
      </c>
      <c r="S497" s="1" t="s">
        <v>46</v>
      </c>
      <c r="T497" s="1" t="s">
        <v>47</v>
      </c>
      <c r="U497" s="1" t="s">
        <v>156</v>
      </c>
      <c r="V497" s="1" t="s">
        <v>102</v>
      </c>
      <c r="W497" s="1" t="s">
        <v>103</v>
      </c>
      <c r="X497" s="1" t="s">
        <v>96</v>
      </c>
      <c r="AB497" s="1" t="s">
        <v>104</v>
      </c>
      <c r="AC497" s="1">
        <v>0</v>
      </c>
      <c r="AD497" s="1" t="s">
        <v>105</v>
      </c>
      <c r="AE497" s="1" t="s">
        <v>70</v>
      </c>
      <c r="AG497" s="1" t="s">
        <v>751</v>
      </c>
      <c r="AH497" s="1" t="s">
        <v>157</v>
      </c>
      <c r="AI497" s="1" t="s">
        <v>75</v>
      </c>
      <c r="AK497" s="1" t="s">
        <v>86</v>
      </c>
      <c r="AL497" s="1" t="s">
        <v>87</v>
      </c>
      <c r="AM497" s="1">
        <v>1</v>
      </c>
      <c r="AN497" s="1">
        <v>0</v>
      </c>
      <c r="AO497" s="1">
        <f t="shared" si="78"/>
        <v>1</v>
      </c>
    </row>
    <row r="498" spans="1:41" x14ac:dyDescent="0.4">
      <c r="A498" s="1">
        <v>1</v>
      </c>
      <c r="B498" s="1">
        <v>3</v>
      </c>
      <c r="C498" s="1" t="s">
        <v>41</v>
      </c>
      <c r="D498" s="2">
        <v>38841</v>
      </c>
      <c r="E498" s="1">
        <v>124</v>
      </c>
      <c r="F498" s="1">
        <v>12</v>
      </c>
      <c r="G498" s="3">
        <v>0.65035879629629634</v>
      </c>
      <c r="H498" s="3">
        <v>0.66005787037037034</v>
      </c>
      <c r="I498" s="3">
        <v>9.6990740740739989E-3</v>
      </c>
      <c r="J498" s="3">
        <v>9.6990740740739989E-3</v>
      </c>
      <c r="K498" s="5">
        <f t="shared" si="77"/>
        <v>838</v>
      </c>
      <c r="L498" s="3">
        <v>2.3900462962962998E-2</v>
      </c>
      <c r="N498" s="1" t="s">
        <v>42</v>
      </c>
      <c r="O498" s="1" t="s">
        <v>286</v>
      </c>
      <c r="P498" s="1" t="s">
        <v>44</v>
      </c>
      <c r="Q498" s="1" t="s">
        <v>76</v>
      </c>
      <c r="R498" s="1" t="s">
        <v>76</v>
      </c>
      <c r="S498" s="1" t="s">
        <v>46</v>
      </c>
      <c r="T498" s="1" t="s">
        <v>47</v>
      </c>
      <c r="U498" s="1" t="s">
        <v>66</v>
      </c>
      <c r="V498" s="1" t="s">
        <v>102</v>
      </c>
      <c r="W498" s="1" t="s">
        <v>231</v>
      </c>
      <c r="X498" s="1" t="s">
        <v>96</v>
      </c>
      <c r="AB498" s="1" t="s">
        <v>104</v>
      </c>
      <c r="AC498" s="1">
        <v>0</v>
      </c>
      <c r="AD498" s="1" t="s">
        <v>105</v>
      </c>
      <c r="AE498" s="1" t="s">
        <v>70</v>
      </c>
      <c r="AG498" s="1" t="s">
        <v>752</v>
      </c>
      <c r="AH498" s="1" t="s">
        <v>157</v>
      </c>
      <c r="AI498" s="1" t="s">
        <v>71</v>
      </c>
      <c r="AK498" s="1" t="s">
        <v>86</v>
      </c>
      <c r="AL498" s="1" t="s">
        <v>87</v>
      </c>
      <c r="AM498" s="1">
        <v>1</v>
      </c>
      <c r="AN498" s="1">
        <v>0</v>
      </c>
      <c r="AO498" s="1">
        <f t="shared" si="78"/>
        <v>1</v>
      </c>
    </row>
    <row r="499" spans="1:41" x14ac:dyDescent="0.4">
      <c r="A499" s="1">
        <v>1</v>
      </c>
      <c r="B499" s="1">
        <v>3</v>
      </c>
      <c r="C499" s="1" t="s">
        <v>41</v>
      </c>
      <c r="D499" s="2">
        <v>38841</v>
      </c>
      <c r="E499" s="1">
        <v>124</v>
      </c>
      <c r="F499" s="1">
        <v>13</v>
      </c>
      <c r="G499" s="3">
        <v>0.68395833333333333</v>
      </c>
      <c r="H499" s="3">
        <v>0.69019675925925927</v>
      </c>
      <c r="I499" s="3">
        <v>6.2384259259259389E-3</v>
      </c>
      <c r="J499" s="3">
        <v>5.4976851851852304E-3</v>
      </c>
      <c r="K499" s="5">
        <f t="shared" si="77"/>
        <v>475</v>
      </c>
      <c r="L499" s="3" t="s">
        <v>120</v>
      </c>
      <c r="N499" s="1" t="s">
        <v>251</v>
      </c>
      <c r="O499" s="1" t="s">
        <v>286</v>
      </c>
      <c r="P499" s="1" t="s">
        <v>44</v>
      </c>
      <c r="Q499" s="1" t="s">
        <v>76</v>
      </c>
      <c r="R499" s="1" t="s">
        <v>76</v>
      </c>
      <c r="S499" s="1" t="s">
        <v>46</v>
      </c>
      <c r="T499" s="1" t="s">
        <v>45</v>
      </c>
      <c r="V499" s="1" t="s">
        <v>49</v>
      </c>
      <c r="W499" s="1" t="s">
        <v>233</v>
      </c>
      <c r="X499" s="1" t="s">
        <v>742</v>
      </c>
      <c r="Y499" s="1" t="s">
        <v>239</v>
      </c>
      <c r="Z499" s="1" t="s">
        <v>743</v>
      </c>
      <c r="AA499" s="1" t="s">
        <v>744</v>
      </c>
      <c r="AB499" s="1" t="s">
        <v>745</v>
      </c>
      <c r="AC499" s="1">
        <v>0</v>
      </c>
      <c r="AD499" s="1" t="s">
        <v>56</v>
      </c>
      <c r="AE499" s="1" t="s">
        <v>181</v>
      </c>
      <c r="AF499" s="1" t="s">
        <v>113</v>
      </c>
      <c r="AG499" s="1" t="s">
        <v>746</v>
      </c>
      <c r="AH499" s="1" t="s">
        <v>206</v>
      </c>
      <c r="AJ499" s="1" t="s">
        <v>147</v>
      </c>
      <c r="AK499" s="1" t="s">
        <v>116</v>
      </c>
      <c r="AL499" s="1" t="s">
        <v>117</v>
      </c>
      <c r="AM499" s="1">
        <v>2</v>
      </c>
      <c r="AN499" s="1">
        <v>0</v>
      </c>
      <c r="AO499" s="1">
        <f t="shared" si="78"/>
        <v>2</v>
      </c>
    </row>
    <row r="500" spans="1:41" x14ac:dyDescent="0.4">
      <c r="A500" s="1">
        <v>1</v>
      </c>
      <c r="B500" s="1">
        <v>3</v>
      </c>
      <c r="C500" s="1" t="s">
        <v>41</v>
      </c>
      <c r="D500" s="2">
        <v>38849</v>
      </c>
      <c r="E500" s="1">
        <v>132</v>
      </c>
      <c r="F500" s="1">
        <v>2</v>
      </c>
      <c r="G500" s="3">
        <v>0.33590277777777783</v>
      </c>
      <c r="H500" s="3">
        <v>0.33737268518518521</v>
      </c>
      <c r="I500" s="3">
        <v>1.4699074074073781E-3</v>
      </c>
      <c r="J500" s="3">
        <v>1.4699074074073781E-3</v>
      </c>
      <c r="K500" s="5">
        <f t="shared" si="77"/>
        <v>127</v>
      </c>
      <c r="L500" s="3">
        <v>2.7928240740740684E-2</v>
      </c>
      <c r="N500" s="1" t="s">
        <v>42</v>
      </c>
      <c r="O500" s="1" t="s">
        <v>286</v>
      </c>
      <c r="P500" s="1" t="s">
        <v>210</v>
      </c>
      <c r="Q500" s="1" t="s">
        <v>45</v>
      </c>
      <c r="R500" s="1" t="s">
        <v>76</v>
      </c>
      <c r="S500" s="1" t="s">
        <v>46</v>
      </c>
      <c r="T500" s="1" t="s">
        <v>45</v>
      </c>
      <c r="U500" s="1" t="s">
        <v>156</v>
      </c>
      <c r="V500" s="1" t="s">
        <v>102</v>
      </c>
      <c r="W500" s="1" t="s">
        <v>231</v>
      </c>
      <c r="X500" s="1" t="s">
        <v>594</v>
      </c>
      <c r="Y500" s="1" t="s">
        <v>753</v>
      </c>
      <c r="Z500" s="1">
        <v>3</v>
      </c>
      <c r="AB500" s="1" t="s">
        <v>754</v>
      </c>
      <c r="AC500" s="1">
        <v>0</v>
      </c>
      <c r="AD500" s="1" t="s">
        <v>105</v>
      </c>
      <c r="AE500" s="1" t="s">
        <v>57</v>
      </c>
      <c r="AG500" s="1" t="s">
        <v>755</v>
      </c>
      <c r="AH500" s="1" t="s">
        <v>157</v>
      </c>
      <c r="AI500" s="1" t="s">
        <v>75</v>
      </c>
      <c r="AK500" s="1" t="s">
        <v>86</v>
      </c>
      <c r="AL500" s="1" t="s">
        <v>87</v>
      </c>
      <c r="AM500" s="1">
        <v>2</v>
      </c>
      <c r="AN500" s="1">
        <v>0</v>
      </c>
      <c r="AO500" s="1">
        <f t="shared" si="78"/>
        <v>2</v>
      </c>
    </row>
    <row r="501" spans="1:41" x14ac:dyDescent="0.4">
      <c r="A501" s="1">
        <v>1</v>
      </c>
      <c r="B501" s="1">
        <v>3</v>
      </c>
      <c r="C501" s="1" t="s">
        <v>41</v>
      </c>
      <c r="D501" s="2">
        <v>38849</v>
      </c>
      <c r="E501" s="1">
        <v>132</v>
      </c>
      <c r="F501" s="1">
        <v>3</v>
      </c>
      <c r="G501" s="3">
        <v>0.36530092592592589</v>
      </c>
      <c r="H501" s="3">
        <v>0.38245370370370368</v>
      </c>
      <c r="I501" s="3">
        <v>1.7152777777777795E-2</v>
      </c>
      <c r="J501" s="3">
        <v>9.7106481481482598E-3</v>
      </c>
      <c r="K501" s="5">
        <f t="shared" si="77"/>
        <v>839</v>
      </c>
      <c r="L501" s="3">
        <v>1.5578703703703678E-2</v>
      </c>
      <c r="N501" s="1" t="s">
        <v>251</v>
      </c>
      <c r="O501" s="1" t="s">
        <v>286</v>
      </c>
      <c r="P501" s="1" t="s">
        <v>210</v>
      </c>
      <c r="Q501" s="1" t="s">
        <v>45</v>
      </c>
      <c r="R501" s="1" t="s">
        <v>76</v>
      </c>
      <c r="S501" s="1" t="s">
        <v>46</v>
      </c>
      <c r="T501" s="1" t="s">
        <v>76</v>
      </c>
      <c r="U501" s="1" t="s">
        <v>156</v>
      </c>
      <c r="V501" s="1" t="s">
        <v>49</v>
      </c>
      <c r="W501" s="1" t="s">
        <v>200</v>
      </c>
      <c r="X501" s="1" t="s">
        <v>756</v>
      </c>
      <c r="Y501" s="1" t="s">
        <v>126</v>
      </c>
      <c r="Z501" s="1" t="s">
        <v>202</v>
      </c>
      <c r="AA501" s="1" t="s">
        <v>757</v>
      </c>
      <c r="AB501" s="1" t="s">
        <v>758</v>
      </c>
      <c r="AC501" s="1">
        <v>0</v>
      </c>
      <c r="AD501" s="1" t="s">
        <v>56</v>
      </c>
      <c r="AE501" s="1" t="s">
        <v>83</v>
      </c>
      <c r="AF501" s="1" t="s">
        <v>213</v>
      </c>
      <c r="AG501" s="1" t="s">
        <v>759</v>
      </c>
      <c r="AH501" s="1" t="s">
        <v>206</v>
      </c>
      <c r="AI501" s="1" t="s">
        <v>255</v>
      </c>
      <c r="AK501" s="1" t="s">
        <v>86</v>
      </c>
      <c r="AL501" s="1" t="s">
        <v>87</v>
      </c>
      <c r="AM501" s="1">
        <v>1</v>
      </c>
      <c r="AN501" s="1">
        <v>0</v>
      </c>
      <c r="AO501" s="1">
        <f t="shared" si="78"/>
        <v>1</v>
      </c>
    </row>
    <row r="502" spans="1:41" x14ac:dyDescent="0.4">
      <c r="A502" s="1">
        <v>1</v>
      </c>
      <c r="B502" s="1">
        <v>3</v>
      </c>
      <c r="C502" s="1" t="s">
        <v>41</v>
      </c>
      <c r="D502" s="2">
        <v>38849</v>
      </c>
      <c r="E502" s="1">
        <v>132</v>
      </c>
      <c r="F502" s="1">
        <v>3.5</v>
      </c>
      <c r="G502" s="3">
        <v>0.39803240740740736</v>
      </c>
      <c r="H502" s="3">
        <v>0.39827546296296296</v>
      </c>
      <c r="I502" s="3">
        <v>2.4305555555559355E-4</v>
      </c>
      <c r="J502" s="3">
        <v>2.4305555555559355E-4</v>
      </c>
      <c r="K502" s="5">
        <f t="shared" si="77"/>
        <v>21</v>
      </c>
      <c r="L502" s="3">
        <v>2.6851851851852349E-3</v>
      </c>
      <c r="N502" s="1" t="s">
        <v>251</v>
      </c>
      <c r="O502" s="1" t="s">
        <v>286</v>
      </c>
      <c r="P502" s="1" t="s">
        <v>210</v>
      </c>
      <c r="Q502" s="1" t="s">
        <v>76</v>
      </c>
      <c r="R502" s="1" t="s">
        <v>76</v>
      </c>
      <c r="S502" s="1" t="s">
        <v>46</v>
      </c>
      <c r="AB502" s="1" t="s">
        <v>93</v>
      </c>
      <c r="AC502" s="1">
        <v>1</v>
      </c>
      <c r="AK502" s="1" t="s">
        <v>61</v>
      </c>
      <c r="AL502" s="1" t="s">
        <v>133</v>
      </c>
      <c r="AN502" s="1">
        <v>1</v>
      </c>
      <c r="AO502" s="1">
        <f t="shared" si="78"/>
        <v>1</v>
      </c>
    </row>
    <row r="503" spans="1:41" x14ac:dyDescent="0.4">
      <c r="A503" s="1">
        <v>1</v>
      </c>
      <c r="B503" s="1">
        <v>3</v>
      </c>
      <c r="C503" s="1" t="s">
        <v>41</v>
      </c>
      <c r="D503" s="2">
        <v>38849</v>
      </c>
      <c r="E503" s="1">
        <v>132</v>
      </c>
      <c r="F503" s="1">
        <v>4</v>
      </c>
      <c r="G503" s="3">
        <v>0.40096064814814819</v>
      </c>
      <c r="H503" s="3">
        <v>0.40378472222222223</v>
      </c>
      <c r="I503" s="3">
        <v>2.8240740740740344E-3</v>
      </c>
      <c r="J503" s="3">
        <v>2.8240740740740344E-3</v>
      </c>
      <c r="K503" s="5">
        <f t="shared" si="77"/>
        <v>244</v>
      </c>
      <c r="L503" s="3">
        <v>1.5347222222222179E-2</v>
      </c>
      <c r="N503" s="1" t="s">
        <v>251</v>
      </c>
      <c r="O503" s="1" t="s">
        <v>286</v>
      </c>
      <c r="P503" s="1" t="s">
        <v>210</v>
      </c>
      <c r="Q503" s="1" t="s">
        <v>45</v>
      </c>
      <c r="R503" s="1" t="s">
        <v>76</v>
      </c>
      <c r="S503" s="1" t="s">
        <v>46</v>
      </c>
      <c r="T503" s="1" t="s">
        <v>45</v>
      </c>
      <c r="U503" s="1" t="s">
        <v>92</v>
      </c>
      <c r="V503" s="1" t="s">
        <v>49</v>
      </c>
      <c r="W503" s="1" t="s">
        <v>140</v>
      </c>
      <c r="X503" s="1" t="s">
        <v>177</v>
      </c>
      <c r="Y503" s="1" t="s">
        <v>79</v>
      </c>
      <c r="Z503" s="1" t="s">
        <v>178</v>
      </c>
      <c r="AA503" s="1" t="s">
        <v>572</v>
      </c>
      <c r="AB503" s="1" t="s">
        <v>573</v>
      </c>
      <c r="AC503" s="1">
        <v>0</v>
      </c>
      <c r="AD503" s="1" t="s">
        <v>56</v>
      </c>
      <c r="AE503" s="1" t="s">
        <v>181</v>
      </c>
      <c r="AG503" s="1" t="s">
        <v>760</v>
      </c>
      <c r="AH503" s="1" t="s">
        <v>115</v>
      </c>
      <c r="AI503" s="1" t="s">
        <v>253</v>
      </c>
      <c r="AK503" s="1" t="s">
        <v>61</v>
      </c>
      <c r="AL503" s="1" t="s">
        <v>133</v>
      </c>
      <c r="AM503" s="1">
        <v>1</v>
      </c>
      <c r="AN503" s="1">
        <v>0</v>
      </c>
      <c r="AO503" s="1">
        <f t="shared" si="78"/>
        <v>1</v>
      </c>
    </row>
    <row r="504" spans="1:41" x14ac:dyDescent="0.4">
      <c r="A504" s="1">
        <v>1</v>
      </c>
      <c r="B504" s="1">
        <v>3</v>
      </c>
      <c r="C504" s="1" t="s">
        <v>41</v>
      </c>
      <c r="D504" s="2">
        <v>38849</v>
      </c>
      <c r="E504" s="1">
        <v>132</v>
      </c>
      <c r="F504" s="1">
        <v>4.4000000000000004</v>
      </c>
      <c r="G504" s="3">
        <v>0.4191319444444444</v>
      </c>
      <c r="H504" s="3">
        <v>0.41924768518518518</v>
      </c>
      <c r="I504" s="3">
        <v>1.1574074074077734E-4</v>
      </c>
      <c r="J504" s="3">
        <v>1.1574074074077734E-4</v>
      </c>
      <c r="K504" s="5">
        <f t="shared" si="77"/>
        <v>10</v>
      </c>
      <c r="L504" s="3">
        <v>3.3796296296296213E-3</v>
      </c>
      <c r="N504" s="1" t="s">
        <v>251</v>
      </c>
      <c r="O504" s="1" t="s">
        <v>286</v>
      </c>
      <c r="P504" s="1" t="s">
        <v>210</v>
      </c>
      <c r="Q504" s="1" t="s">
        <v>45</v>
      </c>
      <c r="R504" s="1" t="s">
        <v>45</v>
      </c>
      <c r="S504" s="1" t="s">
        <v>46</v>
      </c>
      <c r="T504" s="1" t="s">
        <v>45</v>
      </c>
      <c r="U504" s="1" t="s">
        <v>92</v>
      </c>
      <c r="AB504" s="1" t="s">
        <v>93</v>
      </c>
      <c r="AC504" s="1">
        <v>1</v>
      </c>
      <c r="AG504" s="1" t="s">
        <v>761</v>
      </c>
      <c r="AI504" s="1" t="s">
        <v>253</v>
      </c>
      <c r="AK504" s="1" t="s">
        <v>86</v>
      </c>
      <c r="AL504" s="1" t="s">
        <v>87</v>
      </c>
      <c r="AM504" s="1">
        <v>1</v>
      </c>
      <c r="AN504" s="1">
        <v>0</v>
      </c>
      <c r="AO504" s="1">
        <f t="shared" si="78"/>
        <v>1</v>
      </c>
    </row>
    <row r="505" spans="1:41" x14ac:dyDescent="0.4">
      <c r="A505" s="1">
        <v>1</v>
      </c>
      <c r="B505" s="1">
        <v>3</v>
      </c>
      <c r="C505" s="1" t="s">
        <v>41</v>
      </c>
      <c r="D505" s="2">
        <v>38849</v>
      </c>
      <c r="E505" s="1">
        <v>132</v>
      </c>
      <c r="F505" s="1">
        <v>4.5999999999999996</v>
      </c>
      <c r="G505" s="3">
        <v>0.4226273148148148</v>
      </c>
      <c r="H505" s="3">
        <v>0.42265046296296299</v>
      </c>
      <c r="I505" s="3">
        <v>2.3148148148188774E-5</v>
      </c>
      <c r="J505" s="3">
        <v>2.3148148148188774E-5</v>
      </c>
      <c r="K505" s="5">
        <f t="shared" si="77"/>
        <v>2</v>
      </c>
      <c r="L505" s="3">
        <v>9.6990740740739989E-3</v>
      </c>
      <c r="N505" s="1" t="s">
        <v>251</v>
      </c>
      <c r="O505" s="1" t="s">
        <v>286</v>
      </c>
      <c r="P505" s="1" t="s">
        <v>210</v>
      </c>
      <c r="Q505" s="1" t="s">
        <v>132</v>
      </c>
      <c r="R505" s="1" t="s">
        <v>132</v>
      </c>
      <c r="S505" s="1" t="s">
        <v>46</v>
      </c>
      <c r="T505" s="1" t="s">
        <v>76</v>
      </c>
      <c r="U505" s="1" t="s">
        <v>92</v>
      </c>
      <c r="AB505" s="1" t="s">
        <v>93</v>
      </c>
      <c r="AC505" s="1">
        <v>1</v>
      </c>
      <c r="AI505" s="1" t="s">
        <v>253</v>
      </c>
      <c r="AK505" s="1" t="s">
        <v>61</v>
      </c>
      <c r="AL505" s="1" t="s">
        <v>72</v>
      </c>
      <c r="AN505" s="1">
        <v>1</v>
      </c>
      <c r="AO505" s="1">
        <f t="shared" si="78"/>
        <v>1</v>
      </c>
    </row>
    <row r="506" spans="1:41" x14ac:dyDescent="0.4">
      <c r="A506" s="1">
        <v>1</v>
      </c>
      <c r="B506" s="1">
        <v>3</v>
      </c>
      <c r="C506" s="1" t="s">
        <v>41</v>
      </c>
      <c r="D506" s="2">
        <v>38849</v>
      </c>
      <c r="E506" s="1">
        <v>132</v>
      </c>
      <c r="F506" s="1">
        <v>5</v>
      </c>
      <c r="G506" s="3">
        <v>0.43234953703703699</v>
      </c>
      <c r="H506" s="3">
        <v>0.45391203703703703</v>
      </c>
      <c r="I506" s="3">
        <v>2.156250000000004E-2</v>
      </c>
      <c r="J506" s="3">
        <v>2.156250000000004E-2</v>
      </c>
      <c r="K506" s="5">
        <f t="shared" si="77"/>
        <v>1863</v>
      </c>
      <c r="L506" s="3">
        <v>1.2997685185185182E-2</v>
      </c>
      <c r="N506" s="1" t="s">
        <v>251</v>
      </c>
      <c r="O506" s="1" t="s">
        <v>286</v>
      </c>
      <c r="P506" s="1" t="s">
        <v>210</v>
      </c>
      <c r="Q506" s="1" t="s">
        <v>76</v>
      </c>
      <c r="R506" s="1" t="s">
        <v>76</v>
      </c>
      <c r="S506" s="1" t="s">
        <v>46</v>
      </c>
      <c r="T506" s="1" t="s">
        <v>47</v>
      </c>
      <c r="U506" s="1" t="s">
        <v>156</v>
      </c>
      <c r="V506" s="1" t="s">
        <v>49</v>
      </c>
      <c r="W506" s="1" t="s">
        <v>200</v>
      </c>
      <c r="X506" s="1" t="s">
        <v>201</v>
      </c>
      <c r="Y506" s="1" t="s">
        <v>126</v>
      </c>
      <c r="Z506" s="1" t="s">
        <v>202</v>
      </c>
      <c r="AA506" s="1" t="s">
        <v>203</v>
      </c>
      <c r="AB506" s="1" t="s">
        <v>204</v>
      </c>
      <c r="AC506" s="1">
        <v>0</v>
      </c>
      <c r="AD506" s="1" t="s">
        <v>56</v>
      </c>
      <c r="AE506" s="1" t="s">
        <v>83</v>
      </c>
      <c r="AF506" s="1" t="s">
        <v>113</v>
      </c>
      <c r="AG506" s="1" t="s">
        <v>762</v>
      </c>
      <c r="AH506" s="1" t="s">
        <v>206</v>
      </c>
      <c r="AI506" s="1" t="s">
        <v>255</v>
      </c>
      <c r="AK506" s="1" t="s">
        <v>116</v>
      </c>
      <c r="AL506" s="1" t="s">
        <v>155</v>
      </c>
      <c r="AM506" s="1">
        <v>2</v>
      </c>
      <c r="AN506" s="1">
        <v>0</v>
      </c>
      <c r="AO506" s="1">
        <f t="shared" si="78"/>
        <v>2</v>
      </c>
    </row>
    <row r="507" spans="1:41" x14ac:dyDescent="0.4">
      <c r="A507" s="1">
        <v>1</v>
      </c>
      <c r="B507" s="1">
        <v>3</v>
      </c>
      <c r="C507" s="1" t="s">
        <v>41</v>
      </c>
      <c r="D507" s="2">
        <v>38849</v>
      </c>
      <c r="E507" s="1">
        <v>132</v>
      </c>
      <c r="F507" s="1">
        <v>5.5</v>
      </c>
      <c r="G507" s="3">
        <v>0.46690972222222221</v>
      </c>
      <c r="H507" s="3">
        <v>0.46694444444444444</v>
      </c>
      <c r="I507" s="3">
        <v>3.472222222222765E-5</v>
      </c>
      <c r="J507" s="3">
        <v>3.472222222222765E-5</v>
      </c>
      <c r="K507" s="5">
        <f t="shared" si="77"/>
        <v>3</v>
      </c>
      <c r="L507" s="3">
        <v>1.005787037037037E-2</v>
      </c>
      <c r="N507" s="1" t="s">
        <v>251</v>
      </c>
      <c r="O507" s="1" t="s">
        <v>286</v>
      </c>
      <c r="P507" s="1" t="s">
        <v>210</v>
      </c>
      <c r="Q507" s="1" t="s">
        <v>132</v>
      </c>
      <c r="R507" s="1" t="s">
        <v>76</v>
      </c>
      <c r="S507" s="1" t="s">
        <v>46</v>
      </c>
      <c r="T507" s="1" t="s">
        <v>45</v>
      </c>
      <c r="U507" s="1" t="s">
        <v>156</v>
      </c>
      <c r="AB507" s="1" t="s">
        <v>93</v>
      </c>
      <c r="AC507" s="1">
        <v>1</v>
      </c>
      <c r="AI507" s="1" t="s">
        <v>255</v>
      </c>
      <c r="AK507" s="1" t="s">
        <v>86</v>
      </c>
      <c r="AL507" s="1" t="s">
        <v>133</v>
      </c>
      <c r="AN507" s="1">
        <v>1</v>
      </c>
      <c r="AO507" s="1">
        <f t="shared" si="78"/>
        <v>1</v>
      </c>
    </row>
    <row r="508" spans="1:41" x14ac:dyDescent="0.4">
      <c r="A508" s="1">
        <v>1</v>
      </c>
      <c r="B508" s="1">
        <v>3</v>
      </c>
      <c r="C508" s="1" t="s">
        <v>41</v>
      </c>
      <c r="D508" s="2">
        <v>38849</v>
      </c>
      <c r="E508" s="1">
        <v>132</v>
      </c>
      <c r="F508" s="1">
        <v>6</v>
      </c>
      <c r="G508" s="3">
        <v>0.47700231481481481</v>
      </c>
      <c r="H508" s="3">
        <v>0.47826388888888888</v>
      </c>
      <c r="I508" s="3">
        <v>1.2615740740740677E-3</v>
      </c>
      <c r="J508" s="3">
        <v>1.2615740740740677E-3</v>
      </c>
      <c r="K508" s="5">
        <f t="shared" si="77"/>
        <v>109</v>
      </c>
      <c r="L508" s="3">
        <v>7.9537037037037017E-2</v>
      </c>
      <c r="N508" s="1" t="s">
        <v>251</v>
      </c>
      <c r="O508" s="1" t="s">
        <v>286</v>
      </c>
      <c r="P508" s="1" t="s">
        <v>210</v>
      </c>
      <c r="Q508" s="1" t="s">
        <v>132</v>
      </c>
      <c r="R508" s="1" t="s">
        <v>76</v>
      </c>
      <c r="S508" s="1" t="s">
        <v>46</v>
      </c>
      <c r="T508" s="1" t="s">
        <v>76</v>
      </c>
      <c r="U508" s="1" t="s">
        <v>48</v>
      </c>
      <c r="V508" s="1" t="s">
        <v>102</v>
      </c>
      <c r="W508" s="1" t="s">
        <v>103</v>
      </c>
      <c r="X508" s="1" t="s">
        <v>96</v>
      </c>
      <c r="AB508" s="1" t="s">
        <v>104</v>
      </c>
      <c r="AC508" s="1">
        <v>0</v>
      </c>
      <c r="AD508" s="1" t="s">
        <v>105</v>
      </c>
      <c r="AE508" s="1" t="s">
        <v>70</v>
      </c>
      <c r="AG508" s="1" t="s">
        <v>763</v>
      </c>
      <c r="AH508" s="1" t="s">
        <v>157</v>
      </c>
      <c r="AI508" s="1" t="s">
        <v>379</v>
      </c>
      <c r="AK508" s="1" t="s">
        <v>86</v>
      </c>
      <c r="AL508" s="1" t="s">
        <v>87</v>
      </c>
      <c r="AM508" s="1">
        <v>1</v>
      </c>
      <c r="AN508" s="1">
        <v>0</v>
      </c>
      <c r="AO508" s="1">
        <f t="shared" si="78"/>
        <v>1</v>
      </c>
    </row>
    <row r="509" spans="1:41" x14ac:dyDescent="0.4">
      <c r="A509" s="1">
        <v>1</v>
      </c>
      <c r="B509" s="1">
        <v>3</v>
      </c>
      <c r="C509" s="1" t="s">
        <v>41</v>
      </c>
      <c r="D509" s="2">
        <v>38849</v>
      </c>
      <c r="E509" s="1">
        <v>132</v>
      </c>
      <c r="F509" s="1">
        <v>9</v>
      </c>
      <c r="G509" s="3">
        <v>0.55780092592592589</v>
      </c>
      <c r="H509" s="3">
        <v>0.57473379629629628</v>
      </c>
      <c r="I509" s="3">
        <v>1.693287037037039E-2</v>
      </c>
      <c r="J509" s="3">
        <v>1.6886574074074012E-2</v>
      </c>
      <c r="K509" s="5">
        <f t="shared" si="77"/>
        <v>1459</v>
      </c>
      <c r="L509" s="3" t="s">
        <v>120</v>
      </c>
      <c r="N509" s="1" t="s">
        <v>251</v>
      </c>
      <c r="O509" s="1" t="s">
        <v>286</v>
      </c>
      <c r="P509" s="1" t="s">
        <v>210</v>
      </c>
      <c r="Q509" s="1" t="s">
        <v>76</v>
      </c>
      <c r="R509" s="1" t="s">
        <v>191</v>
      </c>
      <c r="S509" s="1" t="s">
        <v>46</v>
      </c>
      <c r="T509" s="1" t="s">
        <v>47</v>
      </c>
      <c r="U509" s="1" t="s">
        <v>156</v>
      </c>
      <c r="V509" s="1" t="s">
        <v>49</v>
      </c>
      <c r="W509" s="1" t="s">
        <v>200</v>
      </c>
      <c r="X509" s="1" t="s">
        <v>201</v>
      </c>
      <c r="Y509" s="1" t="s">
        <v>126</v>
      </c>
      <c r="Z509" s="1" t="s">
        <v>202</v>
      </c>
      <c r="AA509" s="1" t="s">
        <v>203</v>
      </c>
      <c r="AB509" s="1" t="s">
        <v>204</v>
      </c>
      <c r="AC509" s="1">
        <v>0</v>
      </c>
      <c r="AD509" s="1" t="s">
        <v>56</v>
      </c>
      <c r="AE509" s="1" t="s">
        <v>83</v>
      </c>
      <c r="AF509" s="1" t="s">
        <v>163</v>
      </c>
      <c r="AG509" s="1" t="s">
        <v>762</v>
      </c>
      <c r="AH509" s="1" t="s">
        <v>206</v>
      </c>
      <c r="AI509" s="1" t="s">
        <v>255</v>
      </c>
      <c r="AK509" s="1" t="s">
        <v>86</v>
      </c>
      <c r="AL509" s="1" t="s">
        <v>86</v>
      </c>
      <c r="AM509" s="1">
        <v>2</v>
      </c>
      <c r="AN509" s="1">
        <v>0</v>
      </c>
      <c r="AO509" s="1">
        <f t="shared" si="78"/>
        <v>2</v>
      </c>
    </row>
    <row r="510" spans="1:41" x14ac:dyDescent="0.4">
      <c r="A510" s="1">
        <v>1</v>
      </c>
      <c r="B510" s="1">
        <v>3</v>
      </c>
      <c r="C510" s="1" t="s">
        <v>41</v>
      </c>
      <c r="D510" s="2">
        <v>38871</v>
      </c>
      <c r="E510" s="1">
        <v>154</v>
      </c>
      <c r="F510" s="1">
        <v>2</v>
      </c>
      <c r="G510" s="3">
        <v>0.57476851851851851</v>
      </c>
      <c r="H510" s="3">
        <v>0.5765393518518519</v>
      </c>
      <c r="I510" s="3">
        <v>1.7708333333333881E-3</v>
      </c>
      <c r="J510" s="3">
        <v>1.7708333333333881E-3</v>
      </c>
      <c r="K510" s="5">
        <f t="shared" si="77"/>
        <v>153</v>
      </c>
      <c r="L510" s="3">
        <v>1.5011574074074052E-2</v>
      </c>
      <c r="N510" s="1" t="s">
        <v>75</v>
      </c>
      <c r="O510" s="1" t="s">
        <v>286</v>
      </c>
      <c r="P510" s="1" t="s">
        <v>227</v>
      </c>
      <c r="Q510" s="1" t="s">
        <v>45</v>
      </c>
      <c r="R510" s="1" t="s">
        <v>191</v>
      </c>
      <c r="S510" s="1" t="s">
        <v>46</v>
      </c>
      <c r="T510" s="1" t="s">
        <v>76</v>
      </c>
      <c r="U510" s="1" t="s">
        <v>66</v>
      </c>
      <c r="V510" s="1" t="s">
        <v>102</v>
      </c>
      <c r="W510" s="1" t="s">
        <v>103</v>
      </c>
      <c r="X510" s="1" t="s">
        <v>651</v>
      </c>
      <c r="AB510" s="1" t="s">
        <v>104</v>
      </c>
      <c r="AC510" s="1">
        <v>0</v>
      </c>
      <c r="AD510" s="1" t="s">
        <v>105</v>
      </c>
      <c r="AE510" s="1" t="s">
        <v>181</v>
      </c>
      <c r="AF510" s="1" t="s">
        <v>84</v>
      </c>
      <c r="AG510" s="1" t="s">
        <v>764</v>
      </c>
      <c r="AH510" s="1" t="s">
        <v>157</v>
      </c>
      <c r="AI510" s="1" t="s">
        <v>75</v>
      </c>
      <c r="AK510" s="1" t="s">
        <v>86</v>
      </c>
      <c r="AL510" s="1" t="s">
        <v>87</v>
      </c>
      <c r="AM510" s="1">
        <v>6</v>
      </c>
      <c r="AN510" s="1">
        <v>0</v>
      </c>
      <c r="AO510" s="1">
        <f t="shared" si="78"/>
        <v>6</v>
      </c>
    </row>
    <row r="511" spans="1:41" x14ac:dyDescent="0.4">
      <c r="A511" s="1">
        <v>1</v>
      </c>
      <c r="B511" s="1">
        <v>3</v>
      </c>
      <c r="C511" s="1" t="s">
        <v>41</v>
      </c>
      <c r="D511" s="2">
        <v>38871</v>
      </c>
      <c r="E511" s="1">
        <v>154</v>
      </c>
      <c r="F511" s="1">
        <v>3</v>
      </c>
      <c r="G511" s="3">
        <v>0.59155092592592595</v>
      </c>
      <c r="H511" s="3">
        <v>0.59464120370370377</v>
      </c>
      <c r="I511" s="3">
        <v>3.0902777777778168E-3</v>
      </c>
      <c r="J511" s="3">
        <v>3.0902777777778168E-3</v>
      </c>
      <c r="K511" s="5">
        <f t="shared" si="77"/>
        <v>267</v>
      </c>
      <c r="L511" s="3">
        <v>0</v>
      </c>
      <c r="N511" s="1" t="s">
        <v>75</v>
      </c>
      <c r="O511" s="1" t="s">
        <v>286</v>
      </c>
      <c r="P511" s="1" t="s">
        <v>227</v>
      </c>
      <c r="Q511" s="1" t="s">
        <v>45</v>
      </c>
      <c r="R511" s="1" t="s">
        <v>45</v>
      </c>
      <c r="S511" s="1" t="s">
        <v>46</v>
      </c>
      <c r="T511" s="1" t="s">
        <v>47</v>
      </c>
      <c r="U511" s="1" t="s">
        <v>66</v>
      </c>
      <c r="V511" s="1" t="s">
        <v>49</v>
      </c>
      <c r="W511" s="1" t="s">
        <v>50</v>
      </c>
      <c r="X511" s="1" t="s">
        <v>405</v>
      </c>
      <c r="Y511" s="1" t="s">
        <v>406</v>
      </c>
      <c r="Z511" s="1" t="s">
        <v>407</v>
      </c>
      <c r="AA511" s="1" t="s">
        <v>408</v>
      </c>
      <c r="AB511" s="1" t="s">
        <v>409</v>
      </c>
      <c r="AC511" s="1">
        <v>0</v>
      </c>
      <c r="AD511" s="1" t="s">
        <v>105</v>
      </c>
      <c r="AE511" s="1" t="s">
        <v>181</v>
      </c>
      <c r="AG511" s="1" t="s">
        <v>721</v>
      </c>
      <c r="AH511" s="1" t="s">
        <v>59</v>
      </c>
      <c r="AI511" s="1" t="s">
        <v>75</v>
      </c>
      <c r="AK511" s="1" t="s">
        <v>61</v>
      </c>
      <c r="AL511" s="1" t="s">
        <v>133</v>
      </c>
      <c r="AM511" s="1">
        <v>3</v>
      </c>
      <c r="AN511" s="1">
        <v>0</v>
      </c>
      <c r="AO511" s="1">
        <f t="shared" si="78"/>
        <v>3</v>
      </c>
    </row>
    <row r="512" spans="1:41" x14ac:dyDescent="0.4">
      <c r="A512" s="1">
        <v>1</v>
      </c>
      <c r="B512" s="1">
        <v>3</v>
      </c>
      <c r="C512" s="1" t="s">
        <v>41</v>
      </c>
      <c r="D512" s="2">
        <v>38871</v>
      </c>
      <c r="E512" s="1">
        <v>154</v>
      </c>
      <c r="F512" s="1">
        <v>4</v>
      </c>
      <c r="G512" s="3">
        <v>0.59464120370370377</v>
      </c>
      <c r="H512" s="3">
        <v>0.60017361111111112</v>
      </c>
      <c r="I512" s="3">
        <v>5.532407407407347E-3</v>
      </c>
      <c r="J512" s="3">
        <v>5.3124999999999423E-3</v>
      </c>
      <c r="K512" s="5">
        <f t="shared" si="77"/>
        <v>459</v>
      </c>
      <c r="L512" s="3">
        <v>2.0949074074073648E-3</v>
      </c>
      <c r="N512" s="1" t="s">
        <v>75</v>
      </c>
      <c r="O512" s="1" t="s">
        <v>286</v>
      </c>
      <c r="P512" s="1" t="s">
        <v>227</v>
      </c>
      <c r="Q512" s="1" t="s">
        <v>191</v>
      </c>
      <c r="R512" s="1" t="s">
        <v>191</v>
      </c>
      <c r="S512" s="1" t="s">
        <v>46</v>
      </c>
      <c r="T512" s="1" t="s">
        <v>47</v>
      </c>
      <c r="U512" s="1" t="s">
        <v>66</v>
      </c>
      <c r="V512" s="1" t="s">
        <v>49</v>
      </c>
      <c r="W512" s="1" t="s">
        <v>77</v>
      </c>
      <c r="X512" s="1" t="s">
        <v>108</v>
      </c>
      <c r="Y512" s="1" t="s">
        <v>109</v>
      </c>
      <c r="Z512" s="1" t="s">
        <v>110</v>
      </c>
      <c r="AA512" s="1" t="s">
        <v>111</v>
      </c>
      <c r="AB512" s="1" t="s">
        <v>112</v>
      </c>
      <c r="AC512" s="1">
        <v>0</v>
      </c>
      <c r="AD512" s="1" t="s">
        <v>56</v>
      </c>
      <c r="AE512" s="1" t="s">
        <v>57</v>
      </c>
      <c r="AF512" s="1" t="s">
        <v>153</v>
      </c>
      <c r="AG512" s="1" t="s">
        <v>765</v>
      </c>
      <c r="AH512" s="1" t="s">
        <v>115</v>
      </c>
      <c r="AI512" s="1" t="s">
        <v>75</v>
      </c>
      <c r="AK512" s="1" t="s">
        <v>86</v>
      </c>
      <c r="AL512" s="1" t="s">
        <v>87</v>
      </c>
      <c r="AM512" s="1">
        <v>1</v>
      </c>
      <c r="AN512" s="1">
        <v>0</v>
      </c>
      <c r="AO512" s="1">
        <f t="shared" si="78"/>
        <v>1</v>
      </c>
    </row>
    <row r="513" spans="1:41" x14ac:dyDescent="0.4">
      <c r="A513" s="1">
        <v>1</v>
      </c>
      <c r="B513" s="1">
        <v>3</v>
      </c>
      <c r="C513" s="1" t="s">
        <v>41</v>
      </c>
      <c r="D513" s="2">
        <v>38871</v>
      </c>
      <c r="E513" s="1">
        <v>154</v>
      </c>
      <c r="F513" s="1">
        <v>5</v>
      </c>
      <c r="G513" s="3">
        <v>0.60226851851851848</v>
      </c>
      <c r="H513" s="3">
        <v>0.6074074074074074</v>
      </c>
      <c r="I513" s="3">
        <v>5.138888888888915E-3</v>
      </c>
      <c r="J513" s="3">
        <v>5.138888888888915E-3</v>
      </c>
      <c r="K513" s="5">
        <f t="shared" si="77"/>
        <v>444</v>
      </c>
      <c r="L513" s="3">
        <v>9.8958333333333259E-3</v>
      </c>
      <c r="N513" s="1" t="s">
        <v>75</v>
      </c>
      <c r="O513" s="1" t="s">
        <v>286</v>
      </c>
      <c r="P513" s="1" t="s">
        <v>227</v>
      </c>
      <c r="Q513" s="1" t="s">
        <v>76</v>
      </c>
      <c r="R513" s="1" t="s">
        <v>76</v>
      </c>
      <c r="S513" s="1" t="s">
        <v>46</v>
      </c>
      <c r="T513" s="1" t="s">
        <v>47</v>
      </c>
      <c r="U513" s="1" t="s">
        <v>66</v>
      </c>
      <c r="V513" s="1" t="s">
        <v>49</v>
      </c>
      <c r="W513" s="1" t="s">
        <v>77</v>
      </c>
      <c r="X513" s="1" t="s">
        <v>177</v>
      </c>
      <c r="Y513" s="1" t="s">
        <v>586</v>
      </c>
      <c r="Z513" s="1" t="s">
        <v>587</v>
      </c>
      <c r="AA513" s="1" t="s">
        <v>588</v>
      </c>
      <c r="AB513" s="1" t="s">
        <v>589</v>
      </c>
      <c r="AC513" s="1">
        <v>0</v>
      </c>
      <c r="AD513" s="1" t="s">
        <v>56</v>
      </c>
      <c r="AE513" s="1" t="s">
        <v>181</v>
      </c>
      <c r="AF513" s="1" t="s">
        <v>113</v>
      </c>
      <c r="AG513" s="1" t="s">
        <v>766</v>
      </c>
      <c r="AH513" s="1" t="s">
        <v>115</v>
      </c>
      <c r="AI513" s="1" t="s">
        <v>75</v>
      </c>
      <c r="AK513" s="1" t="s">
        <v>116</v>
      </c>
      <c r="AL513" s="1" t="s">
        <v>174</v>
      </c>
      <c r="AM513" s="1">
        <v>1</v>
      </c>
      <c r="AN513" s="1">
        <v>0</v>
      </c>
      <c r="AO513" s="1">
        <f t="shared" si="78"/>
        <v>1</v>
      </c>
    </row>
    <row r="514" spans="1:41" x14ac:dyDescent="0.4">
      <c r="A514" s="1">
        <v>1</v>
      </c>
      <c r="B514" s="1">
        <v>3</v>
      </c>
      <c r="C514" s="1" t="s">
        <v>41</v>
      </c>
      <c r="D514" s="2">
        <v>38871</v>
      </c>
      <c r="E514" s="1">
        <v>154</v>
      </c>
      <c r="F514" s="1">
        <v>7</v>
      </c>
      <c r="G514" s="3">
        <v>0.61730324074074072</v>
      </c>
      <c r="H514" s="3">
        <v>0.61803240740740739</v>
      </c>
      <c r="I514" s="3">
        <v>7.2916666666666963E-4</v>
      </c>
      <c r="J514" s="3">
        <v>7.2916666666666963E-4</v>
      </c>
      <c r="K514" s="5">
        <f t="shared" ref="K514:K577" si="79">HOUR(J514)*60*60+MINUTE(J514)*60+SECOND(J514)</f>
        <v>63</v>
      </c>
      <c r="L514" s="3">
        <v>3.5613425925925979E-2</v>
      </c>
      <c r="N514" s="1" t="s">
        <v>75</v>
      </c>
      <c r="O514" s="1" t="s">
        <v>286</v>
      </c>
      <c r="P514" s="1" t="s">
        <v>227</v>
      </c>
      <c r="Q514" s="1" t="s">
        <v>45</v>
      </c>
      <c r="R514" s="1" t="s">
        <v>76</v>
      </c>
      <c r="S514" s="1" t="s">
        <v>46</v>
      </c>
      <c r="T514" s="1" t="s">
        <v>45</v>
      </c>
      <c r="U514" s="1" t="s">
        <v>66</v>
      </c>
      <c r="V514" s="1" t="s">
        <v>49</v>
      </c>
      <c r="W514" s="1" t="s">
        <v>140</v>
      </c>
      <c r="X514" s="1" t="s">
        <v>510</v>
      </c>
      <c r="Y514" s="1" t="s">
        <v>767</v>
      </c>
      <c r="Z514" s="1" t="s">
        <v>768</v>
      </c>
      <c r="AA514" s="1" t="s">
        <v>769</v>
      </c>
      <c r="AB514" s="1" t="s">
        <v>770</v>
      </c>
      <c r="AC514" s="1">
        <v>0</v>
      </c>
      <c r="AD514" s="1" t="s">
        <v>56</v>
      </c>
      <c r="AE514" s="1" t="s">
        <v>181</v>
      </c>
      <c r="AG514" s="1" t="s">
        <v>771</v>
      </c>
      <c r="AH514" s="1" t="s">
        <v>59</v>
      </c>
      <c r="AI514" s="1" t="s">
        <v>75</v>
      </c>
      <c r="AK514" s="1" t="s">
        <v>86</v>
      </c>
      <c r="AL514" s="1" t="s">
        <v>133</v>
      </c>
      <c r="AM514" s="1">
        <v>1</v>
      </c>
      <c r="AN514" s="1">
        <v>0</v>
      </c>
      <c r="AO514" s="1">
        <f t="shared" si="78"/>
        <v>1</v>
      </c>
    </row>
    <row r="515" spans="1:41" x14ac:dyDescent="0.4">
      <c r="A515" s="1">
        <v>1</v>
      </c>
      <c r="B515" s="1">
        <v>3</v>
      </c>
      <c r="C515" s="1" t="s">
        <v>41</v>
      </c>
      <c r="D515" s="2">
        <v>38871</v>
      </c>
      <c r="E515" s="1">
        <v>154</v>
      </c>
      <c r="F515" s="1">
        <v>10</v>
      </c>
      <c r="G515" s="3">
        <v>0.65364583333333337</v>
      </c>
      <c r="H515" s="3">
        <v>0.66230324074074076</v>
      </c>
      <c r="I515" s="3">
        <v>8.6574074074073915E-3</v>
      </c>
      <c r="J515" s="3">
        <v>3.5416666666666652E-3</v>
      </c>
      <c r="K515" s="5">
        <f t="shared" si="79"/>
        <v>306</v>
      </c>
      <c r="L515" s="3" t="s">
        <v>120</v>
      </c>
      <c r="N515" s="1" t="s">
        <v>42</v>
      </c>
      <c r="O515" s="1" t="s">
        <v>286</v>
      </c>
      <c r="P515" s="1" t="s">
        <v>227</v>
      </c>
      <c r="Q515" s="1" t="s">
        <v>45</v>
      </c>
      <c r="R515" s="1" t="s">
        <v>76</v>
      </c>
      <c r="S515" s="1" t="s">
        <v>46</v>
      </c>
      <c r="T515" s="1" t="s">
        <v>76</v>
      </c>
      <c r="U515" s="1" t="s">
        <v>66</v>
      </c>
      <c r="V515" s="1" t="s">
        <v>102</v>
      </c>
      <c r="W515" s="1" t="s">
        <v>103</v>
      </c>
      <c r="X515" s="1" t="s">
        <v>275</v>
      </c>
      <c r="Y515" s="1" t="s">
        <v>52</v>
      </c>
      <c r="Z515" s="1" t="s">
        <v>325</v>
      </c>
      <c r="AA515" s="1" t="s">
        <v>326</v>
      </c>
      <c r="AB515" s="1" t="s">
        <v>327</v>
      </c>
      <c r="AC515" s="1">
        <v>0</v>
      </c>
      <c r="AD515" s="1" t="s">
        <v>56</v>
      </c>
      <c r="AE515" s="1" t="s">
        <v>57</v>
      </c>
      <c r="AF515" s="1" t="s">
        <v>198</v>
      </c>
      <c r="AG515" s="1" t="s">
        <v>772</v>
      </c>
      <c r="AH515" s="1" t="s">
        <v>157</v>
      </c>
      <c r="AI515" s="1" t="s">
        <v>71</v>
      </c>
      <c r="AK515" s="1" t="s">
        <v>86</v>
      </c>
      <c r="AL515" s="1" t="s">
        <v>133</v>
      </c>
      <c r="AM515" s="1">
        <v>1</v>
      </c>
      <c r="AN515" s="1">
        <v>0</v>
      </c>
      <c r="AO515" s="1">
        <f t="shared" ref="AO515:AO578" si="80">SUM(AM515:AN515)</f>
        <v>1</v>
      </c>
    </row>
    <row r="516" spans="1:41" x14ac:dyDescent="0.4">
      <c r="A516" s="1">
        <v>1</v>
      </c>
      <c r="B516" s="1">
        <v>3</v>
      </c>
      <c r="C516" s="1" t="s">
        <v>41</v>
      </c>
      <c r="D516" s="2">
        <v>38903</v>
      </c>
      <c r="E516" s="1">
        <v>186</v>
      </c>
      <c r="F516" s="1">
        <v>0.5</v>
      </c>
      <c r="G516" s="3">
        <v>0.28118055555555554</v>
      </c>
      <c r="H516" s="3">
        <v>0.28133101851851855</v>
      </c>
      <c r="I516" s="3">
        <v>1.5046296296300499E-4</v>
      </c>
      <c r="J516" s="3">
        <v>1.5046296296300499E-4</v>
      </c>
      <c r="K516" s="5">
        <f t="shared" si="79"/>
        <v>13</v>
      </c>
      <c r="L516" s="3">
        <v>1.6574074074074074E-2</v>
      </c>
      <c r="N516" s="1" t="s">
        <v>75</v>
      </c>
      <c r="O516" s="1" t="s">
        <v>286</v>
      </c>
      <c r="P516" s="1" t="s">
        <v>227</v>
      </c>
      <c r="Q516" s="1" t="s">
        <v>76</v>
      </c>
      <c r="S516" s="1" t="s">
        <v>46</v>
      </c>
      <c r="T516" s="1" t="s">
        <v>47</v>
      </c>
      <c r="U516" s="1" t="s">
        <v>66</v>
      </c>
      <c r="AB516" s="1" t="s">
        <v>93</v>
      </c>
      <c r="AC516" s="1">
        <v>1</v>
      </c>
      <c r="AI516" s="1" t="s">
        <v>75</v>
      </c>
      <c r="AK516" s="1" t="s">
        <v>61</v>
      </c>
      <c r="AL516" s="1" t="s">
        <v>133</v>
      </c>
      <c r="AN516" s="1">
        <v>1</v>
      </c>
      <c r="AO516" s="1">
        <f t="shared" si="80"/>
        <v>1</v>
      </c>
    </row>
    <row r="517" spans="1:41" x14ac:dyDescent="0.4">
      <c r="A517" s="1">
        <v>1</v>
      </c>
      <c r="B517" s="1">
        <v>3</v>
      </c>
      <c r="C517" s="1" t="s">
        <v>41</v>
      </c>
      <c r="D517" s="2">
        <v>38903</v>
      </c>
      <c r="E517" s="1">
        <v>186</v>
      </c>
      <c r="F517" s="1">
        <v>2</v>
      </c>
      <c r="G517" s="3">
        <v>0.29790509259259262</v>
      </c>
      <c r="H517" s="3">
        <v>0.30122685185185188</v>
      </c>
      <c r="I517" s="3">
        <v>3.3217592592592604E-3</v>
      </c>
      <c r="J517" s="3">
        <v>3.3217592592592604E-3</v>
      </c>
      <c r="K517" s="5">
        <f t="shared" si="79"/>
        <v>287</v>
      </c>
      <c r="L517" s="3">
        <v>5.8113425925925943E-2</v>
      </c>
      <c r="N517" s="1" t="s">
        <v>75</v>
      </c>
      <c r="O517" s="1" t="s">
        <v>286</v>
      </c>
      <c r="P517" s="1" t="s">
        <v>227</v>
      </c>
      <c r="Q517" s="1" t="s">
        <v>76</v>
      </c>
      <c r="R517" s="1" t="s">
        <v>76</v>
      </c>
      <c r="S517" s="1" t="s">
        <v>46</v>
      </c>
      <c r="T517" s="1" t="s">
        <v>47</v>
      </c>
      <c r="U517" s="1" t="s">
        <v>66</v>
      </c>
      <c r="V517" s="1" t="s">
        <v>49</v>
      </c>
      <c r="W517" s="1" t="s">
        <v>609</v>
      </c>
      <c r="X517" s="1" t="s">
        <v>773</v>
      </c>
      <c r="Y517" s="1" t="s">
        <v>701</v>
      </c>
      <c r="Z517" s="1" t="s">
        <v>774</v>
      </c>
      <c r="AA517" s="1" t="s">
        <v>775</v>
      </c>
      <c r="AB517" s="1" t="s">
        <v>776</v>
      </c>
      <c r="AC517" s="1">
        <v>0</v>
      </c>
      <c r="AD517" s="1" t="s">
        <v>105</v>
      </c>
      <c r="AE517" s="1" t="s">
        <v>70</v>
      </c>
      <c r="AF517" s="1" t="s">
        <v>113</v>
      </c>
      <c r="AG517" s="1" t="s">
        <v>777</v>
      </c>
      <c r="AH517" s="1" t="s">
        <v>59</v>
      </c>
      <c r="AI517" s="1" t="s">
        <v>75</v>
      </c>
      <c r="AK517" s="1" t="s">
        <v>86</v>
      </c>
      <c r="AL517" s="1" t="s">
        <v>86</v>
      </c>
      <c r="AM517" s="1">
        <v>1</v>
      </c>
      <c r="AN517" s="1">
        <v>0</v>
      </c>
      <c r="AO517" s="1">
        <f t="shared" si="80"/>
        <v>1</v>
      </c>
    </row>
    <row r="518" spans="1:41" x14ac:dyDescent="0.4">
      <c r="A518" s="1">
        <v>1</v>
      </c>
      <c r="B518" s="1">
        <v>3</v>
      </c>
      <c r="C518" s="1" t="s">
        <v>41</v>
      </c>
      <c r="D518" s="2">
        <v>38903</v>
      </c>
      <c r="E518" s="1">
        <v>186</v>
      </c>
      <c r="F518" s="1">
        <v>2.7</v>
      </c>
      <c r="G518" s="3">
        <v>0.35934027777777783</v>
      </c>
      <c r="H518" s="3">
        <v>0.35952546296296295</v>
      </c>
      <c r="I518" s="3">
        <v>1.8518518518512161E-4</v>
      </c>
      <c r="J518" s="3">
        <v>1.8518518518512161E-4</v>
      </c>
      <c r="K518" s="5">
        <f t="shared" si="79"/>
        <v>16</v>
      </c>
      <c r="L518" s="3">
        <v>4.6967592592592589E-2</v>
      </c>
      <c r="N518" s="1" t="s">
        <v>75</v>
      </c>
      <c r="O518" s="1" t="s">
        <v>286</v>
      </c>
      <c r="P518" s="1" t="s">
        <v>227</v>
      </c>
      <c r="Q518" s="1" t="s">
        <v>132</v>
      </c>
      <c r="R518" s="1" t="s">
        <v>76</v>
      </c>
      <c r="S518" s="1" t="s">
        <v>46</v>
      </c>
      <c r="T518" s="1" t="s">
        <v>45</v>
      </c>
      <c r="U518" s="1" t="s">
        <v>66</v>
      </c>
      <c r="AB518" s="1" t="s">
        <v>93</v>
      </c>
      <c r="AC518" s="1">
        <v>1</v>
      </c>
      <c r="AI518" s="1" t="s">
        <v>75</v>
      </c>
      <c r="AK518" s="1" t="s">
        <v>86</v>
      </c>
      <c r="AL518" s="1" t="s">
        <v>87</v>
      </c>
      <c r="AN518" s="1">
        <v>1</v>
      </c>
      <c r="AO518" s="1">
        <f t="shared" si="80"/>
        <v>1</v>
      </c>
    </row>
    <row r="519" spans="1:41" x14ac:dyDescent="0.4">
      <c r="A519" s="1">
        <v>1</v>
      </c>
      <c r="B519" s="1">
        <v>3</v>
      </c>
      <c r="C519" s="1" t="s">
        <v>41</v>
      </c>
      <c r="D519" s="2">
        <v>38903</v>
      </c>
      <c r="E519" s="1">
        <v>186</v>
      </c>
      <c r="F519" s="1">
        <v>6</v>
      </c>
      <c r="G519" s="3">
        <v>0.40649305555555554</v>
      </c>
      <c r="H519" s="3">
        <v>0.40773148148148147</v>
      </c>
      <c r="I519" s="3">
        <v>1.2384259259259345E-3</v>
      </c>
      <c r="J519" s="3">
        <v>1.0300925925926241E-3</v>
      </c>
      <c r="K519" s="5">
        <f t="shared" si="79"/>
        <v>89</v>
      </c>
      <c r="L519" s="3">
        <v>8.1365740740740877E-3</v>
      </c>
      <c r="N519" s="1" t="s">
        <v>42</v>
      </c>
      <c r="O519" s="1" t="s">
        <v>286</v>
      </c>
      <c r="P519" s="1" t="s">
        <v>227</v>
      </c>
      <c r="Q519" s="1" t="s">
        <v>45</v>
      </c>
      <c r="R519" s="1" t="s">
        <v>76</v>
      </c>
      <c r="S519" s="1" t="s">
        <v>46</v>
      </c>
      <c r="T519" s="1" t="s">
        <v>45</v>
      </c>
      <c r="U519" s="1" t="s">
        <v>66</v>
      </c>
      <c r="V519" s="1" t="s">
        <v>49</v>
      </c>
      <c r="W519" s="1" t="s">
        <v>50</v>
      </c>
      <c r="X519" s="1" t="s">
        <v>778</v>
      </c>
      <c r="Y519" s="1" t="s">
        <v>276</v>
      </c>
      <c r="Z519" s="1" t="s">
        <v>779</v>
      </c>
      <c r="AB519" s="1" t="s">
        <v>780</v>
      </c>
      <c r="AC519" s="1">
        <v>0</v>
      </c>
      <c r="AD519" s="1" t="s">
        <v>105</v>
      </c>
      <c r="AE519" s="1" t="s">
        <v>57</v>
      </c>
      <c r="AG519" s="1" t="s">
        <v>781</v>
      </c>
      <c r="AH519" s="1" t="s">
        <v>115</v>
      </c>
      <c r="AI519" s="1" t="s">
        <v>71</v>
      </c>
      <c r="AK519" s="1" t="s">
        <v>86</v>
      </c>
      <c r="AL519" s="1" t="s">
        <v>87</v>
      </c>
      <c r="AM519" s="1">
        <v>2</v>
      </c>
      <c r="AN519" s="1">
        <v>0</v>
      </c>
      <c r="AO519" s="1">
        <f t="shared" si="80"/>
        <v>2</v>
      </c>
    </row>
    <row r="520" spans="1:41" x14ac:dyDescent="0.4">
      <c r="A520" s="1">
        <v>1</v>
      </c>
      <c r="B520" s="1">
        <v>3</v>
      </c>
      <c r="C520" s="1" t="s">
        <v>41</v>
      </c>
      <c r="D520" s="2">
        <v>38903</v>
      </c>
      <c r="E520" s="1">
        <v>186</v>
      </c>
      <c r="F520" s="1">
        <v>8</v>
      </c>
      <c r="G520" s="3">
        <v>0.41586805555555556</v>
      </c>
      <c r="H520" s="3">
        <v>0.41743055555555553</v>
      </c>
      <c r="I520" s="3">
        <v>1.5624999999999667E-3</v>
      </c>
      <c r="J520" s="3">
        <v>1.5624999999999667E-3</v>
      </c>
      <c r="K520" s="5">
        <f t="shared" si="79"/>
        <v>135</v>
      </c>
      <c r="L520" s="3">
        <v>2.8923611111111136E-2</v>
      </c>
      <c r="N520" s="1" t="s">
        <v>42</v>
      </c>
      <c r="O520" s="1" t="s">
        <v>286</v>
      </c>
      <c r="P520" s="1" t="s">
        <v>227</v>
      </c>
      <c r="Q520" s="1" t="s">
        <v>45</v>
      </c>
      <c r="R520" s="1" t="s">
        <v>76</v>
      </c>
      <c r="S520" s="1" t="s">
        <v>46</v>
      </c>
      <c r="T520" s="1" t="s">
        <v>47</v>
      </c>
      <c r="U520" s="1" t="s">
        <v>66</v>
      </c>
      <c r="V520" s="1" t="s">
        <v>49</v>
      </c>
      <c r="W520" s="1" t="s">
        <v>268</v>
      </c>
      <c r="X520" s="1" t="s">
        <v>316</v>
      </c>
      <c r="Y520" s="1" t="s">
        <v>52</v>
      </c>
      <c r="Z520" s="1" t="s">
        <v>317</v>
      </c>
      <c r="AA520" s="1">
        <v>1</v>
      </c>
      <c r="AB520" s="1" t="s">
        <v>318</v>
      </c>
      <c r="AC520" s="1">
        <v>0</v>
      </c>
      <c r="AD520" s="1" t="s">
        <v>105</v>
      </c>
      <c r="AE520" s="1" t="s">
        <v>57</v>
      </c>
      <c r="AG520" s="1" t="s">
        <v>782</v>
      </c>
      <c r="AH520" s="1" t="s">
        <v>165</v>
      </c>
      <c r="AI520" s="1" t="s">
        <v>71</v>
      </c>
      <c r="AK520" s="1" t="s">
        <v>86</v>
      </c>
      <c r="AL520" s="1" t="s">
        <v>133</v>
      </c>
      <c r="AM520" s="1">
        <v>4</v>
      </c>
      <c r="AN520" s="1">
        <v>0</v>
      </c>
      <c r="AO520" s="1">
        <f t="shared" si="80"/>
        <v>4</v>
      </c>
    </row>
    <row r="521" spans="1:41" x14ac:dyDescent="0.4">
      <c r="A521" s="1">
        <v>1</v>
      </c>
      <c r="B521" s="1">
        <v>3</v>
      </c>
      <c r="C521" s="1" t="s">
        <v>41</v>
      </c>
      <c r="D521" s="2">
        <v>38903</v>
      </c>
      <c r="E521" s="1">
        <v>186</v>
      </c>
      <c r="F521" s="1">
        <v>10.5</v>
      </c>
      <c r="G521" s="3">
        <v>0.44635416666666666</v>
      </c>
      <c r="H521" s="3">
        <v>0.44640046296296299</v>
      </c>
      <c r="I521" s="3">
        <v>4.6296296296322037E-5</v>
      </c>
      <c r="J521" s="3">
        <v>4.6296296296322037E-5</v>
      </c>
      <c r="K521" s="5">
        <f t="shared" si="79"/>
        <v>4</v>
      </c>
      <c r="L521" s="3">
        <v>4.449074074074072E-2</v>
      </c>
      <c r="N521" s="1" t="s">
        <v>42</v>
      </c>
      <c r="O521" s="1" t="s">
        <v>286</v>
      </c>
      <c r="P521" s="1" t="s">
        <v>227</v>
      </c>
      <c r="Q521" s="1" t="s">
        <v>132</v>
      </c>
      <c r="R521" s="1" t="s">
        <v>132</v>
      </c>
      <c r="S521" s="1" t="s">
        <v>46</v>
      </c>
      <c r="AB521" s="1" t="s">
        <v>93</v>
      </c>
      <c r="AC521" s="1">
        <v>1</v>
      </c>
      <c r="AK521" s="1" t="s">
        <v>86</v>
      </c>
      <c r="AL521" s="1" t="s">
        <v>133</v>
      </c>
      <c r="AN521" s="1">
        <v>1</v>
      </c>
      <c r="AO521" s="1">
        <f t="shared" si="80"/>
        <v>1</v>
      </c>
    </row>
    <row r="522" spans="1:41" x14ac:dyDescent="0.4">
      <c r="A522" s="1">
        <v>1</v>
      </c>
      <c r="B522" s="1">
        <v>3</v>
      </c>
      <c r="C522" s="1" t="s">
        <v>41</v>
      </c>
      <c r="D522" s="2">
        <v>38903</v>
      </c>
      <c r="E522" s="1">
        <v>186</v>
      </c>
      <c r="F522" s="1">
        <v>12</v>
      </c>
      <c r="G522" s="3">
        <v>0.4908912037037037</v>
      </c>
      <c r="H522" s="3">
        <v>0.49099537037037039</v>
      </c>
      <c r="I522" s="3">
        <v>1.0416666666668295E-4</v>
      </c>
      <c r="J522" s="3">
        <v>1.0416666666668295E-4</v>
      </c>
      <c r="K522" s="5">
        <f t="shared" si="79"/>
        <v>9</v>
      </c>
      <c r="L522" s="3" t="s">
        <v>120</v>
      </c>
      <c r="N522" s="1" t="s">
        <v>42</v>
      </c>
      <c r="O522" s="1" t="s">
        <v>286</v>
      </c>
      <c r="P522" s="1" t="s">
        <v>227</v>
      </c>
      <c r="R522" s="1" t="s">
        <v>76</v>
      </c>
      <c r="S522" s="1" t="s">
        <v>46</v>
      </c>
      <c r="T522" s="1" t="s">
        <v>45</v>
      </c>
      <c r="U522" s="1" t="s">
        <v>156</v>
      </c>
      <c r="V522" s="1" t="s">
        <v>49</v>
      </c>
      <c r="W522" s="1" t="s">
        <v>233</v>
      </c>
      <c r="X522" s="1" t="s">
        <v>783</v>
      </c>
      <c r="Y522" s="1" t="s">
        <v>725</v>
      </c>
      <c r="Z522" s="1" t="s">
        <v>726</v>
      </c>
      <c r="AA522" s="1" t="s">
        <v>784</v>
      </c>
      <c r="AB522" s="1" t="s">
        <v>785</v>
      </c>
      <c r="AC522" s="1">
        <v>0</v>
      </c>
      <c r="AD522" s="1" t="s">
        <v>56</v>
      </c>
      <c r="AE522" s="1" t="s">
        <v>83</v>
      </c>
      <c r="AG522" s="1" t="s">
        <v>786</v>
      </c>
      <c r="AH522" s="1" t="s">
        <v>206</v>
      </c>
      <c r="AI522" s="1" t="s">
        <v>75</v>
      </c>
      <c r="AK522" s="1" t="s">
        <v>329</v>
      </c>
      <c r="AL522" s="1" t="s">
        <v>787</v>
      </c>
      <c r="AM522" s="1">
        <v>2</v>
      </c>
      <c r="AN522" s="1">
        <v>0</v>
      </c>
      <c r="AO522" s="1">
        <f t="shared" si="80"/>
        <v>2</v>
      </c>
    </row>
    <row r="523" spans="1:41" x14ac:dyDescent="0.4">
      <c r="A523" s="1">
        <v>1</v>
      </c>
      <c r="B523" s="1">
        <v>3</v>
      </c>
      <c r="C523" s="1" t="s">
        <v>41</v>
      </c>
      <c r="D523" s="2">
        <v>38905</v>
      </c>
      <c r="E523" s="1">
        <v>188</v>
      </c>
      <c r="F523" s="1">
        <v>1</v>
      </c>
      <c r="G523" s="3">
        <v>0.26972222222222225</v>
      </c>
      <c r="H523" s="3">
        <v>0.2726041666666667</v>
      </c>
      <c r="I523" s="3">
        <v>2.8819444444444509E-3</v>
      </c>
      <c r="J523" s="3">
        <v>1.0300925925925686E-3</v>
      </c>
      <c r="K523" s="5">
        <f t="shared" si="79"/>
        <v>89</v>
      </c>
      <c r="L523" s="3">
        <v>1.7175925925925872E-2</v>
      </c>
      <c r="N523" s="1" t="s">
        <v>75</v>
      </c>
      <c r="O523" s="1" t="s">
        <v>286</v>
      </c>
      <c r="P523" s="1" t="s">
        <v>227</v>
      </c>
      <c r="Q523" s="1" t="s">
        <v>45</v>
      </c>
      <c r="R523" s="1" t="s">
        <v>76</v>
      </c>
      <c r="S523" s="1" t="s">
        <v>46</v>
      </c>
      <c r="T523" s="1" t="s">
        <v>47</v>
      </c>
      <c r="U523" s="1" t="s">
        <v>66</v>
      </c>
      <c r="V523" s="1" t="s">
        <v>102</v>
      </c>
      <c r="W523" s="1" t="s">
        <v>788</v>
      </c>
      <c r="X523" s="1" t="s">
        <v>96</v>
      </c>
      <c r="AB523" s="1" t="s">
        <v>504</v>
      </c>
      <c r="AC523" s="1">
        <v>0</v>
      </c>
      <c r="AD523" s="1" t="s">
        <v>105</v>
      </c>
      <c r="AE523" s="1" t="s">
        <v>70</v>
      </c>
      <c r="AG523" s="1" t="s">
        <v>789</v>
      </c>
      <c r="AH523" s="1" t="s">
        <v>157</v>
      </c>
      <c r="AI523" s="1" t="s">
        <v>122</v>
      </c>
      <c r="AK523" s="1" t="s">
        <v>61</v>
      </c>
      <c r="AL523" s="1" t="s">
        <v>61</v>
      </c>
      <c r="AM523" s="1">
        <v>2</v>
      </c>
      <c r="AN523" s="1">
        <v>0</v>
      </c>
      <c r="AO523" s="1">
        <f t="shared" si="80"/>
        <v>2</v>
      </c>
    </row>
    <row r="524" spans="1:41" x14ac:dyDescent="0.4">
      <c r="A524" s="1">
        <v>1</v>
      </c>
      <c r="B524" s="1">
        <v>3</v>
      </c>
      <c r="C524" s="1" t="s">
        <v>41</v>
      </c>
      <c r="D524" s="2">
        <v>38905</v>
      </c>
      <c r="E524" s="1">
        <v>188</v>
      </c>
      <c r="F524" s="1">
        <v>2</v>
      </c>
      <c r="G524" s="3">
        <v>0.28978009259259258</v>
      </c>
      <c r="H524" s="3">
        <v>0.29788194444444444</v>
      </c>
      <c r="I524" s="3">
        <v>8.1018518518518601E-3</v>
      </c>
      <c r="J524" s="3">
        <v>2.9050925925926396E-3</v>
      </c>
      <c r="K524" s="5">
        <f t="shared" si="79"/>
        <v>251</v>
      </c>
      <c r="L524" s="3">
        <v>3.4918981481481481E-2</v>
      </c>
      <c r="N524" s="1" t="s">
        <v>42</v>
      </c>
      <c r="O524" s="1" t="s">
        <v>286</v>
      </c>
      <c r="P524" s="1" t="s">
        <v>227</v>
      </c>
      <c r="Q524" s="1" t="s">
        <v>76</v>
      </c>
      <c r="R524" s="1" t="s">
        <v>76</v>
      </c>
      <c r="S524" s="1" t="s">
        <v>46</v>
      </c>
      <c r="T524" s="1" t="s">
        <v>45</v>
      </c>
      <c r="U524" s="1" t="s">
        <v>66</v>
      </c>
      <c r="V524" s="1" t="s">
        <v>102</v>
      </c>
      <c r="W524" s="1" t="s">
        <v>788</v>
      </c>
      <c r="X524" s="1" t="s">
        <v>96</v>
      </c>
      <c r="AB524" s="1" t="s">
        <v>504</v>
      </c>
      <c r="AC524" s="1">
        <v>0</v>
      </c>
      <c r="AD524" s="1" t="s">
        <v>105</v>
      </c>
      <c r="AE524" s="1" t="s">
        <v>70</v>
      </c>
      <c r="AF524" s="1" t="s">
        <v>113</v>
      </c>
      <c r="AG524" s="1" t="s">
        <v>740</v>
      </c>
      <c r="AH524" s="1" t="s">
        <v>157</v>
      </c>
      <c r="AI524" s="1" t="s">
        <v>71</v>
      </c>
      <c r="AK524" s="1" t="s">
        <v>86</v>
      </c>
      <c r="AL524" s="1" t="s">
        <v>86</v>
      </c>
      <c r="AM524" s="1">
        <v>3</v>
      </c>
      <c r="AN524" s="1">
        <v>0</v>
      </c>
      <c r="AO524" s="1">
        <f t="shared" si="80"/>
        <v>3</v>
      </c>
    </row>
    <row r="525" spans="1:41" x14ac:dyDescent="0.4">
      <c r="A525" s="1">
        <v>1</v>
      </c>
      <c r="B525" s="1">
        <v>3</v>
      </c>
      <c r="C525" s="1" t="s">
        <v>41</v>
      </c>
      <c r="D525" s="2">
        <v>38905</v>
      </c>
      <c r="E525" s="1">
        <v>188</v>
      </c>
      <c r="F525" s="1">
        <v>4</v>
      </c>
      <c r="G525" s="3">
        <v>0.33280092592592592</v>
      </c>
      <c r="H525" s="3">
        <v>0.33329861111111109</v>
      </c>
      <c r="I525" s="3">
        <v>4.9768518518517046E-4</v>
      </c>
      <c r="J525" s="3">
        <v>4.9768518518517046E-4</v>
      </c>
      <c r="K525" s="5">
        <f t="shared" si="79"/>
        <v>43</v>
      </c>
      <c r="L525" s="3">
        <v>0.11270833333333341</v>
      </c>
      <c r="N525" s="1" t="s">
        <v>42</v>
      </c>
      <c r="O525" s="1" t="s">
        <v>286</v>
      </c>
      <c r="P525" s="1" t="s">
        <v>227</v>
      </c>
      <c r="Q525" s="1" t="s">
        <v>132</v>
      </c>
      <c r="R525" s="1" t="s">
        <v>76</v>
      </c>
      <c r="S525" s="1" t="s">
        <v>46</v>
      </c>
      <c r="T525" s="1" t="s">
        <v>47</v>
      </c>
      <c r="U525" s="1" t="s">
        <v>66</v>
      </c>
      <c r="V525" s="1" t="s">
        <v>49</v>
      </c>
      <c r="W525" s="1" t="s">
        <v>50</v>
      </c>
      <c r="X525" s="1" t="s">
        <v>405</v>
      </c>
      <c r="Y525" s="1" t="s">
        <v>406</v>
      </c>
      <c r="Z525" s="1" t="s">
        <v>407</v>
      </c>
      <c r="AA525" s="1" t="s">
        <v>408</v>
      </c>
      <c r="AB525" s="1" t="s">
        <v>409</v>
      </c>
      <c r="AC525" s="1">
        <v>0</v>
      </c>
      <c r="AD525" s="1" t="s">
        <v>105</v>
      </c>
      <c r="AE525" s="1" t="s">
        <v>181</v>
      </c>
      <c r="AG525" s="1" t="s">
        <v>790</v>
      </c>
      <c r="AH525" s="1" t="s">
        <v>59</v>
      </c>
      <c r="AI525" s="1" t="s">
        <v>71</v>
      </c>
      <c r="AK525" s="1" t="s">
        <v>61</v>
      </c>
      <c r="AL525" s="1" t="s">
        <v>133</v>
      </c>
      <c r="AM525" s="1">
        <v>1</v>
      </c>
      <c r="AN525" s="1">
        <v>0</v>
      </c>
      <c r="AO525" s="1">
        <f t="shared" si="80"/>
        <v>1</v>
      </c>
    </row>
    <row r="526" spans="1:41" x14ac:dyDescent="0.4">
      <c r="A526" s="1">
        <v>1</v>
      </c>
      <c r="B526" s="1">
        <v>3</v>
      </c>
      <c r="C526" s="1" t="s">
        <v>41</v>
      </c>
      <c r="D526" s="2">
        <v>38905</v>
      </c>
      <c r="E526" s="1">
        <v>188</v>
      </c>
      <c r="F526" s="1">
        <v>7</v>
      </c>
      <c r="G526" s="3">
        <v>0.4460069444444445</v>
      </c>
      <c r="H526" s="3">
        <v>0.44726851851851851</v>
      </c>
      <c r="I526" s="3">
        <v>1.2615740740740122E-3</v>
      </c>
      <c r="J526" s="3">
        <v>1.2615740740740122E-3</v>
      </c>
      <c r="K526" s="5">
        <f t="shared" si="79"/>
        <v>109</v>
      </c>
      <c r="L526" s="3">
        <v>5.5960648148148218E-2</v>
      </c>
      <c r="N526" s="1" t="s">
        <v>42</v>
      </c>
      <c r="O526" s="1" t="s">
        <v>286</v>
      </c>
      <c r="P526" s="1" t="s">
        <v>227</v>
      </c>
      <c r="Q526" s="1" t="s">
        <v>45</v>
      </c>
      <c r="R526" s="1" t="s">
        <v>45</v>
      </c>
      <c r="S526" s="1" t="s">
        <v>46</v>
      </c>
      <c r="T526" s="1" t="s">
        <v>76</v>
      </c>
      <c r="U526" s="1" t="s">
        <v>66</v>
      </c>
      <c r="V526" s="1" t="s">
        <v>102</v>
      </c>
      <c r="W526" s="1" t="s">
        <v>686</v>
      </c>
      <c r="X526" s="1" t="s">
        <v>791</v>
      </c>
      <c r="Y526" s="1" t="s">
        <v>792</v>
      </c>
      <c r="Z526" s="1" t="s">
        <v>793</v>
      </c>
      <c r="AA526" s="1" t="s">
        <v>794</v>
      </c>
      <c r="AB526" s="1" t="s">
        <v>795</v>
      </c>
      <c r="AC526" s="1">
        <v>0</v>
      </c>
      <c r="AD526" s="1" t="s">
        <v>105</v>
      </c>
      <c r="AE526" s="1" t="s">
        <v>70</v>
      </c>
      <c r="AG526" s="1" t="s">
        <v>796</v>
      </c>
      <c r="AH526" s="1" t="s">
        <v>157</v>
      </c>
      <c r="AI526" s="1" t="s">
        <v>71</v>
      </c>
      <c r="AK526" s="1" t="s">
        <v>86</v>
      </c>
      <c r="AL526" s="1" t="s">
        <v>133</v>
      </c>
      <c r="AM526" s="1">
        <v>1</v>
      </c>
      <c r="AN526" s="1">
        <v>0</v>
      </c>
      <c r="AO526" s="1">
        <f t="shared" si="80"/>
        <v>1</v>
      </c>
    </row>
    <row r="527" spans="1:41" x14ac:dyDescent="0.4">
      <c r="A527" s="1">
        <v>1</v>
      </c>
      <c r="B527" s="1">
        <v>3</v>
      </c>
      <c r="C527" s="1" t="s">
        <v>41</v>
      </c>
      <c r="D527" s="2">
        <v>38905</v>
      </c>
      <c r="E527" s="1">
        <v>188</v>
      </c>
      <c r="F527" s="1">
        <v>8</v>
      </c>
      <c r="G527" s="3">
        <v>0.50322916666666673</v>
      </c>
      <c r="H527" s="3">
        <v>0.50760416666666663</v>
      </c>
      <c r="I527" s="3">
        <v>4.3749999999999067E-3</v>
      </c>
      <c r="J527" s="3">
        <v>4.3749999999999067E-3</v>
      </c>
      <c r="K527" s="5">
        <f t="shared" si="79"/>
        <v>378</v>
      </c>
      <c r="L527" s="3">
        <v>0</v>
      </c>
      <c r="N527" s="1" t="s">
        <v>42</v>
      </c>
      <c r="O527" s="1" t="s">
        <v>286</v>
      </c>
      <c r="P527" s="1" t="s">
        <v>227</v>
      </c>
      <c r="Q527" s="1" t="s">
        <v>45</v>
      </c>
      <c r="R527" s="1" t="s">
        <v>45</v>
      </c>
      <c r="S527" s="1" t="s">
        <v>46</v>
      </c>
      <c r="T527" s="1" t="s">
        <v>45</v>
      </c>
      <c r="U527" s="1" t="s">
        <v>156</v>
      </c>
      <c r="V527" s="1" t="s">
        <v>49</v>
      </c>
      <c r="W527" s="1" t="s">
        <v>77</v>
      </c>
      <c r="X527" s="1" t="s">
        <v>538</v>
      </c>
      <c r="Y527" s="1" t="s">
        <v>276</v>
      </c>
      <c r="Z527" s="1" t="s">
        <v>277</v>
      </c>
      <c r="AA527" s="1">
        <v>1</v>
      </c>
      <c r="AB527" s="1" t="s">
        <v>539</v>
      </c>
      <c r="AC527" s="1">
        <v>0</v>
      </c>
      <c r="AD527" s="1" t="s">
        <v>56</v>
      </c>
      <c r="AE527" s="1" t="s">
        <v>181</v>
      </c>
      <c r="AG527" s="1" t="s">
        <v>797</v>
      </c>
      <c r="AH527" s="1" t="s">
        <v>115</v>
      </c>
      <c r="AI527" s="1" t="s">
        <v>75</v>
      </c>
      <c r="AK527" s="1" t="s">
        <v>86</v>
      </c>
      <c r="AL527" s="1" t="s">
        <v>133</v>
      </c>
      <c r="AM527" s="1">
        <v>1</v>
      </c>
      <c r="AN527" s="1">
        <v>0</v>
      </c>
      <c r="AO527" s="1">
        <f t="shared" si="80"/>
        <v>1</v>
      </c>
    </row>
    <row r="528" spans="1:41" x14ac:dyDescent="0.4">
      <c r="A528" s="1">
        <v>1</v>
      </c>
      <c r="B528" s="1">
        <v>3</v>
      </c>
      <c r="C528" s="1" t="s">
        <v>41</v>
      </c>
      <c r="D528" s="2">
        <v>38905</v>
      </c>
      <c r="E528" s="1">
        <v>188</v>
      </c>
      <c r="F528" s="1">
        <v>9</v>
      </c>
      <c r="G528" s="3">
        <v>0.50760416666666663</v>
      </c>
      <c r="H528" s="3">
        <v>0.50918981481481485</v>
      </c>
      <c r="I528" s="3">
        <v>1.585648148148211E-3</v>
      </c>
      <c r="J528" s="3">
        <v>1.585648148148211E-3</v>
      </c>
      <c r="K528" s="5">
        <f t="shared" si="79"/>
        <v>137</v>
      </c>
      <c r="L528" s="3">
        <v>3.2407407407407662E-3</v>
      </c>
      <c r="N528" s="1" t="s">
        <v>42</v>
      </c>
      <c r="O528" s="1" t="s">
        <v>286</v>
      </c>
      <c r="P528" s="1" t="s">
        <v>227</v>
      </c>
      <c r="Q528" s="1" t="s">
        <v>45</v>
      </c>
      <c r="R528" s="1" t="s">
        <v>45</v>
      </c>
      <c r="S528" s="1" t="s">
        <v>46</v>
      </c>
      <c r="T528" s="1" t="s">
        <v>45</v>
      </c>
      <c r="U528" s="1" t="s">
        <v>66</v>
      </c>
      <c r="V528" s="1" t="s">
        <v>102</v>
      </c>
      <c r="W528" s="1" t="s">
        <v>788</v>
      </c>
      <c r="X528" s="1" t="s">
        <v>798</v>
      </c>
      <c r="Y528" s="1" t="s">
        <v>52</v>
      </c>
      <c r="Z528" s="1" t="s">
        <v>799</v>
      </c>
      <c r="AA528" s="1" t="s">
        <v>800</v>
      </c>
      <c r="AB528" s="1" t="s">
        <v>801</v>
      </c>
      <c r="AC528" s="1">
        <v>0</v>
      </c>
      <c r="AD528" s="1" t="s">
        <v>56</v>
      </c>
      <c r="AE528" s="1" t="s">
        <v>83</v>
      </c>
      <c r="AG528" s="1" t="s">
        <v>802</v>
      </c>
      <c r="AH528" s="1" t="s">
        <v>157</v>
      </c>
      <c r="AI528" s="1" t="s">
        <v>71</v>
      </c>
      <c r="AK528" s="1" t="s">
        <v>86</v>
      </c>
      <c r="AL528" s="1" t="s">
        <v>133</v>
      </c>
      <c r="AM528" s="1">
        <v>2</v>
      </c>
      <c r="AN528" s="1">
        <v>0</v>
      </c>
      <c r="AO528" s="1">
        <f t="shared" si="80"/>
        <v>2</v>
      </c>
    </row>
    <row r="529" spans="1:41" x14ac:dyDescent="0.4">
      <c r="A529" s="1">
        <v>1</v>
      </c>
      <c r="B529" s="1">
        <v>3</v>
      </c>
      <c r="C529" s="1" t="s">
        <v>41</v>
      </c>
      <c r="D529" s="2">
        <v>38905</v>
      </c>
      <c r="E529" s="1">
        <v>188</v>
      </c>
      <c r="F529" s="1">
        <v>10</v>
      </c>
      <c r="G529" s="3">
        <v>0.51243055555555561</v>
      </c>
      <c r="H529" s="3">
        <v>0.51306712962962964</v>
      </c>
      <c r="I529" s="3">
        <v>6.3657407407402555E-4</v>
      </c>
      <c r="J529" s="3">
        <v>6.3657407407402555E-4</v>
      </c>
      <c r="K529" s="5">
        <f t="shared" si="79"/>
        <v>55</v>
      </c>
      <c r="L529" s="3">
        <v>3.8657407407407529E-3</v>
      </c>
      <c r="N529" s="1" t="s">
        <v>42</v>
      </c>
      <c r="O529" s="1" t="s">
        <v>286</v>
      </c>
      <c r="P529" s="1" t="s">
        <v>227</v>
      </c>
      <c r="Q529" s="1" t="s">
        <v>45</v>
      </c>
      <c r="R529" s="1" t="s">
        <v>76</v>
      </c>
      <c r="S529" s="1" t="s">
        <v>46</v>
      </c>
      <c r="T529" s="1" t="s">
        <v>45</v>
      </c>
      <c r="U529" s="1" t="s">
        <v>92</v>
      </c>
      <c r="V529" s="1" t="s">
        <v>297</v>
      </c>
      <c r="W529" s="1" t="s">
        <v>167</v>
      </c>
      <c r="X529" s="1" t="s">
        <v>803</v>
      </c>
      <c r="Y529" s="1" t="s">
        <v>79</v>
      </c>
      <c r="Z529" s="1" t="s">
        <v>804</v>
      </c>
      <c r="AA529" s="1" t="s">
        <v>805</v>
      </c>
      <c r="AB529" s="1" t="s">
        <v>806</v>
      </c>
      <c r="AC529" s="1">
        <v>0</v>
      </c>
      <c r="AD529" s="1" t="s">
        <v>56</v>
      </c>
      <c r="AE529" s="1" t="s">
        <v>83</v>
      </c>
      <c r="AG529" s="1" t="s">
        <v>807</v>
      </c>
      <c r="AH529" s="1" t="s">
        <v>157</v>
      </c>
      <c r="AI529" s="1" t="s">
        <v>75</v>
      </c>
      <c r="AK529" s="1" t="s">
        <v>86</v>
      </c>
      <c r="AL529" s="1" t="s">
        <v>133</v>
      </c>
      <c r="AM529" s="1">
        <v>1</v>
      </c>
      <c r="AN529" s="1">
        <v>0</v>
      </c>
      <c r="AO529" s="1">
        <f t="shared" si="80"/>
        <v>1</v>
      </c>
    </row>
    <row r="530" spans="1:41" x14ac:dyDescent="0.4">
      <c r="A530" s="1">
        <v>1</v>
      </c>
      <c r="B530" s="1">
        <v>3</v>
      </c>
      <c r="C530" s="1" t="s">
        <v>41</v>
      </c>
      <c r="D530" s="2">
        <v>38905</v>
      </c>
      <c r="E530" s="1">
        <v>188</v>
      </c>
      <c r="F530" s="1">
        <v>11</v>
      </c>
      <c r="G530" s="3">
        <v>0.51693287037037039</v>
      </c>
      <c r="H530" s="3">
        <v>0.51752314814814815</v>
      </c>
      <c r="I530" s="3">
        <v>5.9027777777775903E-4</v>
      </c>
      <c r="J530" s="3">
        <v>5.9027777777775903E-4</v>
      </c>
      <c r="K530" s="5">
        <f t="shared" si="79"/>
        <v>51</v>
      </c>
      <c r="L530" s="3">
        <v>6.8865740740741144E-3</v>
      </c>
      <c r="N530" s="1" t="s">
        <v>42</v>
      </c>
      <c r="O530" s="1" t="s">
        <v>286</v>
      </c>
      <c r="P530" s="1" t="s">
        <v>227</v>
      </c>
      <c r="Q530" s="1" t="s">
        <v>45</v>
      </c>
      <c r="R530" s="1" t="s">
        <v>45</v>
      </c>
      <c r="S530" s="1" t="s">
        <v>46</v>
      </c>
      <c r="T530" s="1" t="s">
        <v>45</v>
      </c>
      <c r="U530" s="1" t="s">
        <v>48</v>
      </c>
      <c r="V530" s="1" t="s">
        <v>102</v>
      </c>
      <c r="W530" s="1" t="s">
        <v>788</v>
      </c>
      <c r="X530" s="1" t="s">
        <v>659</v>
      </c>
      <c r="AB530" s="1" t="s">
        <v>504</v>
      </c>
      <c r="AC530" s="1">
        <v>0</v>
      </c>
      <c r="AD530" s="1" t="s">
        <v>105</v>
      </c>
      <c r="AE530" s="1" t="s">
        <v>181</v>
      </c>
      <c r="AG530" s="1" t="s">
        <v>808</v>
      </c>
      <c r="AH530" s="1" t="s">
        <v>157</v>
      </c>
      <c r="AI530" s="1" t="s">
        <v>60</v>
      </c>
      <c r="AK530" s="1" t="s">
        <v>86</v>
      </c>
      <c r="AL530" s="1" t="s">
        <v>133</v>
      </c>
      <c r="AM530" s="1">
        <v>2</v>
      </c>
      <c r="AN530" s="1">
        <v>0</v>
      </c>
      <c r="AO530" s="1">
        <f t="shared" si="80"/>
        <v>2</v>
      </c>
    </row>
    <row r="531" spans="1:41" x14ac:dyDescent="0.4">
      <c r="A531" s="1">
        <v>1</v>
      </c>
      <c r="B531" s="1">
        <v>3</v>
      </c>
      <c r="C531" s="1" t="s">
        <v>41</v>
      </c>
      <c r="D531" s="2">
        <v>38905</v>
      </c>
      <c r="E531" s="1">
        <v>188</v>
      </c>
      <c r="F531" s="1">
        <v>11.5</v>
      </c>
      <c r="G531" s="3">
        <v>0.52440972222222226</v>
      </c>
      <c r="H531" s="3">
        <v>0.52444444444444438</v>
      </c>
      <c r="I531" s="3">
        <v>3.4722222222116628E-5</v>
      </c>
      <c r="J531" s="3">
        <v>3.4722222222116628E-5</v>
      </c>
      <c r="K531" s="5">
        <f t="shared" si="79"/>
        <v>3</v>
      </c>
      <c r="L531" s="3">
        <v>7.3912037037037082E-2</v>
      </c>
      <c r="N531" s="1" t="s">
        <v>42</v>
      </c>
      <c r="O531" s="1" t="s">
        <v>286</v>
      </c>
      <c r="P531" s="1" t="s">
        <v>227</v>
      </c>
      <c r="Q531" s="1" t="s">
        <v>132</v>
      </c>
      <c r="R531" s="1" t="s">
        <v>76</v>
      </c>
      <c r="S531" s="1" t="s">
        <v>46</v>
      </c>
      <c r="T531" s="1" t="s">
        <v>76</v>
      </c>
      <c r="U531" s="1" t="s">
        <v>156</v>
      </c>
      <c r="AB531" s="1" t="s">
        <v>93</v>
      </c>
      <c r="AC531" s="1">
        <v>1</v>
      </c>
      <c r="AI531" s="1" t="s">
        <v>75</v>
      </c>
      <c r="AK531" s="1" t="s">
        <v>86</v>
      </c>
      <c r="AL531" s="1" t="s">
        <v>133</v>
      </c>
      <c r="AN531" s="1">
        <v>1</v>
      </c>
      <c r="AO531" s="1">
        <f t="shared" si="80"/>
        <v>1</v>
      </c>
    </row>
    <row r="532" spans="1:41" x14ac:dyDescent="0.4">
      <c r="A532" s="1">
        <v>1</v>
      </c>
      <c r="B532" s="1">
        <v>3</v>
      </c>
      <c r="C532" s="1" t="s">
        <v>41</v>
      </c>
      <c r="D532" s="2">
        <v>38905</v>
      </c>
      <c r="E532" s="1">
        <v>188</v>
      </c>
      <c r="F532" s="1">
        <v>16</v>
      </c>
      <c r="G532" s="3">
        <v>0.59835648148148146</v>
      </c>
      <c r="H532" s="3">
        <v>0.60613425925925923</v>
      </c>
      <c r="I532" s="3">
        <v>7.7777777777777724E-3</v>
      </c>
      <c r="J532" s="3">
        <v>7.6736111111112004E-3</v>
      </c>
      <c r="K532" s="5">
        <f t="shared" si="79"/>
        <v>663</v>
      </c>
      <c r="L532" s="3">
        <v>0</v>
      </c>
      <c r="N532" s="1" t="s">
        <v>42</v>
      </c>
      <c r="O532" s="1" t="s">
        <v>286</v>
      </c>
      <c r="P532" s="1" t="s">
        <v>227</v>
      </c>
      <c r="Q532" s="1" t="s">
        <v>45</v>
      </c>
      <c r="R532" s="1" t="s">
        <v>76</v>
      </c>
      <c r="S532" s="1" t="s">
        <v>46</v>
      </c>
      <c r="T532" s="1" t="s">
        <v>45</v>
      </c>
      <c r="U532" s="1" t="s">
        <v>156</v>
      </c>
      <c r="V532" s="1" t="s">
        <v>49</v>
      </c>
      <c r="W532" s="1" t="s">
        <v>233</v>
      </c>
      <c r="X532" s="1" t="s">
        <v>783</v>
      </c>
      <c r="Y532" s="1" t="s">
        <v>725</v>
      </c>
      <c r="Z532" s="1" t="s">
        <v>726</v>
      </c>
      <c r="AA532" s="1" t="s">
        <v>784</v>
      </c>
      <c r="AB532" s="1" t="s">
        <v>785</v>
      </c>
      <c r="AC532" s="1">
        <v>0</v>
      </c>
      <c r="AD532" s="1" t="s">
        <v>56</v>
      </c>
      <c r="AE532" s="1" t="s">
        <v>83</v>
      </c>
      <c r="AF532" s="1" t="s">
        <v>113</v>
      </c>
      <c r="AG532" s="1" t="s">
        <v>786</v>
      </c>
      <c r="AH532" s="1" t="s">
        <v>206</v>
      </c>
      <c r="AI532" s="1" t="s">
        <v>75</v>
      </c>
      <c r="AK532" s="1" t="s">
        <v>116</v>
      </c>
      <c r="AL532" s="1" t="s">
        <v>117</v>
      </c>
      <c r="AM532" s="1">
        <v>2</v>
      </c>
      <c r="AN532" s="1">
        <v>0</v>
      </c>
      <c r="AO532" s="1">
        <f t="shared" si="80"/>
        <v>2</v>
      </c>
    </row>
    <row r="533" spans="1:41" x14ac:dyDescent="0.4">
      <c r="A533" s="1">
        <v>1</v>
      </c>
      <c r="B533" s="1">
        <v>3</v>
      </c>
      <c r="C533" s="1" t="s">
        <v>41</v>
      </c>
      <c r="D533" s="2">
        <v>38905</v>
      </c>
      <c r="E533" s="1">
        <v>188</v>
      </c>
      <c r="F533" s="1">
        <v>17</v>
      </c>
      <c r="G533" s="3">
        <v>0.60613425925925923</v>
      </c>
      <c r="H533" s="3">
        <v>0.60870370370370364</v>
      </c>
      <c r="I533" s="3">
        <v>2.569444444444402E-3</v>
      </c>
      <c r="J533" s="3">
        <v>2.569444444444402E-3</v>
      </c>
      <c r="K533" s="5">
        <f t="shared" si="79"/>
        <v>222</v>
      </c>
      <c r="L533" s="3">
        <v>8.4375000000000977E-3</v>
      </c>
      <c r="N533" s="1" t="s">
        <v>42</v>
      </c>
      <c r="O533" s="1" t="s">
        <v>286</v>
      </c>
      <c r="P533" s="1" t="s">
        <v>227</v>
      </c>
      <c r="Q533" s="1" t="s">
        <v>76</v>
      </c>
      <c r="R533" s="1" t="s">
        <v>76</v>
      </c>
      <c r="S533" s="1" t="s">
        <v>46</v>
      </c>
      <c r="T533" s="1" t="s">
        <v>76</v>
      </c>
      <c r="U533" s="1" t="s">
        <v>66</v>
      </c>
      <c r="V533" s="1" t="s">
        <v>102</v>
      </c>
      <c r="W533" s="1" t="s">
        <v>103</v>
      </c>
      <c r="X533" s="1" t="s">
        <v>275</v>
      </c>
      <c r="Y533" s="1" t="s">
        <v>52</v>
      </c>
      <c r="Z533" s="1" t="s">
        <v>325</v>
      </c>
      <c r="AA533" s="1" t="s">
        <v>326</v>
      </c>
      <c r="AB533" s="1" t="s">
        <v>327</v>
      </c>
      <c r="AC533" s="1">
        <v>0</v>
      </c>
      <c r="AD533" s="1" t="s">
        <v>56</v>
      </c>
      <c r="AE533" s="1" t="s">
        <v>57</v>
      </c>
      <c r="AG533" s="1" t="s">
        <v>809</v>
      </c>
      <c r="AH533" s="1" t="s">
        <v>157</v>
      </c>
      <c r="AI533" s="1" t="s">
        <v>71</v>
      </c>
      <c r="AK533" s="1" t="s">
        <v>116</v>
      </c>
      <c r="AL533" s="1" t="s">
        <v>174</v>
      </c>
      <c r="AM533" s="1">
        <v>1</v>
      </c>
      <c r="AN533" s="1">
        <v>0</v>
      </c>
      <c r="AO533" s="1">
        <f t="shared" si="80"/>
        <v>1</v>
      </c>
    </row>
    <row r="534" spans="1:41" x14ac:dyDescent="0.4">
      <c r="A534" s="1">
        <v>1</v>
      </c>
      <c r="B534" s="1">
        <v>3</v>
      </c>
      <c r="C534" s="1" t="s">
        <v>41</v>
      </c>
      <c r="D534" s="2">
        <v>38905</v>
      </c>
      <c r="E534" s="1">
        <v>188</v>
      </c>
      <c r="F534" s="1">
        <v>17.2</v>
      </c>
      <c r="G534" s="3">
        <v>0.61714120370370373</v>
      </c>
      <c r="H534" s="3">
        <v>0.61746527777777771</v>
      </c>
      <c r="I534" s="3">
        <v>3.240740740739767E-4</v>
      </c>
      <c r="J534" s="3">
        <v>1.157407407406108E-4</v>
      </c>
      <c r="K534" s="5">
        <f t="shared" si="79"/>
        <v>10</v>
      </c>
      <c r="L534" s="3">
        <v>5.8912037037037734E-3</v>
      </c>
      <c r="N534" s="1" t="s">
        <v>42</v>
      </c>
      <c r="O534" s="1" t="s">
        <v>286</v>
      </c>
      <c r="P534" s="1" t="s">
        <v>227</v>
      </c>
      <c r="Q534" s="1" t="s">
        <v>45</v>
      </c>
      <c r="R534" s="1" t="s">
        <v>45</v>
      </c>
      <c r="S534" s="1" t="s">
        <v>46</v>
      </c>
      <c r="T534" s="1" t="s">
        <v>45</v>
      </c>
      <c r="U534" s="1" t="s">
        <v>156</v>
      </c>
      <c r="AB534" s="1" t="s">
        <v>93</v>
      </c>
      <c r="AC534" s="1">
        <v>1</v>
      </c>
      <c r="AI534" s="1" t="s">
        <v>75</v>
      </c>
      <c r="AK534" s="1" t="s">
        <v>86</v>
      </c>
      <c r="AL534" s="1" t="s">
        <v>133</v>
      </c>
      <c r="AN534" s="1">
        <v>1</v>
      </c>
      <c r="AO534" s="1">
        <f t="shared" si="80"/>
        <v>1</v>
      </c>
    </row>
    <row r="535" spans="1:41" x14ac:dyDescent="0.4">
      <c r="A535" s="1">
        <v>1</v>
      </c>
      <c r="B535" s="1">
        <v>3</v>
      </c>
      <c r="C535" s="1" t="s">
        <v>41</v>
      </c>
      <c r="D535" s="2">
        <v>38905</v>
      </c>
      <c r="E535" s="1">
        <v>188</v>
      </c>
      <c r="F535" s="1">
        <v>17.399999999999999</v>
      </c>
      <c r="G535" s="3">
        <v>0.62335648148148148</v>
      </c>
      <c r="H535" s="3">
        <v>0.62342592592592594</v>
      </c>
      <c r="I535" s="3">
        <v>6.94444444444553E-5</v>
      </c>
      <c r="J535" s="3">
        <v>6.94444444444553E-5</v>
      </c>
      <c r="K535" s="5">
        <f t="shared" si="79"/>
        <v>6</v>
      </c>
      <c r="L535" s="3">
        <v>2.2337962962962754E-3</v>
      </c>
      <c r="N535" s="1" t="s">
        <v>42</v>
      </c>
      <c r="O535" s="1" t="s">
        <v>286</v>
      </c>
      <c r="P535" s="1" t="s">
        <v>227</v>
      </c>
      <c r="R535" s="1" t="s">
        <v>45</v>
      </c>
      <c r="S535" s="1" t="s">
        <v>46</v>
      </c>
      <c r="T535" s="1" t="s">
        <v>45</v>
      </c>
      <c r="U535" s="1" t="s">
        <v>92</v>
      </c>
      <c r="AB535" s="1" t="s">
        <v>93</v>
      </c>
      <c r="AC535" s="1">
        <v>1</v>
      </c>
      <c r="AI535" s="1" t="s">
        <v>75</v>
      </c>
      <c r="AK535" s="1" t="s">
        <v>86</v>
      </c>
      <c r="AL535" s="1" t="s">
        <v>133</v>
      </c>
      <c r="AN535" s="1">
        <v>1</v>
      </c>
      <c r="AO535" s="1">
        <f t="shared" si="80"/>
        <v>1</v>
      </c>
    </row>
    <row r="536" spans="1:41" x14ac:dyDescent="0.4">
      <c r="A536" s="1">
        <v>1</v>
      </c>
      <c r="B536" s="1">
        <v>3</v>
      </c>
      <c r="C536" s="1" t="s">
        <v>41</v>
      </c>
      <c r="D536" s="2">
        <v>38905</v>
      </c>
      <c r="E536" s="1">
        <v>188</v>
      </c>
      <c r="F536" s="1">
        <v>19</v>
      </c>
      <c r="G536" s="3">
        <v>0.62565972222222221</v>
      </c>
      <c r="H536" s="3">
        <v>0.62826388888888884</v>
      </c>
      <c r="I536" s="3">
        <v>2.6041666666666297E-3</v>
      </c>
      <c r="J536" s="3">
        <v>2.6041666666666297E-3</v>
      </c>
      <c r="K536" s="5">
        <f t="shared" si="79"/>
        <v>225</v>
      </c>
      <c r="L536" s="3">
        <v>6.7013888888889372E-3</v>
      </c>
      <c r="N536" s="1" t="s">
        <v>42</v>
      </c>
      <c r="O536" s="1" t="s">
        <v>286</v>
      </c>
      <c r="P536" s="1" t="s">
        <v>227</v>
      </c>
      <c r="Q536" s="1" t="s">
        <v>45</v>
      </c>
      <c r="R536" s="1" t="s">
        <v>45</v>
      </c>
      <c r="S536" s="1" t="s">
        <v>46</v>
      </c>
      <c r="T536" s="1" t="s">
        <v>47</v>
      </c>
      <c r="U536" s="1" t="s">
        <v>92</v>
      </c>
      <c r="V536" s="1" t="s">
        <v>102</v>
      </c>
      <c r="W536" s="1" t="s">
        <v>788</v>
      </c>
      <c r="X536" s="1" t="s">
        <v>96</v>
      </c>
      <c r="AB536" s="1" t="s">
        <v>504</v>
      </c>
      <c r="AC536" s="1">
        <v>0</v>
      </c>
      <c r="AD536" s="1" t="s">
        <v>105</v>
      </c>
      <c r="AE536" s="1" t="s">
        <v>70</v>
      </c>
      <c r="AF536" s="1" t="s">
        <v>213</v>
      </c>
      <c r="AG536" s="1" t="s">
        <v>810</v>
      </c>
      <c r="AH536" s="1" t="s">
        <v>157</v>
      </c>
      <c r="AI536" s="1" t="s">
        <v>75</v>
      </c>
      <c r="AK536" s="1" t="s">
        <v>86</v>
      </c>
      <c r="AL536" s="1" t="s">
        <v>133</v>
      </c>
      <c r="AM536" s="1">
        <v>1</v>
      </c>
      <c r="AN536" s="1">
        <v>0</v>
      </c>
      <c r="AO536" s="1">
        <f t="shared" si="80"/>
        <v>1</v>
      </c>
    </row>
    <row r="537" spans="1:41" x14ac:dyDescent="0.4">
      <c r="A537" s="1">
        <v>1</v>
      </c>
      <c r="B537" s="1">
        <v>3</v>
      </c>
      <c r="C537" s="1" t="s">
        <v>41</v>
      </c>
      <c r="D537" s="2">
        <v>38905</v>
      </c>
      <c r="E537" s="1">
        <v>188</v>
      </c>
      <c r="F537" s="1">
        <v>20</v>
      </c>
      <c r="G537" s="3">
        <v>0.63496527777777778</v>
      </c>
      <c r="H537" s="3">
        <v>0.66454861111111108</v>
      </c>
      <c r="I537" s="3">
        <v>2.9583333333333295E-2</v>
      </c>
      <c r="J537" s="3">
        <v>1.1516203703703654E-2</v>
      </c>
      <c r="K537" s="5">
        <f t="shared" si="79"/>
        <v>995</v>
      </c>
      <c r="L537" s="3">
        <v>1.3136574074074092E-2</v>
      </c>
      <c r="N537" s="1" t="s">
        <v>42</v>
      </c>
      <c r="O537" s="1" t="s">
        <v>286</v>
      </c>
      <c r="P537" s="1" t="s">
        <v>227</v>
      </c>
      <c r="Q537" s="1" t="s">
        <v>45</v>
      </c>
      <c r="R537" s="1" t="s">
        <v>76</v>
      </c>
      <c r="S537" s="1" t="s">
        <v>46</v>
      </c>
      <c r="T537" s="1" t="s">
        <v>45</v>
      </c>
      <c r="U537" s="1" t="s">
        <v>92</v>
      </c>
      <c r="V537" s="1" t="s">
        <v>67</v>
      </c>
      <c r="W537" s="1" t="s">
        <v>67</v>
      </c>
      <c r="X537" s="1" t="s">
        <v>371</v>
      </c>
      <c r="Y537" s="1" t="s">
        <v>303</v>
      </c>
      <c r="Z537" s="1" t="s">
        <v>304</v>
      </c>
      <c r="AA537" s="1" t="s">
        <v>372</v>
      </c>
      <c r="AB537" s="1" t="s">
        <v>373</v>
      </c>
      <c r="AC537" s="1">
        <v>0</v>
      </c>
      <c r="AD537" s="1" t="s">
        <v>68</v>
      </c>
      <c r="AE537" s="1" t="s">
        <v>70</v>
      </c>
      <c r="AF537" s="1" t="s">
        <v>198</v>
      </c>
      <c r="AG537" s="1" t="s">
        <v>811</v>
      </c>
      <c r="AH537" s="1" t="s">
        <v>157</v>
      </c>
      <c r="AI537" s="1" t="s">
        <v>75</v>
      </c>
      <c r="AK537" s="1" t="s">
        <v>86</v>
      </c>
      <c r="AL537" s="1" t="s">
        <v>87</v>
      </c>
      <c r="AM537" s="1">
        <v>1</v>
      </c>
      <c r="AN537" s="1">
        <v>0</v>
      </c>
      <c r="AO537" s="1">
        <f t="shared" si="80"/>
        <v>1</v>
      </c>
    </row>
    <row r="538" spans="1:41" x14ac:dyDescent="0.4">
      <c r="A538" s="1">
        <v>1</v>
      </c>
      <c r="B538" s="1">
        <v>3</v>
      </c>
      <c r="C538" s="1" t="s">
        <v>41</v>
      </c>
      <c r="D538" s="2">
        <v>38905</v>
      </c>
      <c r="E538" s="1">
        <v>188</v>
      </c>
      <c r="F538" s="1">
        <v>20.5</v>
      </c>
      <c r="G538" s="3">
        <v>0.67768518518518517</v>
      </c>
      <c r="H538" s="3">
        <v>0.67776620370370377</v>
      </c>
      <c r="I538" s="3">
        <v>8.1018518518605198E-5</v>
      </c>
      <c r="J538" s="3">
        <v>8.1018518518605198E-5</v>
      </c>
      <c r="K538" s="5">
        <f t="shared" si="79"/>
        <v>7</v>
      </c>
      <c r="L538" s="3">
        <v>6.5972222222221433E-3</v>
      </c>
      <c r="N538" s="1" t="s">
        <v>42</v>
      </c>
      <c r="O538" s="1" t="s">
        <v>286</v>
      </c>
      <c r="P538" s="1" t="s">
        <v>227</v>
      </c>
      <c r="Q538" s="1" t="s">
        <v>45</v>
      </c>
      <c r="R538" s="1" t="s">
        <v>76</v>
      </c>
      <c r="S538" s="1" t="s">
        <v>46</v>
      </c>
      <c r="T538" s="1" t="s">
        <v>45</v>
      </c>
      <c r="U538" s="1" t="s">
        <v>66</v>
      </c>
      <c r="AB538" s="1" t="s">
        <v>93</v>
      </c>
      <c r="AC538" s="1">
        <v>1</v>
      </c>
      <c r="AI538" s="1" t="s">
        <v>71</v>
      </c>
      <c r="AK538" s="1" t="s">
        <v>86</v>
      </c>
      <c r="AL538" s="1" t="s">
        <v>133</v>
      </c>
      <c r="AN538" s="1">
        <v>1</v>
      </c>
      <c r="AO538" s="1">
        <f t="shared" si="80"/>
        <v>1</v>
      </c>
    </row>
    <row r="539" spans="1:41" x14ac:dyDescent="0.4">
      <c r="A539" s="1">
        <v>1</v>
      </c>
      <c r="B539" s="1">
        <v>3</v>
      </c>
      <c r="C539" s="1" t="s">
        <v>41</v>
      </c>
      <c r="D539" s="2">
        <v>38905</v>
      </c>
      <c r="E539" s="1">
        <v>188</v>
      </c>
      <c r="F539" s="1">
        <v>21</v>
      </c>
      <c r="G539" s="3">
        <v>0.68436342592592592</v>
      </c>
      <c r="H539" s="3">
        <v>0.68700231481481477</v>
      </c>
      <c r="I539" s="3">
        <v>2.6388888888888573E-3</v>
      </c>
      <c r="J539" s="3">
        <v>2.5347222222221744E-3</v>
      </c>
      <c r="K539" s="5">
        <f t="shared" si="79"/>
        <v>219</v>
      </c>
      <c r="L539" s="3" t="s">
        <v>120</v>
      </c>
      <c r="N539" s="1" t="s">
        <v>42</v>
      </c>
      <c r="O539" s="1" t="s">
        <v>286</v>
      </c>
      <c r="P539" s="1" t="s">
        <v>227</v>
      </c>
      <c r="Q539" s="1" t="s">
        <v>45</v>
      </c>
      <c r="R539" s="1" t="s">
        <v>191</v>
      </c>
      <c r="S539" s="1" t="s">
        <v>46</v>
      </c>
      <c r="T539" s="1" t="s">
        <v>76</v>
      </c>
      <c r="U539" s="1" t="s">
        <v>66</v>
      </c>
      <c r="V539" s="1" t="s">
        <v>297</v>
      </c>
      <c r="W539" s="1" t="s">
        <v>167</v>
      </c>
      <c r="X539" s="1" t="s">
        <v>803</v>
      </c>
      <c r="Y539" s="1" t="s">
        <v>79</v>
      </c>
      <c r="Z539" s="1" t="s">
        <v>804</v>
      </c>
      <c r="AA539" s="1" t="s">
        <v>805</v>
      </c>
      <c r="AB539" s="1" t="s">
        <v>806</v>
      </c>
      <c r="AC539" s="1">
        <v>0</v>
      </c>
      <c r="AD539" s="1" t="s">
        <v>56</v>
      </c>
      <c r="AE539" s="1" t="s">
        <v>83</v>
      </c>
      <c r="AG539" s="1" t="s">
        <v>812</v>
      </c>
      <c r="AH539" s="1" t="s">
        <v>157</v>
      </c>
      <c r="AI539" s="1" t="s">
        <v>71</v>
      </c>
      <c r="AK539" s="1" t="s">
        <v>61</v>
      </c>
      <c r="AL539" s="1" t="s">
        <v>61</v>
      </c>
      <c r="AM539" s="1">
        <v>1</v>
      </c>
      <c r="AN539" s="1">
        <v>0</v>
      </c>
      <c r="AO539" s="1">
        <f t="shared" si="80"/>
        <v>1</v>
      </c>
    </row>
    <row r="540" spans="1:41" x14ac:dyDescent="0.4">
      <c r="A540" s="1">
        <v>1</v>
      </c>
      <c r="B540" s="1">
        <v>3</v>
      </c>
      <c r="C540" s="1" t="s">
        <v>41</v>
      </c>
      <c r="D540" s="2">
        <v>38912</v>
      </c>
      <c r="E540" s="1">
        <v>195</v>
      </c>
      <c r="F540" s="1">
        <v>0.5</v>
      </c>
      <c r="G540" s="3">
        <v>0.27086805555555554</v>
      </c>
      <c r="H540" s="3">
        <v>0.27108796296296295</v>
      </c>
      <c r="I540" s="3">
        <v>2.1990740740740478E-4</v>
      </c>
      <c r="J540" s="3">
        <v>8.1018518518494176E-5</v>
      </c>
      <c r="K540" s="5">
        <f t="shared" si="79"/>
        <v>7</v>
      </c>
      <c r="L540" s="3">
        <v>1.4918981481481519E-2</v>
      </c>
      <c r="N540" s="1" t="s">
        <v>75</v>
      </c>
      <c r="O540" s="1" t="s">
        <v>286</v>
      </c>
      <c r="P540" s="1" t="s">
        <v>227</v>
      </c>
      <c r="Q540" s="1" t="s">
        <v>76</v>
      </c>
      <c r="R540" s="1" t="s">
        <v>76</v>
      </c>
      <c r="S540" s="1" t="s">
        <v>46</v>
      </c>
      <c r="T540" s="1" t="s">
        <v>47</v>
      </c>
      <c r="U540" s="1" t="s">
        <v>66</v>
      </c>
      <c r="AB540" s="1" t="s">
        <v>93</v>
      </c>
      <c r="AC540" s="1">
        <v>1</v>
      </c>
      <c r="AG540" s="1" t="s">
        <v>813</v>
      </c>
      <c r="AI540" s="1" t="s">
        <v>75</v>
      </c>
      <c r="AK540" s="1" t="s">
        <v>86</v>
      </c>
      <c r="AL540" s="1" t="s">
        <v>133</v>
      </c>
      <c r="AM540" s="1">
        <v>3</v>
      </c>
      <c r="AN540" s="1">
        <v>0</v>
      </c>
      <c r="AO540" s="1">
        <f t="shared" si="80"/>
        <v>3</v>
      </c>
    </row>
    <row r="541" spans="1:41" x14ac:dyDescent="0.4">
      <c r="A541" s="1">
        <v>1</v>
      </c>
      <c r="B541" s="1">
        <v>3</v>
      </c>
      <c r="C541" s="1" t="s">
        <v>41</v>
      </c>
      <c r="D541" s="2">
        <v>38912</v>
      </c>
      <c r="E541" s="1">
        <v>195</v>
      </c>
      <c r="F541" s="1">
        <v>0.7</v>
      </c>
      <c r="G541" s="3">
        <v>0.28600694444444447</v>
      </c>
      <c r="H541" s="3">
        <v>0.28604166666666669</v>
      </c>
      <c r="I541" s="3">
        <v>3.472222222222765E-5</v>
      </c>
      <c r="J541" s="3">
        <v>3.472222222222765E-5</v>
      </c>
      <c r="K541" s="5">
        <f t="shared" si="79"/>
        <v>3</v>
      </c>
      <c r="L541" s="3">
        <v>7.2997685185185124E-2</v>
      </c>
      <c r="N541" s="1" t="s">
        <v>75</v>
      </c>
      <c r="O541" s="1" t="s">
        <v>286</v>
      </c>
      <c r="P541" s="1" t="s">
        <v>227</v>
      </c>
      <c r="Q541" s="1" t="s">
        <v>76</v>
      </c>
      <c r="R541" s="1" t="s">
        <v>76</v>
      </c>
      <c r="S541" s="1" t="s">
        <v>46</v>
      </c>
      <c r="T541" s="1" t="s">
        <v>47</v>
      </c>
      <c r="U541" s="1" t="s">
        <v>92</v>
      </c>
      <c r="AB541" s="1" t="s">
        <v>93</v>
      </c>
      <c r="AC541" s="1">
        <v>1</v>
      </c>
      <c r="AI541" s="1" t="s">
        <v>75</v>
      </c>
      <c r="AK541" s="1" t="s">
        <v>116</v>
      </c>
      <c r="AL541" s="1" t="s">
        <v>174</v>
      </c>
      <c r="AN541" s="1">
        <v>1</v>
      </c>
      <c r="AO541" s="1">
        <f t="shared" si="80"/>
        <v>1</v>
      </c>
    </row>
    <row r="542" spans="1:41" x14ac:dyDescent="0.4">
      <c r="A542" s="1">
        <v>1</v>
      </c>
      <c r="B542" s="1">
        <v>3</v>
      </c>
      <c r="C542" s="1" t="s">
        <v>41</v>
      </c>
      <c r="D542" s="2">
        <v>38912</v>
      </c>
      <c r="E542" s="1">
        <v>195</v>
      </c>
      <c r="F542" s="1">
        <v>4</v>
      </c>
      <c r="G542" s="3">
        <v>0.35903935185185182</v>
      </c>
      <c r="H542" s="3">
        <v>0.36842592592592593</v>
      </c>
      <c r="I542" s="3">
        <v>9.3865740740741166E-3</v>
      </c>
      <c r="J542" s="3">
        <v>5.6597222222221633E-3</v>
      </c>
      <c r="K542" s="5">
        <f t="shared" si="79"/>
        <v>489</v>
      </c>
      <c r="L542" s="3">
        <v>2.5451388888888926E-2</v>
      </c>
      <c r="N542" s="1" t="s">
        <v>42</v>
      </c>
      <c r="O542" s="1" t="s">
        <v>286</v>
      </c>
      <c r="P542" s="1" t="s">
        <v>227</v>
      </c>
      <c r="Q542" s="1" t="s">
        <v>76</v>
      </c>
      <c r="R542" s="1" t="s">
        <v>76</v>
      </c>
      <c r="S542" s="1" t="s">
        <v>46</v>
      </c>
      <c r="T542" s="1" t="s">
        <v>45</v>
      </c>
      <c r="U542" s="1" t="s">
        <v>156</v>
      </c>
      <c r="V542" s="1" t="s">
        <v>49</v>
      </c>
      <c r="W542" s="1" t="s">
        <v>200</v>
      </c>
      <c r="X542" s="1" t="s">
        <v>201</v>
      </c>
      <c r="Y542" s="1" t="s">
        <v>126</v>
      </c>
      <c r="Z542" s="1" t="s">
        <v>202</v>
      </c>
      <c r="AA542" s="1" t="s">
        <v>203</v>
      </c>
      <c r="AB542" s="1" t="s">
        <v>204</v>
      </c>
      <c r="AC542" s="1">
        <v>0</v>
      </c>
      <c r="AD542" s="1" t="s">
        <v>56</v>
      </c>
      <c r="AE542" s="1" t="s">
        <v>83</v>
      </c>
      <c r="AF542" s="1" t="s">
        <v>163</v>
      </c>
      <c r="AG542" s="1" t="s">
        <v>814</v>
      </c>
      <c r="AH542" s="1" t="s">
        <v>206</v>
      </c>
      <c r="AI542" s="1" t="s">
        <v>75</v>
      </c>
      <c r="AK542" s="1" t="s">
        <v>116</v>
      </c>
      <c r="AL542" s="1" t="s">
        <v>155</v>
      </c>
      <c r="AM542" s="1">
        <v>4</v>
      </c>
      <c r="AN542" s="1">
        <v>0</v>
      </c>
      <c r="AO542" s="1">
        <f t="shared" si="80"/>
        <v>4</v>
      </c>
    </row>
    <row r="543" spans="1:41" x14ac:dyDescent="0.4">
      <c r="A543" s="1">
        <v>1</v>
      </c>
      <c r="B543" s="1">
        <v>3</v>
      </c>
      <c r="C543" s="1" t="s">
        <v>41</v>
      </c>
      <c r="D543" s="2">
        <v>38912</v>
      </c>
      <c r="E543" s="1">
        <v>195</v>
      </c>
      <c r="F543" s="1">
        <v>6</v>
      </c>
      <c r="G543" s="3">
        <v>0.39387731481481486</v>
      </c>
      <c r="H543" s="3">
        <v>0.39822916666666663</v>
      </c>
      <c r="I543" s="3">
        <v>4.3518518518517735E-3</v>
      </c>
      <c r="J543" s="3">
        <v>4.3518518518517735E-3</v>
      </c>
      <c r="K543" s="5">
        <f t="shared" si="79"/>
        <v>376</v>
      </c>
      <c r="L543" s="3">
        <v>4.8379629629629606E-3</v>
      </c>
      <c r="N543" s="1" t="s">
        <v>42</v>
      </c>
      <c r="O543" s="1" t="s">
        <v>286</v>
      </c>
      <c r="P543" s="1" t="s">
        <v>227</v>
      </c>
      <c r="Q543" s="1" t="s">
        <v>76</v>
      </c>
      <c r="R543" s="1" t="s">
        <v>76</v>
      </c>
      <c r="S543" s="1" t="s">
        <v>46</v>
      </c>
      <c r="T543" s="1" t="s">
        <v>45</v>
      </c>
      <c r="U543" s="1" t="s">
        <v>156</v>
      </c>
      <c r="V543" s="1" t="s">
        <v>49</v>
      </c>
      <c r="W543" s="1" t="s">
        <v>233</v>
      </c>
      <c r="X543" s="1" t="s">
        <v>783</v>
      </c>
      <c r="Y543" s="1" t="s">
        <v>725</v>
      </c>
      <c r="Z543" s="1" t="s">
        <v>726</v>
      </c>
      <c r="AA543" s="1" t="s">
        <v>784</v>
      </c>
      <c r="AB543" s="1" t="s">
        <v>785</v>
      </c>
      <c r="AC543" s="1">
        <v>0</v>
      </c>
      <c r="AD543" s="1" t="s">
        <v>56</v>
      </c>
      <c r="AE543" s="1" t="s">
        <v>83</v>
      </c>
      <c r="AF543" s="1" t="s">
        <v>163</v>
      </c>
      <c r="AG543" s="1" t="s">
        <v>815</v>
      </c>
      <c r="AH543" s="1" t="s">
        <v>206</v>
      </c>
      <c r="AI543" s="1" t="s">
        <v>75</v>
      </c>
      <c r="AK543" s="1" t="s">
        <v>61</v>
      </c>
      <c r="AL543" s="1" t="s">
        <v>155</v>
      </c>
      <c r="AM543" s="1">
        <v>10</v>
      </c>
      <c r="AN543" s="1">
        <v>0</v>
      </c>
      <c r="AO543" s="1">
        <f t="shared" si="80"/>
        <v>10</v>
      </c>
    </row>
    <row r="544" spans="1:41" x14ac:dyDescent="0.4">
      <c r="A544" s="1">
        <v>1</v>
      </c>
      <c r="B544" s="1">
        <v>3</v>
      </c>
      <c r="C544" s="1" t="s">
        <v>41</v>
      </c>
      <c r="D544" s="2">
        <v>38912</v>
      </c>
      <c r="E544" s="1">
        <v>195</v>
      </c>
      <c r="F544" s="1">
        <v>7</v>
      </c>
      <c r="G544" s="3">
        <v>0.40306712962962959</v>
      </c>
      <c r="H544" s="3">
        <v>0.40475694444444449</v>
      </c>
      <c r="I544" s="3">
        <v>1.6898148148148939E-3</v>
      </c>
      <c r="J544" s="3">
        <v>1.435185185185206E-3</v>
      </c>
      <c r="K544" s="5">
        <f t="shared" si="79"/>
        <v>124</v>
      </c>
      <c r="L544" s="3">
        <v>2.6967592592591627E-3</v>
      </c>
      <c r="N544" s="1" t="s">
        <v>42</v>
      </c>
      <c r="O544" s="1" t="s">
        <v>286</v>
      </c>
      <c r="P544" s="1" t="s">
        <v>227</v>
      </c>
      <c r="Q544" s="1" t="s">
        <v>76</v>
      </c>
      <c r="R544" s="1" t="s">
        <v>76</v>
      </c>
      <c r="S544" s="1" t="s">
        <v>46</v>
      </c>
      <c r="T544" s="1" t="s">
        <v>45</v>
      </c>
      <c r="U544" s="1" t="s">
        <v>66</v>
      </c>
      <c r="V544" s="1" t="s">
        <v>102</v>
      </c>
      <c r="W544" s="1" t="s">
        <v>103</v>
      </c>
      <c r="X544" s="1" t="s">
        <v>96</v>
      </c>
      <c r="AB544" s="1" t="s">
        <v>104</v>
      </c>
      <c r="AC544" s="1">
        <v>0</v>
      </c>
      <c r="AD544" s="1" t="s">
        <v>56</v>
      </c>
      <c r="AE544" s="1" t="s">
        <v>70</v>
      </c>
      <c r="AG544" s="1" t="s">
        <v>816</v>
      </c>
      <c r="AH544" s="1" t="s">
        <v>157</v>
      </c>
      <c r="AI544" s="1" t="s">
        <v>71</v>
      </c>
      <c r="AK544" s="1" t="s">
        <v>86</v>
      </c>
      <c r="AL544" s="1" t="s">
        <v>87</v>
      </c>
      <c r="AM544" s="1">
        <v>1</v>
      </c>
      <c r="AN544" s="1">
        <v>0</v>
      </c>
      <c r="AO544" s="1">
        <f t="shared" si="80"/>
        <v>1</v>
      </c>
    </row>
    <row r="545" spans="1:41" x14ac:dyDescent="0.4">
      <c r="A545" s="1">
        <v>1</v>
      </c>
      <c r="B545" s="1">
        <v>3</v>
      </c>
      <c r="C545" s="1" t="s">
        <v>41</v>
      </c>
      <c r="D545" s="2">
        <v>38912</v>
      </c>
      <c r="E545" s="1">
        <v>195</v>
      </c>
      <c r="F545" s="1">
        <v>8</v>
      </c>
      <c r="G545" s="3">
        <v>0.40745370370370365</v>
      </c>
      <c r="H545" s="3">
        <v>0.41031250000000002</v>
      </c>
      <c r="I545" s="3">
        <v>2.8587962962963731E-3</v>
      </c>
      <c r="J545" s="3">
        <v>2.8587962962963731E-3</v>
      </c>
      <c r="K545" s="5">
        <f t="shared" si="79"/>
        <v>247</v>
      </c>
      <c r="L545" s="3">
        <v>2.9421296296296306E-2</v>
      </c>
      <c r="N545" s="1" t="s">
        <v>42</v>
      </c>
      <c r="O545" s="1" t="s">
        <v>286</v>
      </c>
      <c r="P545" s="1" t="s">
        <v>227</v>
      </c>
      <c r="Q545" s="1" t="s">
        <v>132</v>
      </c>
      <c r="R545" s="1" t="s">
        <v>76</v>
      </c>
      <c r="S545" s="1" t="s">
        <v>46</v>
      </c>
      <c r="T545" s="1" t="s">
        <v>45</v>
      </c>
      <c r="U545" s="1" t="s">
        <v>156</v>
      </c>
      <c r="V545" s="1" t="s">
        <v>49</v>
      </c>
      <c r="W545" s="1" t="s">
        <v>233</v>
      </c>
      <c r="X545" s="1" t="s">
        <v>783</v>
      </c>
      <c r="Y545" s="1" t="s">
        <v>725</v>
      </c>
      <c r="Z545" s="1" t="s">
        <v>726</v>
      </c>
      <c r="AA545" s="1" t="s">
        <v>784</v>
      </c>
      <c r="AB545" s="1" t="s">
        <v>785</v>
      </c>
      <c r="AC545" s="1">
        <v>0</v>
      </c>
      <c r="AD545" s="1" t="s">
        <v>56</v>
      </c>
      <c r="AE545" s="1" t="s">
        <v>83</v>
      </c>
      <c r="AG545" s="1" t="s">
        <v>817</v>
      </c>
      <c r="AH545" s="1" t="s">
        <v>206</v>
      </c>
      <c r="AI545" s="1" t="s">
        <v>75</v>
      </c>
      <c r="AK545" s="1" t="s">
        <v>86</v>
      </c>
      <c r="AL545" s="1" t="s">
        <v>87</v>
      </c>
      <c r="AM545" s="1">
        <v>1</v>
      </c>
      <c r="AN545" s="1">
        <v>0</v>
      </c>
      <c r="AO545" s="1">
        <f t="shared" si="80"/>
        <v>1</v>
      </c>
    </row>
    <row r="546" spans="1:41" x14ac:dyDescent="0.4">
      <c r="A546" s="1">
        <v>1</v>
      </c>
      <c r="B546" s="1">
        <v>3</v>
      </c>
      <c r="C546" s="1" t="s">
        <v>41</v>
      </c>
      <c r="D546" s="2">
        <v>38912</v>
      </c>
      <c r="E546" s="1">
        <v>195</v>
      </c>
      <c r="F546" s="1">
        <v>8.1999999999999993</v>
      </c>
      <c r="G546" s="3">
        <v>0.43973379629629633</v>
      </c>
      <c r="H546" s="3">
        <v>0.4397800925925926</v>
      </c>
      <c r="I546" s="3">
        <v>4.6296296296266526E-5</v>
      </c>
      <c r="J546" s="3">
        <v>4.6296296296266526E-5</v>
      </c>
      <c r="K546" s="5">
        <f t="shared" si="79"/>
        <v>4</v>
      </c>
      <c r="L546" s="3">
        <v>1.4814814814814781E-2</v>
      </c>
      <c r="N546" s="1" t="s">
        <v>42</v>
      </c>
      <c r="O546" s="1" t="s">
        <v>286</v>
      </c>
      <c r="P546" s="1" t="s">
        <v>227</v>
      </c>
      <c r="Q546" s="1" t="s">
        <v>132</v>
      </c>
      <c r="R546" s="1" t="s">
        <v>76</v>
      </c>
      <c r="S546" s="1" t="s">
        <v>46</v>
      </c>
      <c r="T546" s="1" t="s">
        <v>76</v>
      </c>
      <c r="U546" s="1" t="s">
        <v>66</v>
      </c>
      <c r="AB546" s="1" t="s">
        <v>93</v>
      </c>
      <c r="AC546" s="1">
        <v>1</v>
      </c>
      <c r="AG546" s="1" t="s">
        <v>741</v>
      </c>
      <c r="AI546" s="1" t="s">
        <v>71</v>
      </c>
      <c r="AK546" s="1" t="s">
        <v>86</v>
      </c>
      <c r="AL546" s="1" t="s">
        <v>87</v>
      </c>
      <c r="AM546" s="1">
        <v>3</v>
      </c>
      <c r="AN546" s="1">
        <v>0</v>
      </c>
      <c r="AO546" s="1">
        <f t="shared" si="80"/>
        <v>3</v>
      </c>
    </row>
    <row r="547" spans="1:41" x14ac:dyDescent="0.4">
      <c r="A547" s="1">
        <v>1</v>
      </c>
      <c r="B547" s="1">
        <v>3</v>
      </c>
      <c r="C547" s="1" t="s">
        <v>41</v>
      </c>
      <c r="D547" s="2">
        <v>38912</v>
      </c>
      <c r="E547" s="1">
        <v>195</v>
      </c>
      <c r="F547" s="1">
        <v>8.4</v>
      </c>
      <c r="G547" s="3">
        <v>0.45459490740740738</v>
      </c>
      <c r="H547" s="3">
        <v>0.45597222222222222</v>
      </c>
      <c r="I547" s="3">
        <v>1.3773148148148451E-3</v>
      </c>
      <c r="J547" s="3">
        <v>1.0416666666668295E-4</v>
      </c>
      <c r="K547" s="5">
        <f t="shared" si="79"/>
        <v>9</v>
      </c>
      <c r="L547" s="3">
        <v>5.9583333333333321E-2</v>
      </c>
      <c r="N547" s="1" t="s">
        <v>42</v>
      </c>
      <c r="O547" s="1" t="s">
        <v>286</v>
      </c>
      <c r="P547" s="1" t="s">
        <v>227</v>
      </c>
      <c r="Q547" s="1" t="s">
        <v>132</v>
      </c>
      <c r="R547" s="1" t="s">
        <v>76</v>
      </c>
      <c r="S547" s="1" t="s">
        <v>46</v>
      </c>
      <c r="T547" s="1" t="s">
        <v>76</v>
      </c>
      <c r="U547" s="1" t="s">
        <v>66</v>
      </c>
      <c r="AB547" s="1" t="s">
        <v>93</v>
      </c>
      <c r="AC547" s="1">
        <v>1</v>
      </c>
      <c r="AG547" s="1" t="s">
        <v>741</v>
      </c>
      <c r="AI547" s="1" t="s">
        <v>71</v>
      </c>
      <c r="AK547" s="1" t="s">
        <v>86</v>
      </c>
      <c r="AL547" s="1" t="s">
        <v>133</v>
      </c>
      <c r="AM547" s="1">
        <v>3</v>
      </c>
      <c r="AN547" s="1">
        <v>0</v>
      </c>
      <c r="AO547" s="1">
        <f t="shared" si="80"/>
        <v>3</v>
      </c>
    </row>
    <row r="548" spans="1:41" x14ac:dyDescent="0.4">
      <c r="A548" s="1">
        <v>1</v>
      </c>
      <c r="B548" s="1">
        <v>3</v>
      </c>
      <c r="C548" s="1" t="s">
        <v>41</v>
      </c>
      <c r="D548" s="2">
        <v>38912</v>
      </c>
      <c r="E548" s="1">
        <v>195</v>
      </c>
      <c r="F548" s="1">
        <v>14</v>
      </c>
      <c r="G548" s="3">
        <v>0.51555555555555554</v>
      </c>
      <c r="H548" s="3">
        <v>0.51784722222222224</v>
      </c>
      <c r="I548" s="3">
        <v>2.2916666666666918E-3</v>
      </c>
      <c r="J548" s="3">
        <v>2.1180555555554426E-3</v>
      </c>
      <c r="K548" s="5">
        <f t="shared" si="79"/>
        <v>183</v>
      </c>
      <c r="L548" s="3">
        <v>3.0324074074074003E-2</v>
      </c>
      <c r="N548" s="1" t="s">
        <v>42</v>
      </c>
      <c r="O548" s="1" t="s">
        <v>286</v>
      </c>
      <c r="P548" s="1" t="s">
        <v>227</v>
      </c>
      <c r="Q548" s="1" t="s">
        <v>132</v>
      </c>
      <c r="R548" s="1" t="s">
        <v>76</v>
      </c>
      <c r="S548" s="1" t="s">
        <v>46</v>
      </c>
      <c r="T548" s="1" t="s">
        <v>76</v>
      </c>
      <c r="U548" s="1" t="s">
        <v>156</v>
      </c>
      <c r="V548" s="1" t="s">
        <v>102</v>
      </c>
      <c r="W548" s="1" t="s">
        <v>103</v>
      </c>
      <c r="X548" s="1" t="s">
        <v>96</v>
      </c>
      <c r="AB548" s="1" t="s">
        <v>104</v>
      </c>
      <c r="AC548" s="1">
        <v>0</v>
      </c>
      <c r="AD548" s="1" t="s">
        <v>105</v>
      </c>
      <c r="AE548" s="1" t="s">
        <v>70</v>
      </c>
      <c r="AF548" s="1" t="s">
        <v>213</v>
      </c>
      <c r="AH548" s="1" t="s">
        <v>157</v>
      </c>
      <c r="AI548" s="1" t="s">
        <v>75</v>
      </c>
      <c r="AK548" s="1" t="s">
        <v>86</v>
      </c>
      <c r="AL548" s="1" t="s">
        <v>87</v>
      </c>
      <c r="AN548" s="1">
        <v>1</v>
      </c>
      <c r="AO548" s="1">
        <f t="shared" si="80"/>
        <v>1</v>
      </c>
    </row>
    <row r="549" spans="1:41" x14ac:dyDescent="0.4">
      <c r="A549" s="1">
        <v>1</v>
      </c>
      <c r="B549" s="1">
        <v>3</v>
      </c>
      <c r="C549" s="1" t="s">
        <v>41</v>
      </c>
      <c r="D549" s="2">
        <v>38912</v>
      </c>
      <c r="E549" s="1">
        <v>195</v>
      </c>
      <c r="F549" s="1">
        <v>16</v>
      </c>
      <c r="G549" s="3">
        <v>0.54817129629629624</v>
      </c>
      <c r="H549" s="3">
        <v>0.55378472222222219</v>
      </c>
      <c r="I549" s="3">
        <v>5.6134259259259522E-3</v>
      </c>
      <c r="J549" s="3">
        <v>4.259259259259407E-3</v>
      </c>
      <c r="K549" s="5">
        <f t="shared" si="79"/>
        <v>368</v>
      </c>
      <c r="L549" s="3">
        <v>2.0486111111110983E-3</v>
      </c>
      <c r="N549" s="1" t="s">
        <v>42</v>
      </c>
      <c r="O549" s="1" t="s">
        <v>286</v>
      </c>
      <c r="P549" s="1" t="s">
        <v>227</v>
      </c>
      <c r="Q549" s="1" t="s">
        <v>45</v>
      </c>
      <c r="R549" s="1" t="s">
        <v>45</v>
      </c>
      <c r="S549" s="1" t="s">
        <v>46</v>
      </c>
      <c r="T549" s="1" t="s">
        <v>47</v>
      </c>
      <c r="U549" s="1" t="s">
        <v>156</v>
      </c>
      <c r="V549" s="1" t="s">
        <v>49</v>
      </c>
      <c r="W549" s="1" t="s">
        <v>200</v>
      </c>
      <c r="X549" s="1" t="s">
        <v>201</v>
      </c>
      <c r="Y549" s="1" t="s">
        <v>126</v>
      </c>
      <c r="Z549" s="1" t="s">
        <v>202</v>
      </c>
      <c r="AA549" s="1" t="s">
        <v>203</v>
      </c>
      <c r="AB549" s="1" t="s">
        <v>204</v>
      </c>
      <c r="AC549" s="1">
        <v>0</v>
      </c>
      <c r="AD549" s="1" t="s">
        <v>56</v>
      </c>
      <c r="AE549" s="1" t="s">
        <v>83</v>
      </c>
      <c r="AF549" s="1" t="s">
        <v>163</v>
      </c>
      <c r="AG549" s="1" t="s">
        <v>818</v>
      </c>
      <c r="AH549" s="1" t="s">
        <v>206</v>
      </c>
      <c r="AI549" s="1" t="s">
        <v>75</v>
      </c>
      <c r="AK549" s="1" t="s">
        <v>116</v>
      </c>
      <c r="AL549" s="1" t="s">
        <v>117</v>
      </c>
      <c r="AM549" s="1">
        <v>1</v>
      </c>
      <c r="AN549" s="1">
        <v>0</v>
      </c>
      <c r="AO549" s="1">
        <f t="shared" si="80"/>
        <v>1</v>
      </c>
    </row>
    <row r="550" spans="1:41" x14ac:dyDescent="0.4">
      <c r="A550" s="1">
        <v>1</v>
      </c>
      <c r="B550" s="1">
        <v>3</v>
      </c>
      <c r="C550" s="1" t="s">
        <v>41</v>
      </c>
      <c r="D550" s="2">
        <v>38912</v>
      </c>
      <c r="E550" s="1">
        <v>195</v>
      </c>
      <c r="F550" s="1">
        <v>17</v>
      </c>
      <c r="G550" s="3">
        <v>0.55583333333333329</v>
      </c>
      <c r="H550" s="3">
        <v>0.55664351851851845</v>
      </c>
      <c r="I550" s="3">
        <v>8.101851851851638E-4</v>
      </c>
      <c r="J550" s="3">
        <v>8.101851851851638E-4</v>
      </c>
      <c r="K550" s="5">
        <f t="shared" si="79"/>
        <v>70</v>
      </c>
      <c r="L550" s="3">
        <v>7.118055555555669E-3</v>
      </c>
      <c r="N550" s="1" t="s">
        <v>42</v>
      </c>
      <c r="O550" s="1" t="s">
        <v>286</v>
      </c>
      <c r="P550" s="1" t="s">
        <v>227</v>
      </c>
      <c r="Q550" s="1" t="s">
        <v>132</v>
      </c>
      <c r="R550" s="1" t="s">
        <v>45</v>
      </c>
      <c r="S550" s="1" t="s">
        <v>46</v>
      </c>
      <c r="T550" s="1" t="s">
        <v>47</v>
      </c>
      <c r="U550" s="1" t="s">
        <v>156</v>
      </c>
      <c r="V550" s="1" t="s">
        <v>102</v>
      </c>
      <c r="W550" s="1" t="s">
        <v>103</v>
      </c>
      <c r="X550" s="1" t="s">
        <v>96</v>
      </c>
      <c r="AB550" s="1" t="s">
        <v>104</v>
      </c>
      <c r="AC550" s="1">
        <v>0</v>
      </c>
      <c r="AD550" s="1" t="s">
        <v>105</v>
      </c>
      <c r="AE550" s="1" t="s">
        <v>70</v>
      </c>
      <c r="AG550" s="1" t="s">
        <v>819</v>
      </c>
      <c r="AH550" s="1" t="s">
        <v>157</v>
      </c>
      <c r="AI550" s="1" t="s">
        <v>75</v>
      </c>
      <c r="AK550" s="1" t="s">
        <v>116</v>
      </c>
      <c r="AL550" s="1" t="s">
        <v>117</v>
      </c>
      <c r="AM550" s="1">
        <v>1</v>
      </c>
      <c r="AN550" s="1">
        <v>0</v>
      </c>
      <c r="AO550" s="1">
        <f t="shared" si="80"/>
        <v>1</v>
      </c>
    </row>
    <row r="551" spans="1:41" x14ac:dyDescent="0.4">
      <c r="A551" s="1">
        <v>1</v>
      </c>
      <c r="B551" s="1">
        <v>3</v>
      </c>
      <c r="C551" s="1" t="s">
        <v>41</v>
      </c>
      <c r="D551" s="2">
        <v>38912</v>
      </c>
      <c r="E551" s="1">
        <v>195</v>
      </c>
      <c r="F551" s="1">
        <v>18</v>
      </c>
      <c r="G551" s="3">
        <v>0.56376157407407412</v>
      </c>
      <c r="H551" s="3">
        <v>0.57932870370370371</v>
      </c>
      <c r="I551" s="3">
        <v>1.5567129629629584E-2</v>
      </c>
      <c r="J551" s="3">
        <v>1.4687499999999964E-2</v>
      </c>
      <c r="K551" s="5">
        <f t="shared" si="79"/>
        <v>1269</v>
      </c>
      <c r="L551" s="3">
        <v>5.2893518518518645E-3</v>
      </c>
      <c r="N551" s="1" t="s">
        <v>42</v>
      </c>
      <c r="O551" s="1" t="s">
        <v>286</v>
      </c>
      <c r="P551" s="1" t="s">
        <v>227</v>
      </c>
      <c r="Q551" s="1" t="s">
        <v>76</v>
      </c>
      <c r="R551" s="1" t="s">
        <v>76</v>
      </c>
      <c r="S551" s="1" t="s">
        <v>46</v>
      </c>
      <c r="T551" s="1" t="s">
        <v>47</v>
      </c>
      <c r="U551" s="1" t="s">
        <v>156</v>
      </c>
      <c r="V551" s="1" t="s">
        <v>49</v>
      </c>
      <c r="W551" s="1" t="s">
        <v>308</v>
      </c>
      <c r="X551" s="1" t="s">
        <v>309</v>
      </c>
      <c r="Y551" s="1" t="s">
        <v>270</v>
      </c>
      <c r="Z551" s="1" t="s">
        <v>271</v>
      </c>
      <c r="AA551" s="1" t="s">
        <v>310</v>
      </c>
      <c r="AB551" s="1" t="s">
        <v>311</v>
      </c>
      <c r="AC551" s="1">
        <v>0</v>
      </c>
      <c r="AD551" s="1" t="s">
        <v>56</v>
      </c>
      <c r="AE551" s="1" t="s">
        <v>57</v>
      </c>
      <c r="AF551" s="1" t="s">
        <v>113</v>
      </c>
      <c r="AG551" s="1" t="s">
        <v>820</v>
      </c>
      <c r="AH551" s="1" t="s">
        <v>59</v>
      </c>
      <c r="AI551" s="1" t="s">
        <v>75</v>
      </c>
      <c r="AK551" s="1" t="s">
        <v>86</v>
      </c>
      <c r="AL551" s="1" t="s">
        <v>133</v>
      </c>
      <c r="AM551" s="1">
        <v>1</v>
      </c>
      <c r="AN551" s="1">
        <v>0</v>
      </c>
      <c r="AO551" s="1">
        <f t="shared" si="80"/>
        <v>1</v>
      </c>
    </row>
    <row r="552" spans="1:41" x14ac:dyDescent="0.4">
      <c r="A552" s="1">
        <v>1</v>
      </c>
      <c r="B552" s="1">
        <v>3</v>
      </c>
      <c r="C552" s="1" t="s">
        <v>41</v>
      </c>
      <c r="D552" s="2">
        <v>38912</v>
      </c>
      <c r="E552" s="1">
        <v>195</v>
      </c>
      <c r="F552" s="1">
        <v>19</v>
      </c>
      <c r="G552" s="3">
        <v>0.58461805555555557</v>
      </c>
      <c r="H552" s="3">
        <v>0.59459490740740739</v>
      </c>
      <c r="I552" s="3">
        <v>9.9768518518518201E-3</v>
      </c>
      <c r="J552" s="3">
        <v>7.0023148148147252E-3</v>
      </c>
      <c r="K552" s="5">
        <f t="shared" si="79"/>
        <v>605</v>
      </c>
      <c r="L552" s="3">
        <v>1.2372685185185195E-2</v>
      </c>
      <c r="N552" s="1" t="s">
        <v>42</v>
      </c>
      <c r="O552" s="1" t="s">
        <v>286</v>
      </c>
      <c r="P552" s="1" t="s">
        <v>227</v>
      </c>
      <c r="Q552" s="1" t="s">
        <v>76</v>
      </c>
      <c r="R552" s="1" t="s">
        <v>191</v>
      </c>
      <c r="S552" s="1" t="s">
        <v>46</v>
      </c>
      <c r="T552" s="1" t="s">
        <v>47</v>
      </c>
      <c r="U552" s="1" t="s">
        <v>156</v>
      </c>
      <c r="V552" s="1" t="s">
        <v>49</v>
      </c>
      <c r="W552" s="1" t="s">
        <v>308</v>
      </c>
      <c r="X552" s="1" t="s">
        <v>309</v>
      </c>
      <c r="Y552" s="1" t="s">
        <v>270</v>
      </c>
      <c r="Z552" s="1" t="s">
        <v>271</v>
      </c>
      <c r="AA552" s="1" t="s">
        <v>310</v>
      </c>
      <c r="AB552" s="1" t="s">
        <v>311</v>
      </c>
      <c r="AC552" s="1">
        <v>0</v>
      </c>
      <c r="AD552" s="1" t="s">
        <v>56</v>
      </c>
      <c r="AE552" s="1" t="s">
        <v>57</v>
      </c>
      <c r="AF552" s="1" t="s">
        <v>113</v>
      </c>
      <c r="AG552" s="1" t="s">
        <v>821</v>
      </c>
      <c r="AH552" s="1" t="s">
        <v>59</v>
      </c>
      <c r="AI552" s="1" t="s">
        <v>75</v>
      </c>
      <c r="AK552" s="1" t="s">
        <v>116</v>
      </c>
      <c r="AL552" s="1" t="s">
        <v>117</v>
      </c>
      <c r="AM552" s="1">
        <v>1</v>
      </c>
      <c r="AN552" s="1">
        <v>0</v>
      </c>
      <c r="AO552" s="1">
        <f t="shared" si="80"/>
        <v>1</v>
      </c>
    </row>
    <row r="553" spans="1:41" x14ac:dyDescent="0.4">
      <c r="A553" s="1">
        <v>1</v>
      </c>
      <c r="B553" s="1">
        <v>3</v>
      </c>
      <c r="C553" s="1" t="s">
        <v>41</v>
      </c>
      <c r="D553" s="2">
        <v>38912</v>
      </c>
      <c r="E553" s="1">
        <v>195</v>
      </c>
      <c r="F553" s="1">
        <v>19.5</v>
      </c>
      <c r="G553" s="3">
        <v>0.60696759259259259</v>
      </c>
      <c r="H553" s="3">
        <v>0.60700231481481481</v>
      </c>
      <c r="I553" s="3">
        <v>3.472222222222765E-5</v>
      </c>
      <c r="J553" s="3">
        <v>3.472222222222765E-5</v>
      </c>
      <c r="K553" s="5">
        <f t="shared" si="79"/>
        <v>3</v>
      </c>
      <c r="L553" s="3">
        <v>1.1990740740740691E-2</v>
      </c>
      <c r="N553" s="1" t="s">
        <v>42</v>
      </c>
      <c r="O553" s="1" t="s">
        <v>286</v>
      </c>
      <c r="P553" s="1" t="s">
        <v>227</v>
      </c>
      <c r="R553" s="1" t="s">
        <v>76</v>
      </c>
      <c r="S553" s="1" t="s">
        <v>46</v>
      </c>
      <c r="T553" s="1" t="s">
        <v>76</v>
      </c>
      <c r="U553" s="1" t="s">
        <v>156</v>
      </c>
      <c r="AB553" s="1" t="s">
        <v>93</v>
      </c>
      <c r="AC553" s="1">
        <v>1</v>
      </c>
      <c r="AI553" s="1" t="s">
        <v>75</v>
      </c>
      <c r="AK553" s="1" t="s">
        <v>86</v>
      </c>
      <c r="AL553" s="1" t="s">
        <v>133</v>
      </c>
      <c r="AN553" s="1">
        <v>1</v>
      </c>
      <c r="AO553" s="1">
        <f t="shared" si="80"/>
        <v>1</v>
      </c>
    </row>
    <row r="554" spans="1:41" x14ac:dyDescent="0.4">
      <c r="A554" s="1">
        <v>1</v>
      </c>
      <c r="B554" s="1">
        <v>3</v>
      </c>
      <c r="C554" s="1" t="s">
        <v>41</v>
      </c>
      <c r="D554" s="2">
        <v>38912</v>
      </c>
      <c r="E554" s="1">
        <v>195</v>
      </c>
      <c r="F554" s="1">
        <v>20</v>
      </c>
      <c r="G554" s="3">
        <v>0.6189930555555555</v>
      </c>
      <c r="H554" s="3">
        <v>0.61951388888888892</v>
      </c>
      <c r="I554" s="3">
        <v>5.2083333333341475E-4</v>
      </c>
      <c r="J554" s="3">
        <v>5.2083333333341475E-4</v>
      </c>
      <c r="K554" s="5">
        <f t="shared" si="79"/>
        <v>45</v>
      </c>
      <c r="L554" s="3">
        <v>4.6967592592592533E-2</v>
      </c>
      <c r="N554" s="1" t="s">
        <v>42</v>
      </c>
      <c r="O554" s="1" t="s">
        <v>286</v>
      </c>
      <c r="P554" s="1" t="s">
        <v>227</v>
      </c>
      <c r="R554" s="1" t="s">
        <v>76</v>
      </c>
      <c r="S554" s="1" t="s">
        <v>46</v>
      </c>
      <c r="T554" s="1" t="s">
        <v>45</v>
      </c>
      <c r="U554" s="1" t="s">
        <v>156</v>
      </c>
      <c r="V554" s="1" t="s">
        <v>49</v>
      </c>
      <c r="W554" s="1" t="s">
        <v>200</v>
      </c>
      <c r="X554" s="1" t="s">
        <v>201</v>
      </c>
      <c r="Y554" s="1" t="s">
        <v>126</v>
      </c>
      <c r="Z554" s="1" t="s">
        <v>202</v>
      </c>
      <c r="AA554" s="1" t="s">
        <v>203</v>
      </c>
      <c r="AB554" s="1" t="s">
        <v>204</v>
      </c>
      <c r="AC554" s="1">
        <v>0</v>
      </c>
      <c r="AD554" s="1" t="s">
        <v>56</v>
      </c>
      <c r="AE554" s="1" t="s">
        <v>83</v>
      </c>
      <c r="AG554" s="1" t="s">
        <v>822</v>
      </c>
      <c r="AH554" s="1" t="s">
        <v>206</v>
      </c>
      <c r="AI554" s="1" t="s">
        <v>75</v>
      </c>
      <c r="AK554" s="1" t="s">
        <v>86</v>
      </c>
      <c r="AL554" s="1" t="s">
        <v>133</v>
      </c>
      <c r="AM554" s="1">
        <v>1</v>
      </c>
      <c r="AN554" s="1">
        <v>0</v>
      </c>
      <c r="AO554" s="1">
        <f t="shared" si="80"/>
        <v>1</v>
      </c>
    </row>
    <row r="555" spans="1:41" x14ac:dyDescent="0.4">
      <c r="A555" s="1">
        <v>1</v>
      </c>
      <c r="B555" s="1">
        <v>3</v>
      </c>
      <c r="C555" s="1" t="s">
        <v>41</v>
      </c>
      <c r="D555" s="2">
        <v>38912</v>
      </c>
      <c r="E555" s="1">
        <v>195</v>
      </c>
      <c r="F555" s="1">
        <v>22</v>
      </c>
      <c r="G555" s="3">
        <v>0.66648148148148145</v>
      </c>
      <c r="H555" s="3">
        <v>0.66655092592592591</v>
      </c>
      <c r="I555" s="3">
        <v>6.94444444444553E-5</v>
      </c>
      <c r="J555" s="3">
        <v>6.94444444444553E-5</v>
      </c>
      <c r="K555" s="5">
        <f t="shared" si="79"/>
        <v>6</v>
      </c>
      <c r="L555" s="3">
        <v>1.7766203703703742E-2</v>
      </c>
      <c r="N555" s="1" t="s">
        <v>42</v>
      </c>
      <c r="O555" s="1" t="s">
        <v>286</v>
      </c>
      <c r="P555" s="1" t="s">
        <v>227</v>
      </c>
      <c r="Q555" s="1" t="s">
        <v>132</v>
      </c>
      <c r="R555" s="1" t="s">
        <v>132</v>
      </c>
      <c r="S555" s="1" t="s">
        <v>46</v>
      </c>
      <c r="T555" s="1" t="s">
        <v>45</v>
      </c>
      <c r="U555" s="1" t="s">
        <v>66</v>
      </c>
      <c r="V555" s="1" t="s">
        <v>102</v>
      </c>
      <c r="W555" s="1" t="s">
        <v>231</v>
      </c>
      <c r="X555" s="1" t="s">
        <v>384</v>
      </c>
      <c r="AB555" s="1" t="s">
        <v>104</v>
      </c>
      <c r="AC555" s="1">
        <v>0</v>
      </c>
      <c r="AD555" s="1" t="s">
        <v>105</v>
      </c>
      <c r="AE555" s="1" t="s">
        <v>181</v>
      </c>
      <c r="AG555" s="1" t="s">
        <v>747</v>
      </c>
      <c r="AH555" s="1" t="s">
        <v>157</v>
      </c>
      <c r="AI555" s="1" t="s">
        <v>71</v>
      </c>
      <c r="AK555" s="1" t="s">
        <v>86</v>
      </c>
      <c r="AL555" s="1" t="s">
        <v>133</v>
      </c>
      <c r="AM555" s="1">
        <v>3</v>
      </c>
      <c r="AN555" s="1">
        <v>0</v>
      </c>
      <c r="AO555" s="1">
        <f t="shared" si="80"/>
        <v>3</v>
      </c>
    </row>
    <row r="556" spans="1:41" x14ac:dyDescent="0.4">
      <c r="A556" s="1">
        <v>1</v>
      </c>
      <c r="B556" s="1">
        <v>3</v>
      </c>
      <c r="C556" s="1" t="s">
        <v>41</v>
      </c>
      <c r="D556" s="2">
        <v>38912</v>
      </c>
      <c r="E556" s="1">
        <v>195</v>
      </c>
      <c r="F556" s="1">
        <v>24</v>
      </c>
      <c r="G556" s="3">
        <v>0.68431712962962965</v>
      </c>
      <c r="H556" s="3">
        <v>0.68660879629629623</v>
      </c>
      <c r="I556" s="3">
        <v>2.2916666666665808E-3</v>
      </c>
      <c r="J556" s="3">
        <v>2.17592592592597E-3</v>
      </c>
      <c r="K556" s="5">
        <f t="shared" si="79"/>
        <v>188</v>
      </c>
      <c r="L556" s="3" t="s">
        <v>120</v>
      </c>
      <c r="N556" s="1" t="s">
        <v>42</v>
      </c>
      <c r="O556" s="1" t="s">
        <v>286</v>
      </c>
      <c r="P556" s="1" t="s">
        <v>227</v>
      </c>
      <c r="Q556" s="1" t="s">
        <v>76</v>
      </c>
      <c r="R556" s="1" t="s">
        <v>76</v>
      </c>
      <c r="S556" s="1" t="s">
        <v>46</v>
      </c>
      <c r="T556" s="1" t="s">
        <v>47</v>
      </c>
      <c r="U556" s="1" t="s">
        <v>156</v>
      </c>
      <c r="V556" s="1" t="s">
        <v>102</v>
      </c>
      <c r="W556" s="1" t="s">
        <v>103</v>
      </c>
      <c r="X556" s="1" t="s">
        <v>96</v>
      </c>
      <c r="AB556" s="1" t="s">
        <v>104</v>
      </c>
      <c r="AC556" s="1">
        <v>0</v>
      </c>
      <c r="AD556" s="1" t="s">
        <v>105</v>
      </c>
      <c r="AE556" s="1" t="s">
        <v>70</v>
      </c>
      <c r="AG556" s="1" t="s">
        <v>823</v>
      </c>
      <c r="AH556" s="1" t="s">
        <v>157</v>
      </c>
      <c r="AI556" s="1" t="s">
        <v>75</v>
      </c>
      <c r="AK556" s="1" t="s">
        <v>61</v>
      </c>
      <c r="AL556" s="1" t="s">
        <v>133</v>
      </c>
      <c r="AM556" s="1">
        <v>1</v>
      </c>
      <c r="AN556" s="1">
        <v>0</v>
      </c>
      <c r="AO556" s="1">
        <f t="shared" si="80"/>
        <v>1</v>
      </c>
    </row>
    <row r="557" spans="1:41" x14ac:dyDescent="0.4">
      <c r="A557" s="1">
        <v>1</v>
      </c>
      <c r="B557" s="1">
        <v>3</v>
      </c>
      <c r="C557" s="1" t="s">
        <v>41</v>
      </c>
      <c r="D557" s="2">
        <v>38916</v>
      </c>
      <c r="E557" s="1">
        <v>199</v>
      </c>
      <c r="F557" s="1">
        <v>1</v>
      </c>
      <c r="G557" s="3">
        <v>0.26211805555555556</v>
      </c>
      <c r="H557" s="3">
        <v>0.27210648148148148</v>
      </c>
      <c r="I557" s="3">
        <v>9.9884259259259145E-3</v>
      </c>
      <c r="J557" s="3">
        <v>9.9884259259259145E-3</v>
      </c>
      <c r="K557" s="5">
        <f t="shared" si="79"/>
        <v>863</v>
      </c>
      <c r="L557" s="3">
        <v>1.3935185185185217E-2</v>
      </c>
      <c r="N557" s="1" t="s">
        <v>75</v>
      </c>
      <c r="O557" s="1" t="s">
        <v>286</v>
      </c>
      <c r="P557" s="1" t="s">
        <v>227</v>
      </c>
      <c r="Q557" s="1" t="s">
        <v>45</v>
      </c>
      <c r="R557" s="1" t="s">
        <v>76</v>
      </c>
      <c r="S557" s="1" t="s">
        <v>46</v>
      </c>
      <c r="T557" s="1" t="s">
        <v>45</v>
      </c>
      <c r="U557" s="1" t="s">
        <v>66</v>
      </c>
      <c r="V557" s="1" t="s">
        <v>49</v>
      </c>
      <c r="W557" s="1" t="s">
        <v>233</v>
      </c>
      <c r="X557" s="1" t="s">
        <v>783</v>
      </c>
      <c r="Y557" s="1" t="s">
        <v>725</v>
      </c>
      <c r="Z557" s="1" t="s">
        <v>726</v>
      </c>
      <c r="AA557" s="1" t="s">
        <v>784</v>
      </c>
      <c r="AB557" s="1" t="s">
        <v>785</v>
      </c>
      <c r="AC557" s="1">
        <v>0</v>
      </c>
      <c r="AD557" s="1" t="s">
        <v>56</v>
      </c>
      <c r="AE557" s="1" t="s">
        <v>83</v>
      </c>
      <c r="AG557" s="1" t="s">
        <v>815</v>
      </c>
      <c r="AH557" s="1" t="s">
        <v>206</v>
      </c>
      <c r="AI557" s="1" t="s">
        <v>122</v>
      </c>
      <c r="AJ557" s="1" t="s">
        <v>147</v>
      </c>
      <c r="AK557" s="1" t="s">
        <v>86</v>
      </c>
      <c r="AL557" s="1" t="s">
        <v>87</v>
      </c>
      <c r="AM557" s="1">
        <v>10</v>
      </c>
      <c r="AN557" s="1">
        <v>0</v>
      </c>
      <c r="AO557" s="1">
        <f t="shared" si="80"/>
        <v>10</v>
      </c>
    </row>
    <row r="558" spans="1:41" x14ac:dyDescent="0.4">
      <c r="A558" s="1">
        <v>1</v>
      </c>
      <c r="B558" s="1">
        <v>3</v>
      </c>
      <c r="C558" s="1" t="s">
        <v>41</v>
      </c>
      <c r="D558" s="2">
        <v>38916</v>
      </c>
      <c r="E558" s="1">
        <v>199</v>
      </c>
      <c r="F558" s="1">
        <v>2</v>
      </c>
      <c r="G558" s="3">
        <v>0.28604166666666669</v>
      </c>
      <c r="H558" s="3">
        <v>0.30343750000000003</v>
      </c>
      <c r="I558" s="3">
        <v>1.7395833333333333E-2</v>
      </c>
      <c r="J558" s="3">
        <v>1.324074074074072E-2</v>
      </c>
      <c r="K558" s="5">
        <f t="shared" si="79"/>
        <v>1144</v>
      </c>
      <c r="L558" s="3">
        <v>9.8495370370370039E-3</v>
      </c>
      <c r="N558" s="1" t="s">
        <v>75</v>
      </c>
      <c r="O558" s="1" t="s">
        <v>286</v>
      </c>
      <c r="P558" s="1" t="s">
        <v>227</v>
      </c>
      <c r="Q558" s="1" t="s">
        <v>76</v>
      </c>
      <c r="R558" s="1" t="s">
        <v>76</v>
      </c>
      <c r="S558" s="1" t="s">
        <v>46</v>
      </c>
      <c r="T558" s="1" t="s">
        <v>47</v>
      </c>
      <c r="U558" s="1" t="s">
        <v>66</v>
      </c>
      <c r="V558" s="1" t="s">
        <v>49</v>
      </c>
      <c r="W558" s="1" t="s">
        <v>200</v>
      </c>
      <c r="X558" s="1" t="s">
        <v>201</v>
      </c>
      <c r="Y558" s="1" t="s">
        <v>126</v>
      </c>
      <c r="Z558" s="1" t="s">
        <v>202</v>
      </c>
      <c r="AA558" s="1" t="s">
        <v>203</v>
      </c>
      <c r="AB558" s="1" t="s">
        <v>204</v>
      </c>
      <c r="AC558" s="1">
        <v>0</v>
      </c>
      <c r="AD558" s="1" t="s">
        <v>56</v>
      </c>
      <c r="AE558" s="1" t="s">
        <v>83</v>
      </c>
      <c r="AF558" s="1" t="s">
        <v>113</v>
      </c>
      <c r="AG558" s="1" t="s">
        <v>814</v>
      </c>
      <c r="AH558" s="1" t="s">
        <v>206</v>
      </c>
      <c r="AI558" s="1" t="s">
        <v>75</v>
      </c>
      <c r="AK558" s="1" t="s">
        <v>61</v>
      </c>
      <c r="AL558" s="1" t="s">
        <v>155</v>
      </c>
      <c r="AM558" s="1">
        <v>4</v>
      </c>
      <c r="AN558" s="1">
        <v>0</v>
      </c>
      <c r="AO558" s="1">
        <f t="shared" si="80"/>
        <v>4</v>
      </c>
    </row>
    <row r="559" spans="1:41" x14ac:dyDescent="0.4">
      <c r="A559" s="1">
        <v>1</v>
      </c>
      <c r="B559" s="1">
        <v>3</v>
      </c>
      <c r="C559" s="1" t="s">
        <v>41</v>
      </c>
      <c r="D559" s="2">
        <v>38916</v>
      </c>
      <c r="E559" s="1">
        <v>199</v>
      </c>
      <c r="F559" s="1">
        <v>2.2000000000000002</v>
      </c>
      <c r="G559" s="3">
        <v>0.31328703703703703</v>
      </c>
      <c r="H559" s="3">
        <v>0.31334490740740739</v>
      </c>
      <c r="I559" s="3">
        <v>5.7870370370360913E-5</v>
      </c>
      <c r="J559" s="3">
        <v>5.7870370370360913E-5</v>
      </c>
      <c r="K559" s="5">
        <f t="shared" si="79"/>
        <v>5</v>
      </c>
      <c r="L559" s="3">
        <v>3.9652777777777815E-2</v>
      </c>
      <c r="N559" s="1" t="s">
        <v>75</v>
      </c>
      <c r="O559" s="1" t="s">
        <v>286</v>
      </c>
      <c r="P559" s="1" t="s">
        <v>227</v>
      </c>
      <c r="Q559" s="1" t="s">
        <v>76</v>
      </c>
      <c r="R559" s="1" t="s">
        <v>76</v>
      </c>
      <c r="S559" s="1" t="s">
        <v>46</v>
      </c>
      <c r="T559" s="1" t="s">
        <v>45</v>
      </c>
      <c r="U559" s="1" t="s">
        <v>66</v>
      </c>
      <c r="AB559" s="1" t="s">
        <v>93</v>
      </c>
      <c r="AC559" s="1">
        <v>1</v>
      </c>
      <c r="AI559" s="1" t="s">
        <v>75</v>
      </c>
      <c r="AK559" s="1" t="s">
        <v>86</v>
      </c>
      <c r="AL559" s="1" t="s">
        <v>133</v>
      </c>
      <c r="AN559" s="1">
        <v>1</v>
      </c>
      <c r="AO559" s="1">
        <f t="shared" si="80"/>
        <v>1</v>
      </c>
    </row>
    <row r="560" spans="1:41" x14ac:dyDescent="0.4">
      <c r="A560" s="1">
        <v>1</v>
      </c>
      <c r="B560" s="1">
        <v>3</v>
      </c>
      <c r="C560" s="1" t="s">
        <v>41</v>
      </c>
      <c r="D560" s="2">
        <v>38916</v>
      </c>
      <c r="E560" s="1">
        <v>199</v>
      </c>
      <c r="F560" s="1">
        <v>2.6</v>
      </c>
      <c r="G560" s="3">
        <v>0.35299768518518521</v>
      </c>
      <c r="H560" s="3">
        <v>0.35359953703703706</v>
      </c>
      <c r="I560" s="3">
        <v>6.0185185185185341E-4</v>
      </c>
      <c r="J560" s="3">
        <v>5.7870370370416424E-5</v>
      </c>
      <c r="K560" s="5">
        <f t="shared" si="79"/>
        <v>5</v>
      </c>
      <c r="L560" s="3">
        <v>4.5416666666666661E-2</v>
      </c>
      <c r="N560" s="1" t="s">
        <v>42</v>
      </c>
      <c r="O560" s="1" t="s">
        <v>286</v>
      </c>
      <c r="P560" s="1" t="s">
        <v>227</v>
      </c>
      <c r="Q560" s="1" t="s">
        <v>45</v>
      </c>
      <c r="R560" s="1" t="s">
        <v>45</v>
      </c>
      <c r="S560" s="1" t="s">
        <v>46</v>
      </c>
      <c r="T560" s="1" t="s">
        <v>45</v>
      </c>
      <c r="U560" s="1" t="s">
        <v>66</v>
      </c>
      <c r="AB560" s="1" t="s">
        <v>93</v>
      </c>
      <c r="AC560" s="1">
        <v>1</v>
      </c>
      <c r="AI560" s="1" t="s">
        <v>71</v>
      </c>
      <c r="AK560" s="1" t="s">
        <v>86</v>
      </c>
      <c r="AL560" s="1" t="s">
        <v>133</v>
      </c>
      <c r="AN560" s="1">
        <v>1</v>
      </c>
      <c r="AO560" s="1">
        <f t="shared" si="80"/>
        <v>1</v>
      </c>
    </row>
    <row r="561" spans="1:41" x14ac:dyDescent="0.4">
      <c r="A561" s="1">
        <v>1</v>
      </c>
      <c r="B561" s="1">
        <v>3</v>
      </c>
      <c r="C561" s="1" t="s">
        <v>41</v>
      </c>
      <c r="D561" s="2">
        <v>38916</v>
      </c>
      <c r="E561" s="1">
        <v>199</v>
      </c>
      <c r="F561" s="1">
        <v>2.8</v>
      </c>
      <c r="G561" s="3">
        <v>0.39901620370370372</v>
      </c>
      <c r="H561" s="3">
        <v>0.39905092592592589</v>
      </c>
      <c r="I561" s="3">
        <v>3.4722222222172139E-5</v>
      </c>
      <c r="J561" s="3">
        <v>3.4722222222172139E-5</v>
      </c>
      <c r="K561" s="5">
        <f t="shared" si="79"/>
        <v>3</v>
      </c>
      <c r="L561" s="3">
        <v>0.22336805555555556</v>
      </c>
      <c r="N561" s="1" t="s">
        <v>42</v>
      </c>
      <c r="O561" s="1" t="s">
        <v>286</v>
      </c>
      <c r="P561" s="1" t="s">
        <v>227</v>
      </c>
      <c r="Q561" s="1" t="s">
        <v>76</v>
      </c>
      <c r="R561" s="1" t="s">
        <v>76</v>
      </c>
      <c r="S561" s="1" t="s">
        <v>46</v>
      </c>
      <c r="T561" s="1" t="s">
        <v>45</v>
      </c>
      <c r="AB561" s="1" t="s">
        <v>93</v>
      </c>
      <c r="AC561" s="1">
        <v>1</v>
      </c>
      <c r="AK561" s="1" t="s">
        <v>61</v>
      </c>
      <c r="AL561" s="1" t="s">
        <v>133</v>
      </c>
      <c r="AN561" s="1">
        <v>1</v>
      </c>
      <c r="AO561" s="1">
        <f t="shared" si="80"/>
        <v>1</v>
      </c>
    </row>
    <row r="562" spans="1:41" x14ac:dyDescent="0.4">
      <c r="A562" s="1">
        <v>1</v>
      </c>
      <c r="B562" s="1">
        <v>3</v>
      </c>
      <c r="C562" s="1" t="s">
        <v>41</v>
      </c>
      <c r="D562" s="2">
        <v>38916</v>
      </c>
      <c r="E562" s="1">
        <v>199</v>
      </c>
      <c r="F562" s="1">
        <v>14</v>
      </c>
      <c r="G562" s="3">
        <v>0.62241898148148145</v>
      </c>
      <c r="H562" s="3">
        <v>0.62396990740740743</v>
      </c>
      <c r="I562" s="3">
        <v>1.5509259259259833E-3</v>
      </c>
      <c r="J562" s="3">
        <v>1.5509259259259833E-3</v>
      </c>
      <c r="K562" s="5">
        <f t="shared" si="79"/>
        <v>134</v>
      </c>
      <c r="L562" s="3">
        <v>1.6620370370370341E-2</v>
      </c>
      <c r="N562" s="1" t="s">
        <v>42</v>
      </c>
      <c r="O562" s="1" t="s">
        <v>286</v>
      </c>
      <c r="P562" s="1" t="s">
        <v>227</v>
      </c>
      <c r="Q562" s="1" t="s">
        <v>76</v>
      </c>
      <c r="R562" s="1" t="s">
        <v>76</v>
      </c>
      <c r="S562" s="1" t="s">
        <v>46</v>
      </c>
      <c r="T562" s="1" t="s">
        <v>47</v>
      </c>
      <c r="V562" s="1" t="s">
        <v>49</v>
      </c>
      <c r="W562" s="1" t="s">
        <v>50</v>
      </c>
      <c r="X562" s="1" t="s">
        <v>405</v>
      </c>
      <c r="Y562" s="1" t="s">
        <v>406</v>
      </c>
      <c r="Z562" s="1" t="s">
        <v>407</v>
      </c>
      <c r="AA562" s="1" t="s">
        <v>408</v>
      </c>
      <c r="AB562" s="1" t="s">
        <v>409</v>
      </c>
      <c r="AC562" s="1">
        <v>0</v>
      </c>
      <c r="AD562" s="1" t="s">
        <v>105</v>
      </c>
      <c r="AE562" s="1" t="s">
        <v>181</v>
      </c>
      <c r="AF562" s="1" t="s">
        <v>113</v>
      </c>
      <c r="AG562" s="1" t="s">
        <v>824</v>
      </c>
      <c r="AH562" s="1" t="s">
        <v>59</v>
      </c>
      <c r="AK562" s="1" t="s">
        <v>86</v>
      </c>
      <c r="AL562" s="1" t="s">
        <v>133</v>
      </c>
      <c r="AM562" s="1">
        <v>1</v>
      </c>
      <c r="AN562" s="1">
        <v>0</v>
      </c>
      <c r="AO562" s="1">
        <f t="shared" si="80"/>
        <v>1</v>
      </c>
    </row>
    <row r="563" spans="1:41" x14ac:dyDescent="0.4">
      <c r="A563" s="1">
        <v>1</v>
      </c>
      <c r="B563" s="1">
        <v>3</v>
      </c>
      <c r="C563" s="1" t="s">
        <v>41</v>
      </c>
      <c r="D563" s="2">
        <v>38916</v>
      </c>
      <c r="E563" s="1">
        <v>199</v>
      </c>
      <c r="F563" s="1">
        <v>15</v>
      </c>
      <c r="G563" s="3">
        <v>0.64059027777777777</v>
      </c>
      <c r="H563" s="3">
        <v>0.64091435185185186</v>
      </c>
      <c r="I563" s="3">
        <v>3.2407407407408773E-4</v>
      </c>
      <c r="J563" s="3">
        <v>3.2407407407408773E-4</v>
      </c>
      <c r="K563" s="5">
        <f t="shared" si="79"/>
        <v>28</v>
      </c>
      <c r="L563" s="3">
        <v>1.7129629629629717E-3</v>
      </c>
      <c r="N563" s="1" t="s">
        <v>42</v>
      </c>
      <c r="O563" s="1" t="s">
        <v>286</v>
      </c>
      <c r="P563" s="1" t="s">
        <v>227</v>
      </c>
      <c r="Q563" s="1" t="s">
        <v>132</v>
      </c>
      <c r="R563" s="1" t="s">
        <v>76</v>
      </c>
      <c r="S563" s="1" t="s">
        <v>46</v>
      </c>
      <c r="T563" s="1" t="s">
        <v>45</v>
      </c>
      <c r="U563" s="1" t="s">
        <v>48</v>
      </c>
      <c r="V563" s="1" t="s">
        <v>102</v>
      </c>
      <c r="W563" s="1" t="s">
        <v>103</v>
      </c>
      <c r="X563" s="1" t="s">
        <v>96</v>
      </c>
      <c r="AB563" s="1" t="s">
        <v>104</v>
      </c>
      <c r="AC563" s="1">
        <v>0</v>
      </c>
      <c r="AD563" s="1" t="s">
        <v>105</v>
      </c>
      <c r="AE563" s="1" t="s">
        <v>70</v>
      </c>
      <c r="AH563" s="1" t="s">
        <v>157</v>
      </c>
      <c r="AI563" s="1" t="s">
        <v>60</v>
      </c>
      <c r="AK563" s="1" t="s">
        <v>86</v>
      </c>
      <c r="AL563" s="1" t="s">
        <v>133</v>
      </c>
      <c r="AN563" s="1">
        <v>1</v>
      </c>
      <c r="AO563" s="1">
        <f t="shared" si="80"/>
        <v>1</v>
      </c>
    </row>
    <row r="564" spans="1:41" x14ac:dyDescent="0.4">
      <c r="A564" s="1">
        <v>1</v>
      </c>
      <c r="B564" s="1">
        <v>3</v>
      </c>
      <c r="C564" s="1" t="s">
        <v>41</v>
      </c>
      <c r="D564" s="2">
        <v>38916</v>
      </c>
      <c r="E564" s="1">
        <v>199</v>
      </c>
      <c r="F564" s="1">
        <v>15.5</v>
      </c>
      <c r="G564" s="3">
        <v>0.64262731481481483</v>
      </c>
      <c r="H564" s="3">
        <v>0.64271990740740736</v>
      </c>
      <c r="I564" s="3">
        <v>9.2592592592533052E-5</v>
      </c>
      <c r="J564" s="3">
        <v>9.2592592592533052E-5</v>
      </c>
      <c r="K564" s="5">
        <f t="shared" si="79"/>
        <v>8</v>
      </c>
      <c r="L564" s="3">
        <v>5.6597222222223298E-3</v>
      </c>
      <c r="N564" s="1" t="s">
        <v>42</v>
      </c>
      <c r="O564" s="1" t="s">
        <v>286</v>
      </c>
      <c r="P564" s="1" t="s">
        <v>227</v>
      </c>
      <c r="Q564" s="1" t="s">
        <v>45</v>
      </c>
      <c r="R564" s="1" t="s">
        <v>191</v>
      </c>
      <c r="S564" s="1" t="s">
        <v>46</v>
      </c>
      <c r="T564" s="1" t="s">
        <v>47</v>
      </c>
      <c r="U564" s="1" t="s">
        <v>66</v>
      </c>
      <c r="AB564" s="1" t="s">
        <v>93</v>
      </c>
      <c r="AC564" s="1">
        <v>1</v>
      </c>
      <c r="AI564" s="1" t="s">
        <v>71</v>
      </c>
      <c r="AK564" s="1" t="s">
        <v>86</v>
      </c>
      <c r="AL564" s="1" t="s">
        <v>133</v>
      </c>
      <c r="AN564" s="1">
        <v>1</v>
      </c>
      <c r="AO564" s="1">
        <f t="shared" si="80"/>
        <v>1</v>
      </c>
    </row>
    <row r="565" spans="1:41" x14ac:dyDescent="0.4">
      <c r="A565" s="1">
        <v>1</v>
      </c>
      <c r="B565" s="1">
        <v>3</v>
      </c>
      <c r="C565" s="1" t="s">
        <v>41</v>
      </c>
      <c r="D565" s="2">
        <v>38916</v>
      </c>
      <c r="E565" s="1">
        <v>199</v>
      </c>
      <c r="F565" s="1">
        <v>16</v>
      </c>
      <c r="G565" s="3">
        <v>0.64837962962962969</v>
      </c>
      <c r="H565" s="3">
        <v>0.66956018518518512</v>
      </c>
      <c r="I565" s="3">
        <v>2.1180555555555425E-2</v>
      </c>
      <c r="J565" s="3">
        <v>1.9421296296295965E-2</v>
      </c>
      <c r="K565" s="5">
        <f t="shared" si="79"/>
        <v>1678</v>
      </c>
      <c r="L565" s="3">
        <v>2.5324074074074221E-2</v>
      </c>
      <c r="N565" s="1" t="s">
        <v>42</v>
      </c>
      <c r="O565" s="1" t="s">
        <v>286</v>
      </c>
      <c r="P565" s="1" t="s">
        <v>227</v>
      </c>
      <c r="Q565" s="1" t="s">
        <v>45</v>
      </c>
      <c r="R565" s="1" t="s">
        <v>76</v>
      </c>
      <c r="S565" s="1" t="s">
        <v>46</v>
      </c>
      <c r="T565" s="1" t="s">
        <v>45</v>
      </c>
      <c r="U565" s="1" t="s">
        <v>66</v>
      </c>
      <c r="V565" s="1" t="s">
        <v>49</v>
      </c>
      <c r="W565" s="1" t="s">
        <v>233</v>
      </c>
      <c r="X565" s="1" t="s">
        <v>783</v>
      </c>
      <c r="Y565" s="1" t="s">
        <v>725</v>
      </c>
      <c r="Z565" s="1" t="s">
        <v>726</v>
      </c>
      <c r="AA565" s="1" t="s">
        <v>784</v>
      </c>
      <c r="AB565" s="1" t="s">
        <v>785</v>
      </c>
      <c r="AC565" s="1">
        <v>0</v>
      </c>
      <c r="AD565" s="1" t="s">
        <v>56</v>
      </c>
      <c r="AE565" s="1" t="s">
        <v>83</v>
      </c>
      <c r="AF565" s="1" t="s">
        <v>113</v>
      </c>
      <c r="AG565" s="1" t="s">
        <v>815</v>
      </c>
      <c r="AH565" s="1" t="s">
        <v>206</v>
      </c>
      <c r="AI565" s="1" t="s">
        <v>71</v>
      </c>
      <c r="AK565" s="1" t="s">
        <v>116</v>
      </c>
      <c r="AL565" s="1" t="s">
        <v>117</v>
      </c>
      <c r="AM565" s="1">
        <v>10</v>
      </c>
      <c r="AN565" s="1">
        <v>0</v>
      </c>
      <c r="AO565" s="1">
        <f t="shared" si="80"/>
        <v>10</v>
      </c>
    </row>
    <row r="566" spans="1:41" x14ac:dyDescent="0.4">
      <c r="A566" s="1">
        <v>1</v>
      </c>
      <c r="B566" s="1">
        <v>3</v>
      </c>
      <c r="C566" s="1" t="s">
        <v>41</v>
      </c>
      <c r="D566" s="2">
        <v>38916</v>
      </c>
      <c r="E566" s="1">
        <v>199</v>
      </c>
      <c r="F566" s="1">
        <v>16.5</v>
      </c>
      <c r="G566" s="3">
        <v>0.69488425925925934</v>
      </c>
      <c r="H566" s="3">
        <v>0.69502314814814825</v>
      </c>
      <c r="I566" s="3">
        <v>1.388888888889106E-4</v>
      </c>
      <c r="J566" s="3">
        <v>1.388888888889106E-4</v>
      </c>
      <c r="K566" s="5">
        <f t="shared" si="79"/>
        <v>12</v>
      </c>
      <c r="L566" s="3">
        <v>1.3263888888888742E-2</v>
      </c>
      <c r="N566" s="1" t="s">
        <v>42</v>
      </c>
      <c r="O566" s="1" t="s">
        <v>286</v>
      </c>
      <c r="P566" s="1" t="s">
        <v>227</v>
      </c>
      <c r="Q566" s="1" t="s">
        <v>45</v>
      </c>
      <c r="R566" s="1" t="s">
        <v>45</v>
      </c>
      <c r="S566" s="1" t="s">
        <v>46</v>
      </c>
      <c r="T566" s="1" t="s">
        <v>45</v>
      </c>
      <c r="U566" s="1" t="s">
        <v>66</v>
      </c>
      <c r="AB566" s="1" t="s">
        <v>93</v>
      </c>
      <c r="AC566" s="1">
        <v>1</v>
      </c>
      <c r="AI566" s="1" t="s">
        <v>71</v>
      </c>
      <c r="AK566" s="1" t="s">
        <v>86</v>
      </c>
      <c r="AL566" s="1" t="s">
        <v>133</v>
      </c>
      <c r="AN566" s="1">
        <v>1</v>
      </c>
      <c r="AO566" s="1">
        <f t="shared" si="80"/>
        <v>1</v>
      </c>
    </row>
    <row r="567" spans="1:41" x14ac:dyDescent="0.4">
      <c r="A567" s="1">
        <v>1</v>
      </c>
      <c r="B567" s="1">
        <v>3</v>
      </c>
      <c r="C567" s="1" t="s">
        <v>41</v>
      </c>
      <c r="D567" s="2">
        <v>38916</v>
      </c>
      <c r="E567" s="1">
        <v>199</v>
      </c>
      <c r="F567" s="1">
        <v>17</v>
      </c>
      <c r="G567" s="3">
        <v>0.70828703703703699</v>
      </c>
      <c r="H567" s="3">
        <v>0.70978009259259256</v>
      </c>
      <c r="I567" s="3">
        <v>1.4930555555555669E-3</v>
      </c>
      <c r="J567" s="3">
        <v>1.4930555555555669E-3</v>
      </c>
      <c r="K567" s="5">
        <f t="shared" si="79"/>
        <v>129</v>
      </c>
      <c r="L567" s="3" t="s">
        <v>120</v>
      </c>
      <c r="N567" s="1" t="s">
        <v>42</v>
      </c>
      <c r="O567" s="1" t="s">
        <v>286</v>
      </c>
      <c r="P567" s="1" t="s">
        <v>227</v>
      </c>
      <c r="Q567" s="1" t="s">
        <v>45</v>
      </c>
      <c r="R567" s="1" t="s">
        <v>45</v>
      </c>
      <c r="S567" s="1" t="s">
        <v>46</v>
      </c>
      <c r="T567" s="1" t="s">
        <v>45</v>
      </c>
      <c r="U567" s="1" t="s">
        <v>92</v>
      </c>
      <c r="V567" s="1" t="s">
        <v>102</v>
      </c>
      <c r="W567" s="1" t="s">
        <v>103</v>
      </c>
      <c r="X567" s="1" t="s">
        <v>96</v>
      </c>
      <c r="AB567" s="1" t="s">
        <v>104</v>
      </c>
      <c r="AC567" s="1">
        <v>0</v>
      </c>
      <c r="AD567" s="1" t="s">
        <v>105</v>
      </c>
      <c r="AE567" s="1" t="s">
        <v>70</v>
      </c>
      <c r="AH567" s="1" t="s">
        <v>157</v>
      </c>
      <c r="AI567" s="1" t="s">
        <v>75</v>
      </c>
      <c r="AK567" s="1" t="s">
        <v>61</v>
      </c>
      <c r="AL567" s="1" t="s">
        <v>72</v>
      </c>
      <c r="AN567" s="1">
        <v>1</v>
      </c>
      <c r="AO567" s="1">
        <f t="shared" si="80"/>
        <v>1</v>
      </c>
    </row>
    <row r="568" spans="1:41" x14ac:dyDescent="0.4">
      <c r="A568" s="1">
        <v>1</v>
      </c>
      <c r="B568" s="1">
        <v>3</v>
      </c>
      <c r="C568" s="1" t="s">
        <v>41</v>
      </c>
      <c r="D568" s="2">
        <v>38918</v>
      </c>
      <c r="E568" s="1">
        <v>201</v>
      </c>
      <c r="F568" s="1">
        <v>1</v>
      </c>
      <c r="G568" s="3">
        <v>0.28340277777777778</v>
      </c>
      <c r="H568" s="3">
        <v>0.29030092592592593</v>
      </c>
      <c r="I568" s="3">
        <v>6.8981481481481532E-3</v>
      </c>
      <c r="J568" s="3">
        <v>6.7939814814814703E-3</v>
      </c>
      <c r="K568" s="5">
        <f t="shared" si="79"/>
        <v>587</v>
      </c>
      <c r="L568" s="3">
        <v>6.3784722222222257E-2</v>
      </c>
      <c r="N568" s="1" t="s">
        <v>75</v>
      </c>
      <c r="O568" s="1" t="s">
        <v>286</v>
      </c>
      <c r="P568" s="1" t="s">
        <v>227</v>
      </c>
      <c r="Q568" s="1" t="s">
        <v>191</v>
      </c>
      <c r="R568" s="1" t="s">
        <v>191</v>
      </c>
      <c r="S568" s="1" t="s">
        <v>46</v>
      </c>
      <c r="T568" s="1" t="s">
        <v>45</v>
      </c>
      <c r="U568" s="1" t="s">
        <v>66</v>
      </c>
      <c r="V568" s="1" t="s">
        <v>49</v>
      </c>
      <c r="W568" s="1" t="s">
        <v>233</v>
      </c>
      <c r="X568" s="1" t="s">
        <v>783</v>
      </c>
      <c r="Y568" s="1" t="s">
        <v>725</v>
      </c>
      <c r="Z568" s="1" t="s">
        <v>726</v>
      </c>
      <c r="AA568" s="1" t="s">
        <v>784</v>
      </c>
      <c r="AB568" s="1" t="s">
        <v>785</v>
      </c>
      <c r="AC568" s="1">
        <v>0</v>
      </c>
      <c r="AD568" s="1" t="s">
        <v>56</v>
      </c>
      <c r="AE568" s="1" t="s">
        <v>83</v>
      </c>
      <c r="AF568" s="1" t="s">
        <v>113</v>
      </c>
      <c r="AG568" s="1" t="s">
        <v>825</v>
      </c>
      <c r="AH568" s="1" t="s">
        <v>206</v>
      </c>
      <c r="AI568" s="1" t="s">
        <v>75</v>
      </c>
      <c r="AK568" s="1" t="s">
        <v>116</v>
      </c>
      <c r="AL568" s="1" t="s">
        <v>155</v>
      </c>
      <c r="AM568" s="1">
        <v>1</v>
      </c>
      <c r="AN568" s="1">
        <v>0</v>
      </c>
      <c r="AO568" s="1">
        <f t="shared" si="80"/>
        <v>1</v>
      </c>
    </row>
    <row r="569" spans="1:41" x14ac:dyDescent="0.4">
      <c r="A569" s="1">
        <v>1</v>
      </c>
      <c r="B569" s="1">
        <v>3</v>
      </c>
      <c r="C569" s="1" t="s">
        <v>41</v>
      </c>
      <c r="D569" s="2">
        <v>38918</v>
      </c>
      <c r="E569" s="1">
        <v>201</v>
      </c>
      <c r="F569" s="1">
        <v>1.5</v>
      </c>
      <c r="G569" s="3">
        <v>0.35408564814814819</v>
      </c>
      <c r="H569" s="3">
        <v>0.3541435185185185</v>
      </c>
      <c r="I569" s="3">
        <v>5.7870370370305402E-5</v>
      </c>
      <c r="J569" s="3">
        <v>5.7870370370305402E-5</v>
      </c>
      <c r="K569" s="5">
        <f t="shared" si="79"/>
        <v>5</v>
      </c>
      <c r="L569" s="3">
        <v>3.7025462962962941E-2</v>
      </c>
      <c r="N569" s="1" t="s">
        <v>251</v>
      </c>
      <c r="O569" s="1" t="s">
        <v>286</v>
      </c>
      <c r="P569" s="1" t="s">
        <v>227</v>
      </c>
      <c r="Q569" s="1" t="s">
        <v>45</v>
      </c>
      <c r="R569" s="1" t="s">
        <v>191</v>
      </c>
      <c r="S569" s="1" t="s">
        <v>46</v>
      </c>
      <c r="T569" s="1" t="s">
        <v>47</v>
      </c>
      <c r="U569" s="1" t="s">
        <v>156</v>
      </c>
      <c r="AB569" s="1" t="s">
        <v>93</v>
      </c>
      <c r="AC569" s="1">
        <v>1</v>
      </c>
      <c r="AI569" s="1" t="s">
        <v>255</v>
      </c>
      <c r="AK569" s="1" t="s">
        <v>86</v>
      </c>
      <c r="AL569" s="1" t="s">
        <v>133</v>
      </c>
      <c r="AN569" s="1">
        <v>1</v>
      </c>
      <c r="AO569" s="1">
        <f t="shared" si="80"/>
        <v>1</v>
      </c>
    </row>
    <row r="570" spans="1:41" x14ac:dyDescent="0.4">
      <c r="A570" s="1">
        <v>1</v>
      </c>
      <c r="B570" s="1">
        <v>3</v>
      </c>
      <c r="C570" s="1" t="s">
        <v>41</v>
      </c>
      <c r="D570" s="2">
        <v>38918</v>
      </c>
      <c r="E570" s="1">
        <v>201</v>
      </c>
      <c r="F570" s="1">
        <v>2</v>
      </c>
      <c r="G570" s="3">
        <v>0.39116898148148144</v>
      </c>
      <c r="H570" s="3">
        <v>0.39484953703703707</v>
      </c>
      <c r="I570" s="3">
        <v>3.6805555555556313E-3</v>
      </c>
      <c r="J570" s="3">
        <v>3.5185185185185319E-3</v>
      </c>
      <c r="K570" s="5">
        <f t="shared" si="79"/>
        <v>304</v>
      </c>
      <c r="L570" s="3">
        <v>5.4050925925925863E-3</v>
      </c>
      <c r="N570" s="1" t="s">
        <v>251</v>
      </c>
      <c r="O570" s="1" t="s">
        <v>286</v>
      </c>
      <c r="P570" s="1" t="s">
        <v>227</v>
      </c>
      <c r="Q570" s="1" t="s">
        <v>132</v>
      </c>
      <c r="R570" s="1" t="s">
        <v>191</v>
      </c>
      <c r="S570" s="1" t="s">
        <v>46</v>
      </c>
      <c r="T570" s="1" t="s">
        <v>76</v>
      </c>
      <c r="U570" s="1" t="s">
        <v>156</v>
      </c>
      <c r="V570" s="1" t="s">
        <v>297</v>
      </c>
      <c r="W570" s="1" t="s">
        <v>167</v>
      </c>
      <c r="X570" s="1" t="s">
        <v>803</v>
      </c>
      <c r="Y570" s="1" t="s">
        <v>79</v>
      </c>
      <c r="Z570" s="1" t="s">
        <v>804</v>
      </c>
      <c r="AA570" s="1" t="s">
        <v>805</v>
      </c>
      <c r="AB570" s="1" t="s">
        <v>806</v>
      </c>
      <c r="AC570" s="1">
        <v>0</v>
      </c>
      <c r="AD570" s="1" t="s">
        <v>56</v>
      </c>
      <c r="AE570" s="1" t="s">
        <v>83</v>
      </c>
      <c r="AH570" s="1" t="s">
        <v>157</v>
      </c>
      <c r="AI570" s="1" t="s">
        <v>255</v>
      </c>
      <c r="AK570" s="1" t="s">
        <v>86</v>
      </c>
      <c r="AL570" s="1" t="s">
        <v>87</v>
      </c>
      <c r="AN570" s="1">
        <v>1</v>
      </c>
      <c r="AO570" s="1">
        <f t="shared" si="80"/>
        <v>1</v>
      </c>
    </row>
    <row r="571" spans="1:41" x14ac:dyDescent="0.4">
      <c r="A571" s="1">
        <v>1</v>
      </c>
      <c r="B571" s="1">
        <v>3</v>
      </c>
      <c r="C571" s="1" t="s">
        <v>41</v>
      </c>
      <c r="D571" s="2">
        <v>38918</v>
      </c>
      <c r="E571" s="1">
        <v>201</v>
      </c>
      <c r="F571" s="1">
        <v>3.5</v>
      </c>
      <c r="G571" s="3">
        <v>0.40025462962962965</v>
      </c>
      <c r="H571" s="3">
        <v>0.40128472222222222</v>
      </c>
      <c r="I571" s="3">
        <v>1.0300925925925686E-3</v>
      </c>
      <c r="J571" s="3">
        <v>5.7870370370360913E-5</v>
      </c>
      <c r="K571" s="5">
        <f t="shared" si="79"/>
        <v>5</v>
      </c>
      <c r="L571" s="3">
        <v>2.615740740740724E-3</v>
      </c>
      <c r="N571" s="1" t="s">
        <v>251</v>
      </c>
      <c r="O571" s="1" t="s">
        <v>286</v>
      </c>
      <c r="P571" s="1" t="s">
        <v>227</v>
      </c>
      <c r="Q571" s="1" t="s">
        <v>45</v>
      </c>
      <c r="R571" s="1" t="s">
        <v>45</v>
      </c>
      <c r="S571" s="1" t="s">
        <v>46</v>
      </c>
      <c r="T571" s="1" t="s">
        <v>45</v>
      </c>
      <c r="U571" s="1" t="s">
        <v>156</v>
      </c>
      <c r="AB571" s="1" t="s">
        <v>93</v>
      </c>
      <c r="AC571" s="1">
        <v>1</v>
      </c>
      <c r="AI571" s="1" t="s">
        <v>255</v>
      </c>
      <c r="AK571" s="1" t="s">
        <v>86</v>
      </c>
      <c r="AL571" s="1" t="s">
        <v>87</v>
      </c>
      <c r="AN571" s="1">
        <v>1</v>
      </c>
      <c r="AO571" s="1">
        <f t="shared" si="80"/>
        <v>1</v>
      </c>
    </row>
    <row r="572" spans="1:41" x14ac:dyDescent="0.4">
      <c r="A572" s="1">
        <v>1</v>
      </c>
      <c r="B572" s="1">
        <v>3</v>
      </c>
      <c r="C572" s="1" t="s">
        <v>41</v>
      </c>
      <c r="D572" s="2">
        <v>38918</v>
      </c>
      <c r="E572" s="1">
        <v>201</v>
      </c>
      <c r="F572" s="1">
        <v>3.7</v>
      </c>
      <c r="G572" s="3">
        <v>0.40390046296296295</v>
      </c>
      <c r="H572" s="3">
        <v>0.40418981481481481</v>
      </c>
      <c r="I572" s="3">
        <v>2.8935185185186008E-4</v>
      </c>
      <c r="J572" s="3">
        <v>3.4722222222283161E-5</v>
      </c>
      <c r="K572" s="5">
        <f t="shared" si="79"/>
        <v>3</v>
      </c>
      <c r="L572" s="3">
        <v>3.4722222222222099E-3</v>
      </c>
      <c r="N572" s="1" t="s">
        <v>251</v>
      </c>
      <c r="O572" s="1" t="s">
        <v>286</v>
      </c>
      <c r="P572" s="1" t="s">
        <v>227</v>
      </c>
      <c r="Q572" s="1" t="s">
        <v>76</v>
      </c>
      <c r="R572" s="1" t="s">
        <v>76</v>
      </c>
      <c r="S572" s="1" t="s">
        <v>46</v>
      </c>
      <c r="T572" s="1" t="s">
        <v>45</v>
      </c>
      <c r="U572" s="1" t="s">
        <v>156</v>
      </c>
      <c r="AB572" s="1" t="s">
        <v>93</v>
      </c>
      <c r="AC572" s="1">
        <v>1</v>
      </c>
      <c r="AG572" s="1" t="s">
        <v>826</v>
      </c>
      <c r="AI572" s="1" t="s">
        <v>255</v>
      </c>
      <c r="AK572" s="1" t="s">
        <v>61</v>
      </c>
      <c r="AL572" s="1" t="s">
        <v>133</v>
      </c>
      <c r="AM572" s="1">
        <v>1</v>
      </c>
      <c r="AN572" s="1">
        <v>0</v>
      </c>
      <c r="AO572" s="1">
        <f t="shared" si="80"/>
        <v>1</v>
      </c>
    </row>
    <row r="573" spans="1:41" x14ac:dyDescent="0.4">
      <c r="A573" s="1">
        <v>1</v>
      </c>
      <c r="B573" s="1">
        <v>3</v>
      </c>
      <c r="C573" s="1" t="s">
        <v>41</v>
      </c>
      <c r="D573" s="2">
        <v>38918</v>
      </c>
      <c r="E573" s="1">
        <v>201</v>
      </c>
      <c r="F573" s="1">
        <v>4</v>
      </c>
      <c r="G573" s="3">
        <v>0.40766203703703702</v>
      </c>
      <c r="H573" s="3">
        <v>0.41092592592592592</v>
      </c>
      <c r="I573" s="3">
        <v>3.2638888888888995E-3</v>
      </c>
      <c r="J573" s="3">
        <v>3.2638888888888995E-3</v>
      </c>
      <c r="K573" s="5">
        <f t="shared" si="79"/>
        <v>282</v>
      </c>
      <c r="L573" s="3">
        <v>8.9421296296296249E-2</v>
      </c>
      <c r="N573" s="1" t="s">
        <v>251</v>
      </c>
      <c r="O573" s="1" t="s">
        <v>286</v>
      </c>
      <c r="P573" s="1" t="s">
        <v>227</v>
      </c>
      <c r="Q573" s="1" t="s">
        <v>76</v>
      </c>
      <c r="R573" s="1" t="s">
        <v>76</v>
      </c>
      <c r="S573" s="1" t="s">
        <v>46</v>
      </c>
      <c r="T573" s="1" t="s">
        <v>45</v>
      </c>
      <c r="U573" s="1" t="s">
        <v>66</v>
      </c>
      <c r="V573" s="1" t="s">
        <v>49</v>
      </c>
      <c r="W573" s="1" t="s">
        <v>77</v>
      </c>
      <c r="X573" s="1" t="s">
        <v>177</v>
      </c>
      <c r="Y573" s="1" t="s">
        <v>239</v>
      </c>
      <c r="Z573" s="1" t="s">
        <v>240</v>
      </c>
      <c r="AA573" s="1" t="s">
        <v>241</v>
      </c>
      <c r="AB573" s="1" t="s">
        <v>242</v>
      </c>
      <c r="AC573" s="1">
        <v>0</v>
      </c>
      <c r="AD573" s="1" t="s">
        <v>105</v>
      </c>
      <c r="AE573" s="1" t="s">
        <v>181</v>
      </c>
      <c r="AG573" s="1" t="s">
        <v>827</v>
      </c>
      <c r="AH573" s="1" t="s">
        <v>115</v>
      </c>
      <c r="AI573" s="1" t="s">
        <v>257</v>
      </c>
      <c r="AK573" s="1" t="s">
        <v>86</v>
      </c>
      <c r="AL573" s="1" t="s">
        <v>87</v>
      </c>
      <c r="AM573" s="1">
        <v>1</v>
      </c>
      <c r="AN573" s="1">
        <v>0</v>
      </c>
      <c r="AO573" s="1">
        <f t="shared" si="80"/>
        <v>1</v>
      </c>
    </row>
    <row r="574" spans="1:41" x14ac:dyDescent="0.4">
      <c r="A574" s="1">
        <v>1</v>
      </c>
      <c r="B574" s="1">
        <v>3</v>
      </c>
      <c r="C574" s="1" t="s">
        <v>41</v>
      </c>
      <c r="D574" s="2">
        <v>38918</v>
      </c>
      <c r="E574" s="1">
        <v>201</v>
      </c>
      <c r="F574" s="1">
        <v>7</v>
      </c>
      <c r="G574" s="3">
        <v>0.50034722222222217</v>
      </c>
      <c r="H574" s="3">
        <v>0.54312499999999997</v>
      </c>
      <c r="I574" s="3">
        <v>4.2777777777777803E-2</v>
      </c>
      <c r="J574" s="3">
        <v>2.8333333333333544E-2</v>
      </c>
      <c r="K574" s="5">
        <f t="shared" si="79"/>
        <v>2448</v>
      </c>
      <c r="L574" s="3">
        <v>9.1087962962963509E-3</v>
      </c>
      <c r="N574" s="1" t="s">
        <v>251</v>
      </c>
      <c r="O574" s="1" t="s">
        <v>286</v>
      </c>
      <c r="P574" s="1" t="s">
        <v>227</v>
      </c>
      <c r="Q574" s="1" t="s">
        <v>45</v>
      </c>
      <c r="R574" s="1" t="s">
        <v>132</v>
      </c>
      <c r="S574" s="1" t="s">
        <v>46</v>
      </c>
      <c r="T574" s="1" t="s">
        <v>47</v>
      </c>
      <c r="U574" s="1" t="s">
        <v>156</v>
      </c>
      <c r="V574" s="1" t="s">
        <v>49</v>
      </c>
      <c r="W574" s="1" t="s">
        <v>200</v>
      </c>
      <c r="X574" s="1" t="s">
        <v>201</v>
      </c>
      <c r="Y574" s="1" t="s">
        <v>126</v>
      </c>
      <c r="Z574" s="1" t="s">
        <v>202</v>
      </c>
      <c r="AA574" s="1" t="s">
        <v>203</v>
      </c>
      <c r="AB574" s="1" t="s">
        <v>204</v>
      </c>
      <c r="AC574" s="1">
        <v>0</v>
      </c>
      <c r="AD574" s="1" t="s">
        <v>56</v>
      </c>
      <c r="AE574" s="1" t="s">
        <v>83</v>
      </c>
      <c r="AF574" s="1" t="s">
        <v>213</v>
      </c>
      <c r="AG574" s="1" t="s">
        <v>814</v>
      </c>
      <c r="AH574" s="1" t="s">
        <v>206</v>
      </c>
      <c r="AI574" s="1" t="s">
        <v>255</v>
      </c>
      <c r="AK574" s="1" t="s">
        <v>86</v>
      </c>
      <c r="AL574" s="1" t="s">
        <v>86</v>
      </c>
      <c r="AM574" s="1">
        <v>4</v>
      </c>
      <c r="AN574" s="1">
        <v>0</v>
      </c>
      <c r="AO574" s="1">
        <f t="shared" si="80"/>
        <v>4</v>
      </c>
    </row>
    <row r="575" spans="1:41" x14ac:dyDescent="0.4">
      <c r="A575" s="1">
        <v>1</v>
      </c>
      <c r="B575" s="1">
        <v>3</v>
      </c>
      <c r="C575" s="1" t="s">
        <v>41</v>
      </c>
      <c r="D575" s="2">
        <v>38918</v>
      </c>
      <c r="E575" s="1">
        <v>201</v>
      </c>
      <c r="F575" s="1">
        <v>8</v>
      </c>
      <c r="G575" s="3">
        <v>0.55223379629629632</v>
      </c>
      <c r="H575" s="3">
        <v>0.55292824074074076</v>
      </c>
      <c r="I575" s="3">
        <v>6.9444444444444198E-4</v>
      </c>
      <c r="J575" s="3">
        <v>6.9444444444444198E-4</v>
      </c>
      <c r="K575" s="5">
        <f t="shared" si="79"/>
        <v>60</v>
      </c>
      <c r="L575" s="3">
        <v>6.3819444444444429E-2</v>
      </c>
      <c r="N575" s="1" t="s">
        <v>251</v>
      </c>
      <c r="O575" s="1" t="s">
        <v>286</v>
      </c>
      <c r="P575" s="1" t="s">
        <v>227</v>
      </c>
      <c r="Q575" s="1" t="s">
        <v>76</v>
      </c>
      <c r="R575" s="1" t="s">
        <v>191</v>
      </c>
      <c r="S575" s="1" t="s">
        <v>46</v>
      </c>
      <c r="T575" s="1" t="s">
        <v>45</v>
      </c>
      <c r="U575" s="1" t="s">
        <v>156</v>
      </c>
      <c r="V575" s="1" t="s">
        <v>102</v>
      </c>
      <c r="W575" s="1" t="s">
        <v>231</v>
      </c>
      <c r="X575" s="1" t="s">
        <v>96</v>
      </c>
      <c r="AB575" s="1" t="s">
        <v>104</v>
      </c>
      <c r="AC575" s="1">
        <v>0</v>
      </c>
      <c r="AD575" s="1" t="s">
        <v>105</v>
      </c>
      <c r="AE575" s="1" t="s">
        <v>70</v>
      </c>
      <c r="AG575" s="1" t="s">
        <v>828</v>
      </c>
      <c r="AH575" s="1" t="s">
        <v>157</v>
      </c>
      <c r="AI575" s="1" t="s">
        <v>255</v>
      </c>
      <c r="AK575" s="1" t="s">
        <v>86</v>
      </c>
      <c r="AL575" s="1" t="s">
        <v>133</v>
      </c>
      <c r="AM575" s="1">
        <v>1</v>
      </c>
      <c r="AN575" s="1">
        <v>0</v>
      </c>
      <c r="AO575" s="1">
        <f t="shared" si="80"/>
        <v>1</v>
      </c>
    </row>
    <row r="576" spans="1:41" x14ac:dyDescent="0.4">
      <c r="A576" s="1">
        <v>1</v>
      </c>
      <c r="B576" s="1">
        <v>3</v>
      </c>
      <c r="C576" s="1" t="s">
        <v>41</v>
      </c>
      <c r="D576" s="2">
        <v>38918</v>
      </c>
      <c r="E576" s="1">
        <v>201</v>
      </c>
      <c r="F576" s="1">
        <v>9</v>
      </c>
      <c r="G576" s="3">
        <v>0.61674768518518519</v>
      </c>
      <c r="H576" s="3">
        <v>0.62130787037037039</v>
      </c>
      <c r="I576" s="3">
        <v>4.5601851851851949E-3</v>
      </c>
      <c r="J576" s="3">
        <v>4.5601851851851949E-3</v>
      </c>
      <c r="K576" s="5">
        <f t="shared" si="79"/>
        <v>394</v>
      </c>
      <c r="L576" s="3">
        <v>8.4490740740739145E-4</v>
      </c>
      <c r="N576" s="1" t="s">
        <v>42</v>
      </c>
      <c r="O576" s="1" t="s">
        <v>286</v>
      </c>
      <c r="P576" s="1" t="s">
        <v>227</v>
      </c>
      <c r="Q576" s="1" t="s">
        <v>76</v>
      </c>
      <c r="R576" s="1" t="s">
        <v>76</v>
      </c>
      <c r="S576" s="1" t="s">
        <v>46</v>
      </c>
      <c r="T576" s="1" t="s">
        <v>45</v>
      </c>
      <c r="U576" s="1" t="s">
        <v>66</v>
      </c>
      <c r="V576" s="1" t="s">
        <v>49</v>
      </c>
      <c r="W576" s="1" t="s">
        <v>268</v>
      </c>
      <c r="X576" s="1" t="s">
        <v>316</v>
      </c>
      <c r="Y576" s="1" t="s">
        <v>52</v>
      </c>
      <c r="Z576" s="1" t="s">
        <v>317</v>
      </c>
      <c r="AA576" s="1">
        <v>1</v>
      </c>
      <c r="AB576" s="1" t="s">
        <v>318</v>
      </c>
      <c r="AC576" s="1">
        <v>0</v>
      </c>
      <c r="AD576" s="1" t="s">
        <v>105</v>
      </c>
      <c r="AE576" s="1" t="s">
        <v>57</v>
      </c>
      <c r="AF576" s="1" t="s">
        <v>213</v>
      </c>
      <c r="AG576" s="1" t="s">
        <v>782</v>
      </c>
      <c r="AH576" s="1" t="s">
        <v>165</v>
      </c>
      <c r="AI576" s="1" t="s">
        <v>71</v>
      </c>
      <c r="AK576" s="1" t="s">
        <v>116</v>
      </c>
      <c r="AL576" s="1" t="s">
        <v>117</v>
      </c>
      <c r="AM576" s="1">
        <v>4</v>
      </c>
      <c r="AN576" s="1">
        <v>0</v>
      </c>
      <c r="AO576" s="1">
        <f t="shared" si="80"/>
        <v>4</v>
      </c>
    </row>
    <row r="577" spans="1:41" x14ac:dyDescent="0.4">
      <c r="A577" s="1">
        <v>1</v>
      </c>
      <c r="B577" s="1">
        <v>3</v>
      </c>
      <c r="C577" s="1" t="s">
        <v>41</v>
      </c>
      <c r="D577" s="2">
        <v>38918</v>
      </c>
      <c r="E577" s="1">
        <v>201</v>
      </c>
      <c r="F577" s="1">
        <v>10</v>
      </c>
      <c r="G577" s="3">
        <v>0.62215277777777778</v>
      </c>
      <c r="H577" s="3">
        <v>0.62329861111111107</v>
      </c>
      <c r="I577" s="3">
        <v>1.1458333333332904E-3</v>
      </c>
      <c r="J577" s="3">
        <v>1.1458333333332904E-3</v>
      </c>
      <c r="K577" s="5">
        <f t="shared" si="79"/>
        <v>99</v>
      </c>
      <c r="L577" s="3">
        <v>7.1064814814815191E-3</v>
      </c>
      <c r="N577" s="1" t="s">
        <v>42</v>
      </c>
      <c r="O577" s="1" t="s">
        <v>286</v>
      </c>
      <c r="P577" s="1" t="s">
        <v>227</v>
      </c>
      <c r="Q577" s="1" t="s">
        <v>76</v>
      </c>
      <c r="R577" s="1" t="s">
        <v>76</v>
      </c>
      <c r="S577" s="1" t="s">
        <v>46</v>
      </c>
      <c r="T577" s="1" t="s">
        <v>47</v>
      </c>
      <c r="U577" s="1" t="s">
        <v>156</v>
      </c>
      <c r="V577" s="1" t="s">
        <v>49</v>
      </c>
      <c r="W577" s="1" t="s">
        <v>50</v>
      </c>
      <c r="X577" s="1" t="s">
        <v>405</v>
      </c>
      <c r="Y577" s="1" t="s">
        <v>406</v>
      </c>
      <c r="Z577" s="1" t="s">
        <v>407</v>
      </c>
      <c r="AA577" s="1" t="s">
        <v>408</v>
      </c>
      <c r="AB577" s="1" t="s">
        <v>409</v>
      </c>
      <c r="AC577" s="1">
        <v>0</v>
      </c>
      <c r="AD577" s="1" t="s">
        <v>105</v>
      </c>
      <c r="AE577" s="1" t="s">
        <v>181</v>
      </c>
      <c r="AF577" s="1" t="s">
        <v>113</v>
      </c>
      <c r="AG577" s="1" t="s">
        <v>829</v>
      </c>
      <c r="AH577" s="1" t="s">
        <v>59</v>
      </c>
      <c r="AI577" s="1" t="s">
        <v>75</v>
      </c>
      <c r="AK577" s="1" t="s">
        <v>61</v>
      </c>
      <c r="AL577" s="1" t="s">
        <v>133</v>
      </c>
      <c r="AM577" s="1">
        <v>4</v>
      </c>
      <c r="AN577" s="1">
        <v>0</v>
      </c>
      <c r="AO577" s="1">
        <f t="shared" si="80"/>
        <v>4</v>
      </c>
    </row>
    <row r="578" spans="1:41" x14ac:dyDescent="0.4">
      <c r="A578" s="1">
        <v>1</v>
      </c>
      <c r="B578" s="1">
        <v>3</v>
      </c>
      <c r="C578" s="1" t="s">
        <v>41</v>
      </c>
      <c r="D578" s="2">
        <v>38918</v>
      </c>
      <c r="E578" s="1">
        <v>201</v>
      </c>
      <c r="F578" s="1">
        <v>11</v>
      </c>
      <c r="G578" s="3">
        <v>0.63040509259259259</v>
      </c>
      <c r="H578" s="3">
        <v>0.63255787037037037</v>
      </c>
      <c r="I578" s="3">
        <v>2.1527777777777812E-3</v>
      </c>
      <c r="J578" s="3">
        <v>2.1527777777777812E-3</v>
      </c>
      <c r="K578" s="5">
        <f t="shared" ref="K578:K641" si="81">HOUR(J578)*60*60+MINUTE(J578)*60+SECOND(J578)</f>
        <v>186</v>
      </c>
      <c r="L578" s="3">
        <v>1.7361111111111605E-3</v>
      </c>
      <c r="N578" s="1" t="s">
        <v>42</v>
      </c>
      <c r="O578" s="1" t="s">
        <v>286</v>
      </c>
      <c r="P578" s="1" t="s">
        <v>227</v>
      </c>
      <c r="Q578" s="1" t="s">
        <v>45</v>
      </c>
      <c r="R578" s="1" t="s">
        <v>76</v>
      </c>
      <c r="S578" s="1" t="s">
        <v>46</v>
      </c>
      <c r="T578" s="1" t="s">
        <v>45</v>
      </c>
      <c r="U578" s="1" t="s">
        <v>66</v>
      </c>
      <c r="V578" s="1" t="s">
        <v>49</v>
      </c>
      <c r="W578" s="1" t="s">
        <v>77</v>
      </c>
      <c r="X578" s="1" t="s">
        <v>830</v>
      </c>
      <c r="Y578" s="1" t="s">
        <v>109</v>
      </c>
      <c r="Z578" s="1" t="s">
        <v>831</v>
      </c>
      <c r="AA578" s="1" t="s">
        <v>832</v>
      </c>
      <c r="AB578" s="1" t="s">
        <v>833</v>
      </c>
      <c r="AC578" s="1">
        <v>0</v>
      </c>
      <c r="AD578" s="1" t="s">
        <v>56</v>
      </c>
      <c r="AE578" s="1" t="s">
        <v>83</v>
      </c>
      <c r="AF578" s="1" t="s">
        <v>113</v>
      </c>
      <c r="AG578" s="1" t="s">
        <v>764</v>
      </c>
      <c r="AH578" s="1" t="s">
        <v>115</v>
      </c>
      <c r="AI578" s="1" t="s">
        <v>71</v>
      </c>
      <c r="AK578" s="1" t="s">
        <v>86</v>
      </c>
      <c r="AL578" s="1" t="s">
        <v>133</v>
      </c>
      <c r="AM578" s="1">
        <v>6</v>
      </c>
      <c r="AN578" s="1">
        <v>0</v>
      </c>
      <c r="AO578" s="1">
        <f t="shared" si="80"/>
        <v>6</v>
      </c>
    </row>
    <row r="579" spans="1:41" x14ac:dyDescent="0.4">
      <c r="A579" s="1">
        <v>1</v>
      </c>
      <c r="B579" s="1">
        <v>3</v>
      </c>
      <c r="C579" s="1" t="s">
        <v>41</v>
      </c>
      <c r="D579" s="2">
        <v>38918</v>
      </c>
      <c r="E579" s="1">
        <v>201</v>
      </c>
      <c r="F579" s="1">
        <v>12</v>
      </c>
      <c r="G579" s="3">
        <v>0.63429398148148153</v>
      </c>
      <c r="H579" s="3">
        <v>0.63466435185185188</v>
      </c>
      <c r="I579" s="3">
        <v>3.7037037037035425E-4</v>
      </c>
      <c r="J579" s="3">
        <v>3.7037037037035425E-4</v>
      </c>
      <c r="K579" s="5">
        <f t="shared" si="81"/>
        <v>32</v>
      </c>
      <c r="L579" s="3">
        <v>1.185185185185178E-2</v>
      </c>
      <c r="N579" s="1" t="s">
        <v>42</v>
      </c>
      <c r="O579" s="1" t="s">
        <v>286</v>
      </c>
      <c r="P579" s="1" t="s">
        <v>227</v>
      </c>
      <c r="Q579" s="1" t="s">
        <v>132</v>
      </c>
      <c r="R579" s="1" t="s">
        <v>45</v>
      </c>
      <c r="S579" s="1" t="s">
        <v>46</v>
      </c>
      <c r="T579" s="1" t="s">
        <v>45</v>
      </c>
      <c r="U579" s="1" t="s">
        <v>92</v>
      </c>
      <c r="V579" s="1" t="s">
        <v>102</v>
      </c>
      <c r="W579" s="1" t="s">
        <v>103</v>
      </c>
      <c r="X579" s="1" t="s">
        <v>96</v>
      </c>
      <c r="AB579" s="1" t="s">
        <v>104</v>
      </c>
      <c r="AC579" s="1">
        <v>0</v>
      </c>
      <c r="AD579" s="1" t="s">
        <v>105</v>
      </c>
      <c r="AE579" s="1" t="s">
        <v>70</v>
      </c>
      <c r="AG579" s="1" t="s">
        <v>834</v>
      </c>
      <c r="AH579" s="1" t="s">
        <v>157</v>
      </c>
      <c r="AI579" s="1" t="s">
        <v>75</v>
      </c>
      <c r="AK579" s="1" t="s">
        <v>116</v>
      </c>
      <c r="AL579" s="1" t="s">
        <v>174</v>
      </c>
      <c r="AM579" s="1">
        <v>1</v>
      </c>
      <c r="AN579" s="1">
        <v>0</v>
      </c>
      <c r="AO579" s="1">
        <f t="shared" ref="AO579:AO642" si="82">SUM(AM579:AN579)</f>
        <v>1</v>
      </c>
    </row>
    <row r="580" spans="1:41" x14ac:dyDescent="0.4">
      <c r="A580" s="1">
        <v>1</v>
      </c>
      <c r="B580" s="1">
        <v>3</v>
      </c>
      <c r="C580" s="1" t="s">
        <v>41</v>
      </c>
      <c r="D580" s="2">
        <v>38918</v>
      </c>
      <c r="E580" s="1">
        <v>201</v>
      </c>
      <c r="F580" s="1">
        <v>14</v>
      </c>
      <c r="G580" s="3">
        <v>0.64651620370370366</v>
      </c>
      <c r="H580" s="3">
        <v>0.64872685185185186</v>
      </c>
      <c r="I580" s="3">
        <v>2.2106481481481977E-3</v>
      </c>
      <c r="J580" s="3">
        <v>2.2106481481481977E-3</v>
      </c>
      <c r="K580" s="5">
        <f t="shared" si="81"/>
        <v>191</v>
      </c>
      <c r="L580" s="3">
        <v>8.3912037037037202E-3</v>
      </c>
      <c r="N580" s="1" t="s">
        <v>42</v>
      </c>
      <c r="O580" s="1" t="s">
        <v>286</v>
      </c>
      <c r="P580" s="1" t="s">
        <v>227</v>
      </c>
      <c r="Q580" s="1" t="s">
        <v>76</v>
      </c>
      <c r="R580" s="1" t="s">
        <v>132</v>
      </c>
      <c r="S580" s="1" t="s">
        <v>46</v>
      </c>
      <c r="T580" s="1" t="s">
        <v>47</v>
      </c>
      <c r="U580" s="1" t="s">
        <v>156</v>
      </c>
      <c r="V580" s="1" t="s">
        <v>102</v>
      </c>
      <c r="W580" s="1" t="s">
        <v>103</v>
      </c>
      <c r="X580" s="1" t="s">
        <v>96</v>
      </c>
      <c r="AB580" s="1" t="s">
        <v>104</v>
      </c>
      <c r="AC580" s="1">
        <v>0</v>
      </c>
      <c r="AD580" s="1" t="s">
        <v>105</v>
      </c>
      <c r="AE580" s="1" t="s">
        <v>70</v>
      </c>
      <c r="AF580" s="1" t="s">
        <v>113</v>
      </c>
      <c r="AG580" s="1" t="s">
        <v>835</v>
      </c>
      <c r="AH580" s="1" t="s">
        <v>157</v>
      </c>
      <c r="AI580" s="1" t="s">
        <v>75</v>
      </c>
      <c r="AK580" s="1" t="s">
        <v>116</v>
      </c>
      <c r="AL580" s="1" t="s">
        <v>117</v>
      </c>
      <c r="AM580" s="1">
        <v>1</v>
      </c>
      <c r="AN580" s="1">
        <v>0</v>
      </c>
      <c r="AO580" s="1">
        <f t="shared" si="82"/>
        <v>1</v>
      </c>
    </row>
    <row r="581" spans="1:41" x14ac:dyDescent="0.4">
      <c r="A581" s="1">
        <v>1</v>
      </c>
      <c r="B581" s="1">
        <v>3</v>
      </c>
      <c r="C581" s="1" t="s">
        <v>41</v>
      </c>
      <c r="D581" s="2">
        <v>38918</v>
      </c>
      <c r="E581" s="1">
        <v>201</v>
      </c>
      <c r="F581" s="1">
        <v>14.5</v>
      </c>
      <c r="G581" s="3">
        <v>0.65711805555555558</v>
      </c>
      <c r="H581" s="3">
        <v>0.65715277777777781</v>
      </c>
      <c r="I581" s="3">
        <v>3.472222222222765E-5</v>
      </c>
      <c r="J581" s="3">
        <v>3.472222222222765E-5</v>
      </c>
      <c r="K581" s="5">
        <f t="shared" si="81"/>
        <v>3</v>
      </c>
      <c r="L581" s="3">
        <v>7.1527777777777857E-3</v>
      </c>
      <c r="N581" s="1" t="s">
        <v>42</v>
      </c>
      <c r="O581" s="1" t="s">
        <v>286</v>
      </c>
      <c r="P581" s="1" t="s">
        <v>227</v>
      </c>
      <c r="Q581" s="1" t="s">
        <v>132</v>
      </c>
      <c r="R581" s="1" t="s">
        <v>132</v>
      </c>
      <c r="S581" s="1" t="s">
        <v>46</v>
      </c>
      <c r="T581" s="1" t="s">
        <v>45</v>
      </c>
      <c r="U581" s="1" t="s">
        <v>66</v>
      </c>
      <c r="AB581" s="1" t="s">
        <v>93</v>
      </c>
      <c r="AC581" s="1">
        <v>1</v>
      </c>
      <c r="AI581" s="1" t="s">
        <v>71</v>
      </c>
      <c r="AK581" s="1" t="s">
        <v>116</v>
      </c>
      <c r="AL581" s="1" t="s">
        <v>174</v>
      </c>
      <c r="AN581" s="1">
        <v>1</v>
      </c>
      <c r="AO581" s="1">
        <f t="shared" si="82"/>
        <v>1</v>
      </c>
    </row>
    <row r="582" spans="1:41" x14ac:dyDescent="0.4">
      <c r="A582" s="1">
        <v>1</v>
      </c>
      <c r="B582" s="1">
        <v>3</v>
      </c>
      <c r="C582" s="1" t="s">
        <v>41</v>
      </c>
      <c r="D582" s="2">
        <v>38918</v>
      </c>
      <c r="E582" s="1">
        <v>201</v>
      </c>
      <c r="F582" s="1">
        <v>15.5</v>
      </c>
      <c r="G582" s="3">
        <v>0.66430555555555559</v>
      </c>
      <c r="H582" s="3">
        <v>0.66437500000000005</v>
      </c>
      <c r="I582" s="3">
        <v>6.94444444444553E-5</v>
      </c>
      <c r="J582" s="3">
        <v>6.94444444444553E-5</v>
      </c>
      <c r="K582" s="5">
        <f t="shared" si="81"/>
        <v>6</v>
      </c>
      <c r="L582" s="3">
        <v>2.8124999999999956E-3</v>
      </c>
      <c r="N582" s="1" t="s">
        <v>42</v>
      </c>
      <c r="O582" s="1" t="s">
        <v>286</v>
      </c>
      <c r="P582" s="1" t="s">
        <v>227</v>
      </c>
      <c r="Q582" s="1" t="s">
        <v>132</v>
      </c>
      <c r="R582" s="1" t="s">
        <v>76</v>
      </c>
      <c r="S582" s="1" t="s">
        <v>46</v>
      </c>
      <c r="T582" s="1" t="s">
        <v>45</v>
      </c>
      <c r="U582" s="1" t="s">
        <v>66</v>
      </c>
      <c r="AB582" s="1" t="s">
        <v>93</v>
      </c>
      <c r="AC582" s="1">
        <v>1</v>
      </c>
      <c r="AI582" s="1" t="s">
        <v>71</v>
      </c>
      <c r="AK582" s="1" t="s">
        <v>61</v>
      </c>
      <c r="AL582" s="1" t="s">
        <v>72</v>
      </c>
      <c r="AN582" s="1">
        <v>1</v>
      </c>
      <c r="AO582" s="1">
        <f t="shared" si="82"/>
        <v>1</v>
      </c>
    </row>
    <row r="583" spans="1:41" x14ac:dyDescent="0.4">
      <c r="A583" s="1">
        <v>1</v>
      </c>
      <c r="B583" s="1">
        <v>3</v>
      </c>
      <c r="C583" s="1" t="s">
        <v>41</v>
      </c>
      <c r="D583" s="2">
        <v>38918</v>
      </c>
      <c r="E583" s="1">
        <v>201</v>
      </c>
      <c r="F583" s="1">
        <v>16</v>
      </c>
      <c r="G583" s="3">
        <v>0.66718750000000004</v>
      </c>
      <c r="H583" s="3">
        <v>0.66939814814814813</v>
      </c>
      <c r="I583" s="3">
        <v>2.2106481481480866E-3</v>
      </c>
      <c r="J583" s="3">
        <v>2.2106481481480866E-3</v>
      </c>
      <c r="K583" s="5">
        <f t="shared" si="81"/>
        <v>191</v>
      </c>
      <c r="L583" s="3" t="s">
        <v>120</v>
      </c>
      <c r="N583" s="1" t="s">
        <v>42</v>
      </c>
      <c r="O583" s="1" t="s">
        <v>286</v>
      </c>
      <c r="P583" s="1" t="s">
        <v>227</v>
      </c>
      <c r="Q583" s="1" t="s">
        <v>76</v>
      </c>
      <c r="R583" s="1" t="s">
        <v>76</v>
      </c>
      <c r="S583" s="1" t="s">
        <v>46</v>
      </c>
      <c r="T583" s="1" t="s">
        <v>45</v>
      </c>
      <c r="U583" s="1" t="s">
        <v>66</v>
      </c>
      <c r="V583" s="1" t="s">
        <v>49</v>
      </c>
      <c r="W583" s="1" t="s">
        <v>233</v>
      </c>
      <c r="X583" s="1" t="s">
        <v>783</v>
      </c>
      <c r="Y583" s="1" t="s">
        <v>725</v>
      </c>
      <c r="Z583" s="1" t="s">
        <v>726</v>
      </c>
      <c r="AA583" s="1" t="s">
        <v>784</v>
      </c>
      <c r="AB583" s="1" t="s">
        <v>785</v>
      </c>
      <c r="AC583" s="1">
        <v>0</v>
      </c>
      <c r="AD583" s="1" t="s">
        <v>56</v>
      </c>
      <c r="AE583" s="1" t="s">
        <v>83</v>
      </c>
      <c r="AF583" s="1" t="s">
        <v>153</v>
      </c>
      <c r="AG583" s="1" t="s">
        <v>815</v>
      </c>
      <c r="AH583" s="1" t="s">
        <v>206</v>
      </c>
      <c r="AI583" s="1" t="s">
        <v>71</v>
      </c>
      <c r="AJ583" s="1" t="s">
        <v>147</v>
      </c>
      <c r="AK583" s="1" t="s">
        <v>116</v>
      </c>
      <c r="AL583" s="1" t="s">
        <v>117</v>
      </c>
      <c r="AM583" s="1">
        <v>10</v>
      </c>
      <c r="AN583" s="1">
        <v>0</v>
      </c>
      <c r="AO583" s="1">
        <f t="shared" si="82"/>
        <v>10</v>
      </c>
    </row>
    <row r="584" spans="1:41" x14ac:dyDescent="0.4">
      <c r="A584" s="1">
        <v>1</v>
      </c>
      <c r="B584" s="1">
        <v>3</v>
      </c>
      <c r="C584" s="1" t="s">
        <v>41</v>
      </c>
      <c r="D584" s="2">
        <v>38930</v>
      </c>
      <c r="E584" s="1">
        <v>213</v>
      </c>
      <c r="F584" s="1">
        <v>1</v>
      </c>
      <c r="G584" s="3">
        <v>0.28438657407407408</v>
      </c>
      <c r="H584" s="3">
        <v>0.28650462962962964</v>
      </c>
      <c r="I584" s="3">
        <v>2.1180555555555536E-3</v>
      </c>
      <c r="J584" s="3">
        <v>2.1180555555555536E-3</v>
      </c>
      <c r="K584" s="5">
        <f t="shared" si="81"/>
        <v>183</v>
      </c>
      <c r="L584" s="3">
        <v>1.5081018518518507E-2</v>
      </c>
      <c r="N584" s="1" t="s">
        <v>75</v>
      </c>
      <c r="O584" s="1" t="s">
        <v>286</v>
      </c>
      <c r="P584" s="1" t="s">
        <v>227</v>
      </c>
      <c r="Q584" s="1" t="s">
        <v>45</v>
      </c>
      <c r="R584" s="1" t="s">
        <v>76</v>
      </c>
      <c r="S584" s="1" t="s">
        <v>46</v>
      </c>
      <c r="T584" s="1" t="s">
        <v>47</v>
      </c>
      <c r="U584" s="1" t="s">
        <v>66</v>
      </c>
      <c r="V584" s="1" t="s">
        <v>49</v>
      </c>
      <c r="W584" s="1" t="s">
        <v>50</v>
      </c>
      <c r="X584" s="1" t="s">
        <v>405</v>
      </c>
      <c r="Y584" s="1" t="s">
        <v>406</v>
      </c>
      <c r="Z584" s="1" t="s">
        <v>407</v>
      </c>
      <c r="AA584" s="1" t="s">
        <v>408</v>
      </c>
      <c r="AB584" s="1" t="s">
        <v>409</v>
      </c>
      <c r="AC584" s="1">
        <v>0</v>
      </c>
      <c r="AD584" s="1" t="s">
        <v>105</v>
      </c>
      <c r="AE584" s="1" t="s">
        <v>181</v>
      </c>
      <c r="AF584" s="1" t="s">
        <v>113</v>
      </c>
      <c r="AG584" s="1" t="s">
        <v>836</v>
      </c>
      <c r="AH584" s="1" t="s">
        <v>59</v>
      </c>
      <c r="AI584" s="1" t="s">
        <v>75</v>
      </c>
      <c r="AK584" s="1" t="s">
        <v>86</v>
      </c>
      <c r="AL584" s="1" t="s">
        <v>133</v>
      </c>
      <c r="AM584" s="1">
        <v>3</v>
      </c>
      <c r="AN584" s="1">
        <v>0</v>
      </c>
      <c r="AO584" s="1">
        <f t="shared" si="82"/>
        <v>3</v>
      </c>
    </row>
    <row r="585" spans="1:41" x14ac:dyDescent="0.4">
      <c r="A585" s="1">
        <v>1</v>
      </c>
      <c r="B585" s="1">
        <v>3</v>
      </c>
      <c r="C585" s="1" t="s">
        <v>41</v>
      </c>
      <c r="D585" s="2">
        <v>38930</v>
      </c>
      <c r="E585" s="1">
        <v>213</v>
      </c>
      <c r="F585" s="1">
        <v>3</v>
      </c>
      <c r="G585" s="3">
        <v>0.30158564814814814</v>
      </c>
      <c r="H585" s="3">
        <v>0.30997685185185186</v>
      </c>
      <c r="I585" s="3">
        <v>8.3912037037037202E-3</v>
      </c>
      <c r="J585" s="3">
        <v>8.0787037037037268E-3</v>
      </c>
      <c r="K585" s="5">
        <f t="shared" si="81"/>
        <v>698</v>
      </c>
      <c r="L585" s="3">
        <v>8.7384259259259411E-3</v>
      </c>
      <c r="N585" s="1" t="s">
        <v>75</v>
      </c>
      <c r="O585" s="1" t="s">
        <v>286</v>
      </c>
      <c r="P585" s="1" t="s">
        <v>227</v>
      </c>
      <c r="Q585" s="1" t="s">
        <v>191</v>
      </c>
      <c r="R585" s="1" t="s">
        <v>191</v>
      </c>
      <c r="S585" s="1" t="s">
        <v>46</v>
      </c>
      <c r="T585" s="1" t="s">
        <v>45</v>
      </c>
      <c r="U585" s="1" t="s">
        <v>66</v>
      </c>
      <c r="V585" s="1" t="s">
        <v>49</v>
      </c>
      <c r="W585" s="1" t="s">
        <v>233</v>
      </c>
      <c r="X585" s="1" t="s">
        <v>783</v>
      </c>
      <c r="Y585" s="1" t="s">
        <v>725</v>
      </c>
      <c r="Z585" s="1" t="s">
        <v>726</v>
      </c>
      <c r="AA585" s="1" t="s">
        <v>784</v>
      </c>
      <c r="AB585" s="1" t="s">
        <v>785</v>
      </c>
      <c r="AC585" s="1">
        <v>0</v>
      </c>
      <c r="AD585" s="1" t="s">
        <v>56</v>
      </c>
      <c r="AE585" s="1" t="s">
        <v>83</v>
      </c>
      <c r="AF585" s="1" t="s">
        <v>153</v>
      </c>
      <c r="AG585" s="1" t="s">
        <v>815</v>
      </c>
      <c r="AH585" s="1" t="s">
        <v>206</v>
      </c>
      <c r="AI585" s="1" t="s">
        <v>75</v>
      </c>
      <c r="AJ585" s="1" t="s">
        <v>147</v>
      </c>
      <c r="AK585" s="1" t="s">
        <v>116</v>
      </c>
      <c r="AL585" s="1" t="s">
        <v>117</v>
      </c>
      <c r="AM585" s="1">
        <v>10</v>
      </c>
      <c r="AN585" s="1">
        <v>0</v>
      </c>
      <c r="AO585" s="1">
        <f t="shared" si="82"/>
        <v>10</v>
      </c>
    </row>
    <row r="586" spans="1:41" x14ac:dyDescent="0.4">
      <c r="A586" s="1">
        <v>1</v>
      </c>
      <c r="B586" s="1">
        <v>3</v>
      </c>
      <c r="C586" s="1" t="s">
        <v>41</v>
      </c>
      <c r="D586" s="2">
        <v>38930</v>
      </c>
      <c r="E586" s="1">
        <v>213</v>
      </c>
      <c r="F586" s="1">
        <v>5</v>
      </c>
      <c r="G586" s="3">
        <v>0.32565972222222223</v>
      </c>
      <c r="H586" s="3">
        <v>0.32701388888888888</v>
      </c>
      <c r="I586" s="3">
        <v>1.3541666666666563E-3</v>
      </c>
      <c r="J586" s="3">
        <v>1.3541666666666563E-3</v>
      </c>
      <c r="K586" s="5">
        <f t="shared" si="81"/>
        <v>117</v>
      </c>
      <c r="L586" s="3">
        <v>8.5763888888888973E-3</v>
      </c>
      <c r="N586" s="1" t="s">
        <v>75</v>
      </c>
      <c r="O586" s="1" t="s">
        <v>286</v>
      </c>
      <c r="P586" s="1" t="s">
        <v>227</v>
      </c>
      <c r="Q586" s="1" t="s">
        <v>76</v>
      </c>
      <c r="R586" s="1" t="s">
        <v>76</v>
      </c>
      <c r="S586" s="1" t="s">
        <v>46</v>
      </c>
      <c r="T586" s="1" t="s">
        <v>47</v>
      </c>
      <c r="U586" s="1" t="s">
        <v>66</v>
      </c>
      <c r="V586" s="1" t="s">
        <v>49</v>
      </c>
      <c r="W586" s="1" t="s">
        <v>168</v>
      </c>
      <c r="X586" s="1" t="s">
        <v>121</v>
      </c>
      <c r="AB586" s="1" t="s">
        <v>258</v>
      </c>
      <c r="AC586" s="1">
        <v>0</v>
      </c>
      <c r="AD586" s="1" t="s">
        <v>56</v>
      </c>
      <c r="AE586" s="1" t="s">
        <v>70</v>
      </c>
      <c r="AF586" s="1" t="s">
        <v>163</v>
      </c>
      <c r="AG586" s="1" t="s">
        <v>837</v>
      </c>
      <c r="AH586" s="1" t="s">
        <v>157</v>
      </c>
      <c r="AI586" s="1" t="s">
        <v>75</v>
      </c>
      <c r="AK586" s="1" t="s">
        <v>116</v>
      </c>
      <c r="AL586" s="1" t="s">
        <v>174</v>
      </c>
      <c r="AM586" s="1">
        <v>1</v>
      </c>
      <c r="AN586" s="1">
        <v>0</v>
      </c>
      <c r="AO586" s="1">
        <f t="shared" si="82"/>
        <v>1</v>
      </c>
    </row>
    <row r="587" spans="1:41" x14ac:dyDescent="0.4">
      <c r="A587" s="1">
        <v>1</v>
      </c>
      <c r="B587" s="1">
        <v>3</v>
      </c>
      <c r="C587" s="1" t="s">
        <v>41</v>
      </c>
      <c r="D587" s="2">
        <v>38930</v>
      </c>
      <c r="E587" s="1">
        <v>213</v>
      </c>
      <c r="F587" s="1">
        <v>5.5</v>
      </c>
      <c r="G587" s="3">
        <v>0.31871527777777781</v>
      </c>
      <c r="H587" s="3">
        <v>0.31940972222222225</v>
      </c>
      <c r="I587" s="3">
        <v>6.9444444444444198E-4</v>
      </c>
      <c r="J587" s="3">
        <v>6.9444444444444198E-4</v>
      </c>
      <c r="K587" s="5">
        <f t="shared" si="81"/>
        <v>60</v>
      </c>
      <c r="L587" s="3">
        <v>6.2499999999999778E-3</v>
      </c>
      <c r="N587" s="1" t="s">
        <v>75</v>
      </c>
      <c r="O587" s="1" t="s">
        <v>286</v>
      </c>
      <c r="P587" s="1" t="s">
        <v>227</v>
      </c>
      <c r="Q587" s="1" t="s">
        <v>45</v>
      </c>
      <c r="R587" s="1" t="s">
        <v>76</v>
      </c>
      <c r="S587" s="1" t="s">
        <v>46</v>
      </c>
      <c r="T587" s="1" t="s">
        <v>47</v>
      </c>
      <c r="U587" s="1" t="s">
        <v>66</v>
      </c>
      <c r="V587" s="1" t="s">
        <v>49</v>
      </c>
      <c r="W587" s="1" t="s">
        <v>200</v>
      </c>
      <c r="X587" s="1" t="s">
        <v>201</v>
      </c>
      <c r="Y587" s="1" t="s">
        <v>126</v>
      </c>
      <c r="Z587" s="1" t="s">
        <v>202</v>
      </c>
      <c r="AA587" s="1" t="s">
        <v>203</v>
      </c>
      <c r="AB587" s="1" t="s">
        <v>204</v>
      </c>
      <c r="AC587" s="1">
        <v>0</v>
      </c>
      <c r="AD587" s="1" t="s">
        <v>56</v>
      </c>
      <c r="AE587" s="1" t="s">
        <v>83</v>
      </c>
      <c r="AF587" s="1" t="s">
        <v>113</v>
      </c>
      <c r="AG587" s="1" t="s">
        <v>814</v>
      </c>
      <c r="AH587" s="1" t="s">
        <v>206</v>
      </c>
      <c r="AI587" s="1" t="s">
        <v>75</v>
      </c>
      <c r="AK587" s="1" t="s">
        <v>116</v>
      </c>
      <c r="AL587" s="1" t="s">
        <v>174</v>
      </c>
      <c r="AM587" s="1">
        <v>4</v>
      </c>
      <c r="AN587" s="1">
        <v>0</v>
      </c>
      <c r="AO587" s="1">
        <f t="shared" si="82"/>
        <v>4</v>
      </c>
    </row>
    <row r="588" spans="1:41" x14ac:dyDescent="0.4">
      <c r="A588" s="1">
        <v>1</v>
      </c>
      <c r="B588" s="1">
        <v>3</v>
      </c>
      <c r="C588" s="1" t="s">
        <v>41</v>
      </c>
      <c r="D588" s="2">
        <v>38930</v>
      </c>
      <c r="E588" s="1">
        <v>213</v>
      </c>
      <c r="F588" s="1">
        <v>6</v>
      </c>
      <c r="G588" s="3">
        <v>0.33559027777777778</v>
      </c>
      <c r="H588" s="3">
        <v>0.33726851851851852</v>
      </c>
      <c r="I588" s="3">
        <v>1.678240740740744E-3</v>
      </c>
      <c r="J588" s="3">
        <v>1.678240740740744E-3</v>
      </c>
      <c r="K588" s="5">
        <f t="shared" si="81"/>
        <v>145</v>
      </c>
      <c r="L588" s="3">
        <v>1.3657407407407507E-3</v>
      </c>
      <c r="N588" s="1" t="s">
        <v>75</v>
      </c>
      <c r="O588" s="1" t="s">
        <v>286</v>
      </c>
      <c r="P588" s="1" t="s">
        <v>227</v>
      </c>
      <c r="Q588" s="1" t="s">
        <v>45</v>
      </c>
      <c r="R588" s="1" t="s">
        <v>45</v>
      </c>
      <c r="S588" s="1" t="s">
        <v>46</v>
      </c>
      <c r="T588" s="1" t="s">
        <v>45</v>
      </c>
      <c r="U588" s="1" t="s">
        <v>66</v>
      </c>
      <c r="V588" s="1" t="s">
        <v>49</v>
      </c>
      <c r="W588" s="1" t="s">
        <v>50</v>
      </c>
      <c r="X588" s="1" t="s">
        <v>96</v>
      </c>
      <c r="Y588" s="1" t="s">
        <v>52</v>
      </c>
      <c r="Z588" s="1" t="s">
        <v>53</v>
      </c>
      <c r="AB588" s="1" t="s">
        <v>838</v>
      </c>
      <c r="AC588" s="1">
        <v>0</v>
      </c>
      <c r="AD588" s="1" t="s">
        <v>56</v>
      </c>
      <c r="AE588" s="1" t="s">
        <v>70</v>
      </c>
      <c r="AG588" s="1" t="s">
        <v>839</v>
      </c>
      <c r="AH588" s="1" t="s">
        <v>157</v>
      </c>
      <c r="AI588" s="1" t="s">
        <v>75</v>
      </c>
      <c r="AK588" s="1" t="s">
        <v>86</v>
      </c>
      <c r="AL588" s="1" t="s">
        <v>87</v>
      </c>
      <c r="AM588" s="1">
        <v>1</v>
      </c>
      <c r="AN588" s="1">
        <v>0</v>
      </c>
      <c r="AO588" s="1">
        <f t="shared" si="82"/>
        <v>1</v>
      </c>
    </row>
    <row r="589" spans="1:41" x14ac:dyDescent="0.4">
      <c r="A589" s="1">
        <v>1</v>
      </c>
      <c r="B589" s="1">
        <v>3</v>
      </c>
      <c r="C589" s="1" t="s">
        <v>41</v>
      </c>
      <c r="D589" s="2">
        <v>38930</v>
      </c>
      <c r="E589" s="1">
        <v>213</v>
      </c>
      <c r="F589" s="1">
        <v>7</v>
      </c>
      <c r="G589" s="3">
        <v>0.33863425925925927</v>
      </c>
      <c r="H589" s="3">
        <v>0.3404282407407408</v>
      </c>
      <c r="I589" s="3">
        <v>1.7939814814815214E-3</v>
      </c>
      <c r="J589" s="3">
        <v>1.7939814814815214E-3</v>
      </c>
      <c r="K589" s="5">
        <f t="shared" si="81"/>
        <v>155</v>
      </c>
      <c r="L589" s="3">
        <v>9.0509259259258235E-3</v>
      </c>
      <c r="N589" s="1" t="s">
        <v>75</v>
      </c>
      <c r="O589" s="1" t="s">
        <v>286</v>
      </c>
      <c r="P589" s="1" t="s">
        <v>227</v>
      </c>
      <c r="Q589" s="1" t="s">
        <v>76</v>
      </c>
      <c r="R589" s="1" t="s">
        <v>76</v>
      </c>
      <c r="S589" s="1" t="s">
        <v>46</v>
      </c>
      <c r="T589" s="1" t="s">
        <v>45</v>
      </c>
      <c r="U589" s="1" t="s">
        <v>66</v>
      </c>
      <c r="V589" s="1" t="s">
        <v>49</v>
      </c>
      <c r="W589" s="1" t="s">
        <v>140</v>
      </c>
      <c r="X589" s="1" t="s">
        <v>177</v>
      </c>
      <c r="Y589" s="1" t="s">
        <v>79</v>
      </c>
      <c r="Z589" s="1" t="s">
        <v>178</v>
      </c>
      <c r="AA589" s="1" t="s">
        <v>572</v>
      </c>
      <c r="AB589" s="1" t="s">
        <v>573</v>
      </c>
      <c r="AC589" s="1">
        <v>0</v>
      </c>
      <c r="AD589" s="1" t="s">
        <v>56</v>
      </c>
      <c r="AE589" s="1" t="s">
        <v>181</v>
      </c>
      <c r="AF589" s="1" t="s">
        <v>113</v>
      </c>
      <c r="AG589" s="1" t="s">
        <v>840</v>
      </c>
      <c r="AH589" s="1" t="s">
        <v>115</v>
      </c>
      <c r="AI589" s="1" t="s">
        <v>75</v>
      </c>
      <c r="AK589" s="1" t="s">
        <v>116</v>
      </c>
      <c r="AL589" s="1" t="s">
        <v>174</v>
      </c>
      <c r="AM589" s="1">
        <v>1</v>
      </c>
      <c r="AN589" s="1">
        <v>0</v>
      </c>
      <c r="AO589" s="1">
        <f t="shared" si="82"/>
        <v>1</v>
      </c>
    </row>
    <row r="590" spans="1:41" x14ac:dyDescent="0.4">
      <c r="A590" s="1">
        <v>1</v>
      </c>
      <c r="B590" s="1">
        <v>3</v>
      </c>
      <c r="C590" s="1" t="s">
        <v>41</v>
      </c>
      <c r="D590" s="2">
        <v>38930</v>
      </c>
      <c r="E590" s="1">
        <v>213</v>
      </c>
      <c r="F590" s="1">
        <v>7.2</v>
      </c>
      <c r="G590" s="3">
        <v>0.34947916666666662</v>
      </c>
      <c r="H590" s="3">
        <v>0.34964120370370372</v>
      </c>
      <c r="I590" s="3">
        <v>1.6203703703709937E-4</v>
      </c>
      <c r="J590" s="3">
        <v>1.6203703703709937E-4</v>
      </c>
      <c r="K590" s="5">
        <f t="shared" si="81"/>
        <v>14</v>
      </c>
      <c r="L590" s="3">
        <v>3.0324074074074003E-3</v>
      </c>
      <c r="N590" s="1" t="s">
        <v>75</v>
      </c>
      <c r="O590" s="1" t="s">
        <v>286</v>
      </c>
      <c r="P590" s="1" t="s">
        <v>227</v>
      </c>
      <c r="Q590" s="1" t="s">
        <v>45</v>
      </c>
      <c r="R590" s="1" t="s">
        <v>132</v>
      </c>
      <c r="S590" s="1" t="s">
        <v>46</v>
      </c>
      <c r="AB590" s="1" t="s">
        <v>93</v>
      </c>
      <c r="AC590" s="1">
        <v>1</v>
      </c>
      <c r="AK590" s="1" t="s">
        <v>86</v>
      </c>
      <c r="AL590" s="1" t="s">
        <v>133</v>
      </c>
      <c r="AN590" s="1">
        <v>1</v>
      </c>
      <c r="AO590" s="1">
        <f t="shared" si="82"/>
        <v>1</v>
      </c>
    </row>
    <row r="591" spans="1:41" x14ac:dyDescent="0.4">
      <c r="A591" s="1">
        <v>1</v>
      </c>
      <c r="B591" s="1">
        <v>3</v>
      </c>
      <c r="C591" s="1" t="s">
        <v>41</v>
      </c>
      <c r="D591" s="2">
        <v>38930</v>
      </c>
      <c r="E591" s="1">
        <v>213</v>
      </c>
      <c r="F591" s="1">
        <v>7.4</v>
      </c>
      <c r="G591" s="3">
        <v>0.35267361111111112</v>
      </c>
      <c r="H591" s="3">
        <v>0.35268518518518516</v>
      </c>
      <c r="I591" s="3">
        <v>1.1574074074038876E-5</v>
      </c>
      <c r="J591" s="3">
        <v>1.1574074074038876E-5</v>
      </c>
      <c r="K591" s="5">
        <f t="shared" si="81"/>
        <v>1</v>
      </c>
      <c r="L591" s="3">
        <v>7.1643518518518245E-3</v>
      </c>
      <c r="N591" s="1" t="s">
        <v>75</v>
      </c>
      <c r="O591" s="1" t="s">
        <v>286</v>
      </c>
      <c r="P591" s="1" t="s">
        <v>227</v>
      </c>
      <c r="Q591" s="1" t="s">
        <v>132</v>
      </c>
      <c r="R591" s="1" t="s">
        <v>132</v>
      </c>
      <c r="S591" s="1" t="s">
        <v>46</v>
      </c>
      <c r="T591" s="1" t="s">
        <v>45</v>
      </c>
      <c r="U591" s="1" t="s">
        <v>92</v>
      </c>
      <c r="AB591" s="1" t="s">
        <v>93</v>
      </c>
      <c r="AC591" s="1">
        <v>1</v>
      </c>
      <c r="AI591" s="1" t="s">
        <v>75</v>
      </c>
      <c r="AK591" s="1" t="s">
        <v>86</v>
      </c>
      <c r="AL591" s="1" t="s">
        <v>133</v>
      </c>
      <c r="AN591" s="1">
        <v>1</v>
      </c>
      <c r="AO591" s="1">
        <f t="shared" si="82"/>
        <v>1</v>
      </c>
    </row>
    <row r="592" spans="1:41" x14ac:dyDescent="0.4">
      <c r="A592" s="1">
        <v>1</v>
      </c>
      <c r="B592" s="1">
        <v>3</v>
      </c>
      <c r="C592" s="1" t="s">
        <v>41</v>
      </c>
      <c r="D592" s="2">
        <v>38930</v>
      </c>
      <c r="E592" s="1">
        <v>213</v>
      </c>
      <c r="F592" s="1">
        <v>8</v>
      </c>
      <c r="G592" s="3">
        <v>0.35984953703703698</v>
      </c>
      <c r="H592" s="3">
        <v>0.37565972222222221</v>
      </c>
      <c r="I592" s="3">
        <v>1.5810185185185233E-2</v>
      </c>
      <c r="J592" s="3">
        <v>1.5636574074074094E-2</v>
      </c>
      <c r="K592" s="5">
        <f t="shared" si="81"/>
        <v>1351</v>
      </c>
      <c r="L592" s="3">
        <v>1.4780092592592553E-2</v>
      </c>
      <c r="N592" s="1" t="s">
        <v>75</v>
      </c>
      <c r="O592" s="1" t="s">
        <v>286</v>
      </c>
      <c r="P592" s="1" t="s">
        <v>227</v>
      </c>
      <c r="Q592" s="1" t="s">
        <v>76</v>
      </c>
      <c r="R592" s="1" t="s">
        <v>76</v>
      </c>
      <c r="S592" s="1" t="s">
        <v>46</v>
      </c>
      <c r="T592" s="1" t="s">
        <v>45</v>
      </c>
      <c r="U592" s="1" t="s">
        <v>66</v>
      </c>
      <c r="V592" s="1" t="s">
        <v>49</v>
      </c>
      <c r="W592" s="1" t="s">
        <v>77</v>
      </c>
      <c r="X592" s="1" t="s">
        <v>830</v>
      </c>
      <c r="Y592" s="1" t="s">
        <v>109</v>
      </c>
      <c r="Z592" s="1" t="s">
        <v>831</v>
      </c>
      <c r="AA592" s="1" t="s">
        <v>832</v>
      </c>
      <c r="AB592" s="1" t="s">
        <v>833</v>
      </c>
      <c r="AC592" s="1">
        <v>0</v>
      </c>
      <c r="AD592" s="1" t="s">
        <v>56</v>
      </c>
      <c r="AE592" s="1" t="s">
        <v>83</v>
      </c>
      <c r="AF592" s="1" t="s">
        <v>153</v>
      </c>
      <c r="AG592" s="1" t="s">
        <v>764</v>
      </c>
      <c r="AH592" s="1" t="s">
        <v>115</v>
      </c>
      <c r="AI592" s="1" t="s">
        <v>75</v>
      </c>
      <c r="AK592" s="1" t="s">
        <v>86</v>
      </c>
      <c r="AL592" s="1" t="s">
        <v>133</v>
      </c>
      <c r="AM592" s="1">
        <v>6</v>
      </c>
      <c r="AN592" s="1">
        <v>0</v>
      </c>
      <c r="AO592" s="1">
        <f t="shared" si="82"/>
        <v>6</v>
      </c>
    </row>
    <row r="593" spans="1:41" x14ac:dyDescent="0.4">
      <c r="A593" s="1">
        <v>1</v>
      </c>
      <c r="B593" s="1">
        <v>3</v>
      </c>
      <c r="C593" s="1" t="s">
        <v>41</v>
      </c>
      <c r="D593" s="2">
        <v>38930</v>
      </c>
      <c r="E593" s="1">
        <v>213</v>
      </c>
      <c r="F593" s="1">
        <v>10</v>
      </c>
      <c r="G593" s="3">
        <v>0.39043981481481477</v>
      </c>
      <c r="H593" s="3">
        <v>0.39196759259259256</v>
      </c>
      <c r="I593" s="3">
        <v>1.5277777777777946E-3</v>
      </c>
      <c r="J593" s="3">
        <v>1.5277777777777946E-3</v>
      </c>
      <c r="K593" s="5">
        <f t="shared" si="81"/>
        <v>132</v>
      </c>
      <c r="L593" s="3">
        <v>3.4247685185185173E-2</v>
      </c>
      <c r="N593" s="1" t="s">
        <v>75</v>
      </c>
      <c r="O593" s="1" t="s">
        <v>286</v>
      </c>
      <c r="P593" s="1" t="s">
        <v>227</v>
      </c>
      <c r="Q593" s="1" t="s">
        <v>76</v>
      </c>
      <c r="R593" s="1" t="s">
        <v>191</v>
      </c>
      <c r="S593" s="1" t="s">
        <v>46</v>
      </c>
      <c r="T593" s="1" t="s">
        <v>47</v>
      </c>
      <c r="U593" s="1" t="s">
        <v>66</v>
      </c>
      <c r="V593" s="1" t="s">
        <v>102</v>
      </c>
      <c r="W593" s="1" t="s">
        <v>103</v>
      </c>
      <c r="X593" s="1" t="s">
        <v>841</v>
      </c>
      <c r="AB593" s="1" t="s">
        <v>104</v>
      </c>
      <c r="AC593" s="1">
        <v>0</v>
      </c>
      <c r="AD593" s="1" t="s">
        <v>105</v>
      </c>
      <c r="AE593" s="1" t="s">
        <v>181</v>
      </c>
      <c r="AG593" s="1" t="s">
        <v>842</v>
      </c>
      <c r="AH593" s="1" t="s">
        <v>157</v>
      </c>
      <c r="AI593" s="1" t="s">
        <v>75</v>
      </c>
      <c r="AK593" s="1" t="s">
        <v>86</v>
      </c>
      <c r="AL593" s="1" t="s">
        <v>133</v>
      </c>
      <c r="AM593" s="1">
        <v>1</v>
      </c>
      <c r="AN593" s="1">
        <v>0</v>
      </c>
      <c r="AO593" s="1">
        <f t="shared" si="82"/>
        <v>1</v>
      </c>
    </row>
    <row r="594" spans="1:41" x14ac:dyDescent="0.4">
      <c r="A594" s="1">
        <v>1</v>
      </c>
      <c r="B594" s="1">
        <v>3</v>
      </c>
      <c r="C594" s="1" t="s">
        <v>41</v>
      </c>
      <c r="D594" s="2">
        <v>38930</v>
      </c>
      <c r="E594" s="1">
        <v>213</v>
      </c>
      <c r="F594" s="1">
        <v>10.3</v>
      </c>
      <c r="G594" s="3">
        <v>0.42621527777777773</v>
      </c>
      <c r="H594" s="3">
        <v>0.42626157407407406</v>
      </c>
      <c r="I594" s="3">
        <v>4.6296296296322037E-5</v>
      </c>
      <c r="J594" s="3">
        <v>4.6296296296322037E-5</v>
      </c>
      <c r="K594" s="5">
        <f t="shared" si="81"/>
        <v>4</v>
      </c>
      <c r="L594" s="3">
        <v>6.2847222222222054E-3</v>
      </c>
      <c r="N594" s="1" t="s">
        <v>42</v>
      </c>
      <c r="O594" s="1" t="s">
        <v>286</v>
      </c>
      <c r="P594" s="1" t="s">
        <v>227</v>
      </c>
      <c r="Q594" s="1" t="s">
        <v>76</v>
      </c>
      <c r="R594" s="1" t="s">
        <v>76</v>
      </c>
      <c r="S594" s="1" t="s">
        <v>46</v>
      </c>
      <c r="T594" s="1" t="s">
        <v>45</v>
      </c>
      <c r="U594" s="1" t="s">
        <v>66</v>
      </c>
      <c r="AB594" s="1" t="s">
        <v>93</v>
      </c>
      <c r="AC594" s="1">
        <v>1</v>
      </c>
      <c r="AG594" s="1" t="s">
        <v>843</v>
      </c>
      <c r="AI594" s="1" t="s">
        <v>71</v>
      </c>
      <c r="AK594" s="1" t="s">
        <v>86</v>
      </c>
      <c r="AL594" s="1" t="s">
        <v>87</v>
      </c>
      <c r="AM594" s="1">
        <v>1</v>
      </c>
      <c r="AN594" s="1">
        <v>0</v>
      </c>
      <c r="AO594" s="1">
        <f t="shared" si="82"/>
        <v>1</v>
      </c>
    </row>
    <row r="595" spans="1:41" x14ac:dyDescent="0.4">
      <c r="A595" s="1">
        <v>1</v>
      </c>
      <c r="B595" s="1">
        <v>3</v>
      </c>
      <c r="C595" s="1" t="s">
        <v>41</v>
      </c>
      <c r="D595" s="2">
        <v>38930</v>
      </c>
      <c r="E595" s="1">
        <v>213</v>
      </c>
      <c r="F595" s="1">
        <v>10.5</v>
      </c>
      <c r="G595" s="3">
        <v>0.43254629629629626</v>
      </c>
      <c r="H595" s="3">
        <v>0.43260416666666668</v>
      </c>
      <c r="I595" s="3">
        <v>5.7870370370416424E-5</v>
      </c>
      <c r="J595" s="3">
        <v>5.7870370370416424E-5</v>
      </c>
      <c r="K595" s="5">
        <f t="shared" si="81"/>
        <v>5</v>
      </c>
      <c r="L595" s="3">
        <v>1.3912037037036973E-2</v>
      </c>
      <c r="N595" s="1" t="s">
        <v>42</v>
      </c>
      <c r="O595" s="1" t="s">
        <v>286</v>
      </c>
      <c r="P595" s="1" t="s">
        <v>227</v>
      </c>
      <c r="Q595" s="1" t="s">
        <v>132</v>
      </c>
      <c r="R595" s="1" t="s">
        <v>45</v>
      </c>
      <c r="S595" s="1" t="s">
        <v>46</v>
      </c>
      <c r="T595" s="1" t="s">
        <v>45</v>
      </c>
      <c r="U595" s="1" t="s">
        <v>156</v>
      </c>
      <c r="AB595" s="1" t="s">
        <v>93</v>
      </c>
      <c r="AC595" s="1">
        <v>1</v>
      </c>
      <c r="AI595" s="1" t="s">
        <v>75</v>
      </c>
      <c r="AK595" s="1" t="s">
        <v>86</v>
      </c>
      <c r="AL595" s="1" t="s">
        <v>133</v>
      </c>
      <c r="AN595" s="1">
        <v>1</v>
      </c>
      <c r="AO595" s="1">
        <f t="shared" si="82"/>
        <v>1</v>
      </c>
    </row>
    <row r="596" spans="1:41" x14ac:dyDescent="0.4">
      <c r="A596" s="1">
        <v>1</v>
      </c>
      <c r="B596" s="1">
        <v>3</v>
      </c>
      <c r="C596" s="1" t="s">
        <v>41</v>
      </c>
      <c r="D596" s="2">
        <v>38930</v>
      </c>
      <c r="E596" s="1">
        <v>213</v>
      </c>
      <c r="F596" s="1">
        <v>11.2</v>
      </c>
      <c r="G596" s="3">
        <v>0.44651620370370365</v>
      </c>
      <c r="H596" s="3">
        <v>0.44651620370370365</v>
      </c>
      <c r="I596" s="3">
        <v>0</v>
      </c>
      <c r="J596" s="3">
        <v>0</v>
      </c>
      <c r="K596" s="5">
        <f t="shared" si="81"/>
        <v>0</v>
      </c>
      <c r="L596" s="3">
        <v>1.9675925925926041E-3</v>
      </c>
      <c r="N596" s="1" t="s">
        <v>42</v>
      </c>
      <c r="O596" s="1" t="s">
        <v>286</v>
      </c>
      <c r="P596" s="1" t="s">
        <v>227</v>
      </c>
      <c r="Q596" s="1" t="s">
        <v>76</v>
      </c>
      <c r="R596" s="1" t="s">
        <v>76</v>
      </c>
      <c r="S596" s="1" t="s">
        <v>46</v>
      </c>
      <c r="T596" s="1" t="s">
        <v>45</v>
      </c>
      <c r="U596" s="1" t="s">
        <v>92</v>
      </c>
      <c r="AB596" s="1" t="s">
        <v>93</v>
      </c>
      <c r="AC596" s="1">
        <v>1</v>
      </c>
      <c r="AG596" s="1" t="s">
        <v>844</v>
      </c>
      <c r="AI596" s="1" t="s">
        <v>75</v>
      </c>
      <c r="AK596" s="1" t="s">
        <v>86</v>
      </c>
      <c r="AL596" s="1" t="s">
        <v>87</v>
      </c>
      <c r="AM596" s="1">
        <v>1</v>
      </c>
      <c r="AN596" s="1">
        <v>0</v>
      </c>
      <c r="AO596" s="1">
        <f t="shared" si="82"/>
        <v>1</v>
      </c>
    </row>
    <row r="597" spans="1:41" x14ac:dyDescent="0.4">
      <c r="A597" s="1">
        <v>1</v>
      </c>
      <c r="B597" s="1">
        <v>3</v>
      </c>
      <c r="C597" s="1" t="s">
        <v>41</v>
      </c>
      <c r="D597" s="2">
        <v>38930</v>
      </c>
      <c r="E597" s="1">
        <v>213</v>
      </c>
      <c r="F597" s="1">
        <v>11.4</v>
      </c>
      <c r="G597" s="3">
        <v>0.44848379629629626</v>
      </c>
      <c r="H597" s="3">
        <v>0.44862268518518517</v>
      </c>
      <c r="I597" s="3">
        <v>1.388888888889106E-4</v>
      </c>
      <c r="J597" s="3">
        <v>1.388888888889106E-4</v>
      </c>
      <c r="K597" s="5">
        <f t="shared" si="81"/>
        <v>12</v>
      </c>
      <c r="L597" s="3">
        <v>1.8634259259259767E-3</v>
      </c>
      <c r="N597" s="1" t="s">
        <v>42</v>
      </c>
      <c r="O597" s="1" t="s">
        <v>286</v>
      </c>
      <c r="P597" s="1" t="s">
        <v>227</v>
      </c>
      <c r="Q597" s="1" t="s">
        <v>132</v>
      </c>
      <c r="R597" s="1" t="s">
        <v>76</v>
      </c>
      <c r="S597" s="1" t="s">
        <v>46</v>
      </c>
      <c r="AB597" s="1" t="s">
        <v>93</v>
      </c>
      <c r="AC597" s="1">
        <v>1</v>
      </c>
      <c r="AK597" s="1" t="s">
        <v>86</v>
      </c>
      <c r="AL597" s="1" t="s">
        <v>87</v>
      </c>
      <c r="AN597" s="1">
        <v>1</v>
      </c>
      <c r="AO597" s="1">
        <f t="shared" si="82"/>
        <v>1</v>
      </c>
    </row>
    <row r="598" spans="1:41" x14ac:dyDescent="0.4">
      <c r="A598" s="1">
        <v>1</v>
      </c>
      <c r="B598" s="1">
        <v>3</v>
      </c>
      <c r="C598" s="1" t="s">
        <v>41</v>
      </c>
      <c r="D598" s="2">
        <v>38930</v>
      </c>
      <c r="E598" s="1">
        <v>213</v>
      </c>
      <c r="F598" s="1">
        <v>11.6</v>
      </c>
      <c r="G598" s="3">
        <v>0.45048611111111114</v>
      </c>
      <c r="H598" s="3">
        <v>0.45061342592592596</v>
      </c>
      <c r="I598" s="3">
        <v>1.2731481481481621E-4</v>
      </c>
      <c r="J598" s="3">
        <v>1.2731481481481621E-4</v>
      </c>
      <c r="K598" s="5">
        <f t="shared" si="81"/>
        <v>11</v>
      </c>
      <c r="L598" s="3">
        <v>6.0185185185185341E-4</v>
      </c>
      <c r="N598" s="1" t="s">
        <v>42</v>
      </c>
      <c r="O598" s="1" t="s">
        <v>286</v>
      </c>
      <c r="P598" s="1" t="s">
        <v>227</v>
      </c>
      <c r="Q598" s="1" t="s">
        <v>132</v>
      </c>
      <c r="R598" s="1" t="s">
        <v>76</v>
      </c>
      <c r="S598" s="1" t="s">
        <v>46</v>
      </c>
      <c r="AB598" s="1" t="s">
        <v>93</v>
      </c>
      <c r="AC598" s="1">
        <v>1</v>
      </c>
      <c r="AK598" s="1" t="s">
        <v>86</v>
      </c>
      <c r="AL598" s="1" t="s">
        <v>87</v>
      </c>
      <c r="AN598" s="1">
        <v>1</v>
      </c>
      <c r="AO598" s="1">
        <f t="shared" si="82"/>
        <v>1</v>
      </c>
    </row>
    <row r="599" spans="1:41" x14ac:dyDescent="0.4">
      <c r="A599" s="1">
        <v>1</v>
      </c>
      <c r="B599" s="1">
        <v>3</v>
      </c>
      <c r="C599" s="1" t="s">
        <v>41</v>
      </c>
      <c r="D599" s="2">
        <v>38930</v>
      </c>
      <c r="E599" s="1">
        <v>213</v>
      </c>
      <c r="F599" s="1">
        <v>12</v>
      </c>
      <c r="G599" s="3">
        <v>0.45121527777777781</v>
      </c>
      <c r="H599" s="3">
        <v>0.46780092592592593</v>
      </c>
      <c r="I599" s="3">
        <v>1.6585648148148113E-2</v>
      </c>
      <c r="J599" s="3">
        <v>1.446759259259256E-2</v>
      </c>
      <c r="K599" s="5">
        <f t="shared" si="81"/>
        <v>1250</v>
      </c>
      <c r="L599" s="3">
        <v>1.4479166666666654E-2</v>
      </c>
      <c r="N599" s="1" t="s">
        <v>42</v>
      </c>
      <c r="O599" s="1" t="s">
        <v>286</v>
      </c>
      <c r="P599" s="1" t="s">
        <v>227</v>
      </c>
      <c r="Q599" s="1" t="s">
        <v>132</v>
      </c>
      <c r="R599" s="1" t="s">
        <v>76</v>
      </c>
      <c r="S599" s="1" t="s">
        <v>46</v>
      </c>
      <c r="T599" s="1" t="s">
        <v>45</v>
      </c>
      <c r="U599" s="1" t="s">
        <v>156</v>
      </c>
      <c r="V599" s="1" t="s">
        <v>49</v>
      </c>
      <c r="W599" s="1" t="s">
        <v>233</v>
      </c>
      <c r="X599" s="1" t="s">
        <v>783</v>
      </c>
      <c r="Y599" s="1" t="s">
        <v>725</v>
      </c>
      <c r="Z599" s="1" t="s">
        <v>726</v>
      </c>
      <c r="AA599" s="1" t="s">
        <v>784</v>
      </c>
      <c r="AB599" s="1" t="s">
        <v>785</v>
      </c>
      <c r="AC599" s="1">
        <v>0</v>
      </c>
      <c r="AD599" s="1" t="s">
        <v>56</v>
      </c>
      <c r="AE599" s="1" t="s">
        <v>83</v>
      </c>
      <c r="AF599" s="1" t="s">
        <v>198</v>
      </c>
      <c r="AG599" s="1" t="s">
        <v>815</v>
      </c>
      <c r="AH599" s="1" t="s">
        <v>206</v>
      </c>
      <c r="AI599" s="1" t="s">
        <v>75</v>
      </c>
      <c r="AK599" s="1" t="s">
        <v>86</v>
      </c>
      <c r="AL599" s="1" t="s">
        <v>87</v>
      </c>
      <c r="AM599" s="1">
        <v>10</v>
      </c>
      <c r="AN599" s="1">
        <v>0</v>
      </c>
      <c r="AO599" s="1">
        <f t="shared" si="82"/>
        <v>10</v>
      </c>
    </row>
    <row r="600" spans="1:41" x14ac:dyDescent="0.4">
      <c r="A600" s="1">
        <v>1</v>
      </c>
      <c r="B600" s="1">
        <v>3</v>
      </c>
      <c r="C600" s="1" t="s">
        <v>41</v>
      </c>
      <c r="D600" s="2">
        <v>38930</v>
      </c>
      <c r="E600" s="1">
        <v>213</v>
      </c>
      <c r="F600" s="1">
        <v>13</v>
      </c>
      <c r="G600" s="3">
        <v>0.48228009259259258</v>
      </c>
      <c r="H600" s="3">
        <v>0.49307870370370371</v>
      </c>
      <c r="I600" s="3">
        <v>1.0798611111111134E-2</v>
      </c>
      <c r="J600" s="3">
        <v>1.070601851851849E-2</v>
      </c>
      <c r="K600" s="5">
        <f t="shared" si="81"/>
        <v>925</v>
      </c>
      <c r="L600" s="3">
        <v>1.0474537037036991E-2</v>
      </c>
      <c r="N600" s="1" t="s">
        <v>251</v>
      </c>
      <c r="O600" s="1" t="s">
        <v>286</v>
      </c>
      <c r="P600" s="1" t="s">
        <v>227</v>
      </c>
      <c r="Q600" s="1" t="s">
        <v>45</v>
      </c>
      <c r="R600" s="1" t="s">
        <v>76</v>
      </c>
      <c r="S600" s="1" t="s">
        <v>46</v>
      </c>
      <c r="T600" s="1" t="s">
        <v>191</v>
      </c>
      <c r="U600" s="1" t="s">
        <v>92</v>
      </c>
      <c r="V600" s="1" t="s">
        <v>67</v>
      </c>
      <c r="W600" s="1" t="s">
        <v>68</v>
      </c>
      <c r="X600" s="1" t="s">
        <v>302</v>
      </c>
      <c r="Y600" s="1" t="s">
        <v>303</v>
      </c>
      <c r="Z600" s="1" t="s">
        <v>304</v>
      </c>
      <c r="AA600" s="1" t="s">
        <v>305</v>
      </c>
      <c r="AB600" s="1" t="s">
        <v>306</v>
      </c>
      <c r="AC600" s="1">
        <v>0</v>
      </c>
      <c r="AD600" s="1" t="s">
        <v>68</v>
      </c>
      <c r="AE600" s="1" t="s">
        <v>70</v>
      </c>
      <c r="AG600" s="1" t="s">
        <v>845</v>
      </c>
      <c r="AH600" s="1" t="s">
        <v>157</v>
      </c>
      <c r="AI600" s="1" t="s">
        <v>253</v>
      </c>
      <c r="AK600" s="1" t="s">
        <v>86</v>
      </c>
      <c r="AL600" s="1" t="s">
        <v>133</v>
      </c>
      <c r="AM600" s="1">
        <v>1</v>
      </c>
      <c r="AN600" s="1">
        <v>0</v>
      </c>
      <c r="AO600" s="1">
        <f t="shared" si="82"/>
        <v>1</v>
      </c>
    </row>
    <row r="601" spans="1:41" x14ac:dyDescent="0.4">
      <c r="A601" s="1">
        <v>1</v>
      </c>
      <c r="B601" s="1">
        <v>3</v>
      </c>
      <c r="C601" s="1" t="s">
        <v>41</v>
      </c>
      <c r="D601" s="2">
        <v>38930</v>
      </c>
      <c r="E601" s="1">
        <v>213</v>
      </c>
      <c r="F601" s="1">
        <v>14</v>
      </c>
      <c r="G601" s="3">
        <v>0.5035532407407407</v>
      </c>
      <c r="H601" s="3">
        <v>0.50806712962962963</v>
      </c>
      <c r="I601" s="3">
        <v>4.5138888888889284E-3</v>
      </c>
      <c r="J601" s="3">
        <v>1.2152777777777457E-3</v>
      </c>
      <c r="K601" s="5">
        <f t="shared" si="81"/>
        <v>105</v>
      </c>
      <c r="L601" s="3">
        <v>2.2106481481480866E-3</v>
      </c>
      <c r="N601" s="1" t="s">
        <v>251</v>
      </c>
      <c r="O601" s="1" t="s">
        <v>286</v>
      </c>
      <c r="P601" s="1" t="s">
        <v>227</v>
      </c>
      <c r="Q601" s="1" t="s">
        <v>45</v>
      </c>
      <c r="R601" s="1" t="s">
        <v>76</v>
      </c>
      <c r="S601" s="1" t="s">
        <v>46</v>
      </c>
      <c r="T601" s="1" t="s">
        <v>76</v>
      </c>
      <c r="U601" s="1" t="s">
        <v>92</v>
      </c>
      <c r="V601" s="1" t="s">
        <v>297</v>
      </c>
      <c r="W601" s="1" t="s">
        <v>167</v>
      </c>
      <c r="X601" s="1" t="s">
        <v>803</v>
      </c>
      <c r="Y601" s="1" t="s">
        <v>79</v>
      </c>
      <c r="Z601" s="1" t="s">
        <v>804</v>
      </c>
      <c r="AA601" s="1" t="s">
        <v>805</v>
      </c>
      <c r="AB601" s="1" t="s">
        <v>806</v>
      </c>
      <c r="AC601" s="1">
        <v>0</v>
      </c>
      <c r="AD601" s="1" t="s">
        <v>56</v>
      </c>
      <c r="AE601" s="1" t="s">
        <v>83</v>
      </c>
      <c r="AG601" s="1" t="s">
        <v>846</v>
      </c>
      <c r="AH601" s="1" t="s">
        <v>157</v>
      </c>
      <c r="AI601" s="1" t="s">
        <v>253</v>
      </c>
      <c r="AK601" s="1" t="s">
        <v>86</v>
      </c>
      <c r="AL601" s="1" t="s">
        <v>87</v>
      </c>
      <c r="AM601" s="1">
        <v>2</v>
      </c>
      <c r="AN601" s="1">
        <v>0</v>
      </c>
      <c r="AO601" s="1">
        <f t="shared" si="82"/>
        <v>2</v>
      </c>
    </row>
    <row r="602" spans="1:41" x14ac:dyDescent="0.4">
      <c r="A602" s="1">
        <v>1</v>
      </c>
      <c r="B602" s="1">
        <v>3</v>
      </c>
      <c r="C602" s="1" t="s">
        <v>41</v>
      </c>
      <c r="D602" s="2">
        <v>38930</v>
      </c>
      <c r="E602" s="1">
        <v>213</v>
      </c>
      <c r="F602" s="1">
        <v>15</v>
      </c>
      <c r="G602" s="3">
        <v>0.51027777777777772</v>
      </c>
      <c r="H602" s="3">
        <v>0.51068287037037041</v>
      </c>
      <c r="I602" s="3">
        <v>4.0509259259269292E-4</v>
      </c>
      <c r="J602" s="3">
        <v>4.0509259259269292E-4</v>
      </c>
      <c r="K602" s="5">
        <f t="shared" si="81"/>
        <v>35</v>
      </c>
      <c r="L602" s="3">
        <v>1.1527777777777803E-2</v>
      </c>
      <c r="N602" s="1" t="s">
        <v>251</v>
      </c>
      <c r="O602" s="1" t="s">
        <v>286</v>
      </c>
      <c r="P602" s="1" t="s">
        <v>227</v>
      </c>
      <c r="Q602" s="1" t="s">
        <v>132</v>
      </c>
      <c r="R602" s="1" t="s">
        <v>76</v>
      </c>
      <c r="S602" s="1" t="s">
        <v>46</v>
      </c>
      <c r="T602" s="1" t="s">
        <v>45</v>
      </c>
      <c r="U602" s="1" t="s">
        <v>66</v>
      </c>
      <c r="V602" s="1" t="s">
        <v>102</v>
      </c>
      <c r="W602" s="1" t="s">
        <v>103</v>
      </c>
      <c r="X602" s="1" t="s">
        <v>96</v>
      </c>
      <c r="AB602" s="1" t="s">
        <v>104</v>
      </c>
      <c r="AC602" s="1">
        <v>0</v>
      </c>
      <c r="AD602" s="1" t="s">
        <v>105</v>
      </c>
      <c r="AE602" s="1" t="s">
        <v>70</v>
      </c>
      <c r="AG602" s="1" t="s">
        <v>846</v>
      </c>
      <c r="AH602" s="1" t="s">
        <v>157</v>
      </c>
      <c r="AI602" s="1" t="s">
        <v>257</v>
      </c>
      <c r="AK602" s="1" t="s">
        <v>86</v>
      </c>
      <c r="AL602" s="1" t="s">
        <v>87</v>
      </c>
      <c r="AM602" s="1">
        <v>2</v>
      </c>
      <c r="AN602" s="1">
        <v>0</v>
      </c>
      <c r="AO602" s="1">
        <f t="shared" si="82"/>
        <v>2</v>
      </c>
    </row>
    <row r="603" spans="1:41" x14ac:dyDescent="0.4">
      <c r="A603" s="1">
        <v>1</v>
      </c>
      <c r="B603" s="1">
        <v>3</v>
      </c>
      <c r="C603" s="1" t="s">
        <v>41</v>
      </c>
      <c r="D603" s="2">
        <v>38930</v>
      </c>
      <c r="E603" s="1">
        <v>213</v>
      </c>
      <c r="F603" s="1">
        <v>16</v>
      </c>
      <c r="G603" s="3">
        <v>0.52221064814814822</v>
      </c>
      <c r="H603" s="3">
        <v>0.5269907407407407</v>
      </c>
      <c r="I603" s="3">
        <v>4.7800925925924886E-3</v>
      </c>
      <c r="J603" s="3">
        <v>4.7800925925924886E-3</v>
      </c>
      <c r="K603" s="5">
        <f t="shared" si="81"/>
        <v>413</v>
      </c>
      <c r="L603" s="3">
        <v>1.3425925925926174E-3</v>
      </c>
      <c r="N603" s="1" t="s">
        <v>251</v>
      </c>
      <c r="O603" s="1" t="s">
        <v>286</v>
      </c>
      <c r="P603" s="1" t="s">
        <v>227</v>
      </c>
      <c r="Q603" s="1" t="s">
        <v>45</v>
      </c>
      <c r="R603" s="1" t="s">
        <v>191</v>
      </c>
      <c r="S603" s="1" t="s">
        <v>46</v>
      </c>
      <c r="T603" s="1" t="s">
        <v>191</v>
      </c>
      <c r="U603" s="1" t="s">
        <v>156</v>
      </c>
      <c r="V603" s="1" t="s">
        <v>67</v>
      </c>
      <c r="W603" s="1" t="s">
        <v>68</v>
      </c>
      <c r="X603" s="1" t="s">
        <v>302</v>
      </c>
      <c r="Y603" s="1" t="s">
        <v>303</v>
      </c>
      <c r="Z603" s="1" t="s">
        <v>304</v>
      </c>
      <c r="AA603" s="1" t="s">
        <v>305</v>
      </c>
      <c r="AB603" s="1" t="s">
        <v>306</v>
      </c>
      <c r="AC603" s="1">
        <v>0</v>
      </c>
      <c r="AD603" s="1" t="s">
        <v>68</v>
      </c>
      <c r="AE603" s="1" t="s">
        <v>70</v>
      </c>
      <c r="AG603" s="1" t="s">
        <v>847</v>
      </c>
      <c r="AH603" s="1" t="s">
        <v>157</v>
      </c>
      <c r="AI603" s="1" t="s">
        <v>255</v>
      </c>
      <c r="AK603" s="1" t="s">
        <v>86</v>
      </c>
      <c r="AL603" s="1" t="s">
        <v>87</v>
      </c>
      <c r="AM603" s="1">
        <v>2</v>
      </c>
      <c r="AN603" s="1">
        <v>0</v>
      </c>
      <c r="AO603" s="1">
        <f t="shared" si="82"/>
        <v>2</v>
      </c>
    </row>
    <row r="604" spans="1:41" x14ac:dyDescent="0.4">
      <c r="A604" s="1">
        <v>1</v>
      </c>
      <c r="B604" s="1">
        <v>3</v>
      </c>
      <c r="C604" s="1" t="s">
        <v>41</v>
      </c>
      <c r="D604" s="2">
        <v>38930</v>
      </c>
      <c r="E604" s="1">
        <v>213</v>
      </c>
      <c r="F604" s="1">
        <v>17</v>
      </c>
      <c r="G604" s="3">
        <v>0.52833333333333332</v>
      </c>
      <c r="H604" s="3">
        <v>0.53037037037037038</v>
      </c>
      <c r="I604" s="3">
        <v>2.0370370370370594E-3</v>
      </c>
      <c r="J604" s="3">
        <v>2.0370370370370594E-3</v>
      </c>
      <c r="K604" s="5">
        <f t="shared" si="81"/>
        <v>176</v>
      </c>
      <c r="L604" s="3">
        <v>2.7199074074074625E-3</v>
      </c>
      <c r="N604" s="1" t="s">
        <v>251</v>
      </c>
      <c r="O604" s="1" t="s">
        <v>286</v>
      </c>
      <c r="P604" s="1" t="s">
        <v>227</v>
      </c>
      <c r="Q604" s="1" t="s">
        <v>45</v>
      </c>
      <c r="R604" s="1" t="s">
        <v>191</v>
      </c>
      <c r="S604" s="1" t="s">
        <v>46</v>
      </c>
      <c r="T604" s="1" t="s">
        <v>76</v>
      </c>
      <c r="U604" s="1" t="s">
        <v>156</v>
      </c>
      <c r="V604" s="1" t="s">
        <v>49</v>
      </c>
      <c r="W604" s="1" t="s">
        <v>168</v>
      </c>
      <c r="X604" s="1" t="s">
        <v>534</v>
      </c>
      <c r="Y604" s="1" t="s">
        <v>848</v>
      </c>
      <c r="Z604" s="1" t="s">
        <v>849</v>
      </c>
      <c r="AA604" s="1" t="s">
        <v>850</v>
      </c>
      <c r="AB604" s="1" t="s">
        <v>851</v>
      </c>
      <c r="AC604" s="1">
        <v>0</v>
      </c>
      <c r="AD604" s="1" t="s">
        <v>399</v>
      </c>
      <c r="AE604" s="1" t="s">
        <v>83</v>
      </c>
      <c r="AG604" s="1" t="s">
        <v>852</v>
      </c>
      <c r="AH604" s="1" t="s">
        <v>157</v>
      </c>
      <c r="AI604" s="1" t="s">
        <v>255</v>
      </c>
      <c r="AK604" s="1" t="s">
        <v>86</v>
      </c>
      <c r="AL604" s="1" t="s">
        <v>87</v>
      </c>
      <c r="AM604" s="1">
        <v>1</v>
      </c>
      <c r="AN604" s="1">
        <v>0</v>
      </c>
      <c r="AO604" s="1">
        <f t="shared" si="82"/>
        <v>1</v>
      </c>
    </row>
    <row r="605" spans="1:41" x14ac:dyDescent="0.4">
      <c r="A605" s="1">
        <v>1</v>
      </c>
      <c r="B605" s="1">
        <v>3</v>
      </c>
      <c r="C605" s="1" t="s">
        <v>41</v>
      </c>
      <c r="D605" s="2">
        <v>38930</v>
      </c>
      <c r="E605" s="1">
        <v>213</v>
      </c>
      <c r="F605" s="1">
        <v>18</v>
      </c>
      <c r="G605" s="3">
        <v>0.53309027777777784</v>
      </c>
      <c r="H605" s="3">
        <v>0.54497685185185185</v>
      </c>
      <c r="I605" s="3">
        <v>1.1886574074074008E-2</v>
      </c>
      <c r="J605" s="3">
        <v>1.1886574074074008E-2</v>
      </c>
      <c r="K605" s="5">
        <f t="shared" si="81"/>
        <v>1027</v>
      </c>
      <c r="L605" s="3">
        <v>5.7870370370372015E-4</v>
      </c>
      <c r="N605" s="1" t="s">
        <v>251</v>
      </c>
      <c r="O605" s="1" t="s">
        <v>286</v>
      </c>
      <c r="P605" s="1" t="s">
        <v>227</v>
      </c>
      <c r="Q605" s="1" t="s">
        <v>76</v>
      </c>
      <c r="R605" s="1" t="s">
        <v>76</v>
      </c>
      <c r="S605" s="1" t="s">
        <v>46</v>
      </c>
      <c r="T605" s="1" t="s">
        <v>45</v>
      </c>
      <c r="U605" s="1" t="s">
        <v>156</v>
      </c>
      <c r="V605" s="1" t="s">
        <v>49</v>
      </c>
      <c r="W605" s="1" t="s">
        <v>233</v>
      </c>
      <c r="X605" s="1" t="s">
        <v>783</v>
      </c>
      <c r="Y605" s="1" t="s">
        <v>725</v>
      </c>
      <c r="Z605" s="1" t="s">
        <v>726</v>
      </c>
      <c r="AA605" s="1" t="s">
        <v>784</v>
      </c>
      <c r="AB605" s="1" t="s">
        <v>785</v>
      </c>
      <c r="AC605" s="1">
        <v>0</v>
      </c>
      <c r="AD605" s="1" t="s">
        <v>56</v>
      </c>
      <c r="AE605" s="1" t="s">
        <v>83</v>
      </c>
      <c r="AF605" s="1" t="s">
        <v>153</v>
      </c>
      <c r="AG605" s="1" t="s">
        <v>815</v>
      </c>
      <c r="AH605" s="1" t="s">
        <v>206</v>
      </c>
      <c r="AI605" s="1" t="s">
        <v>255</v>
      </c>
      <c r="AK605" s="1" t="s">
        <v>116</v>
      </c>
      <c r="AL605" s="1" t="s">
        <v>155</v>
      </c>
      <c r="AM605" s="1">
        <v>10</v>
      </c>
      <c r="AN605" s="1">
        <v>0</v>
      </c>
      <c r="AO605" s="1">
        <f t="shared" si="82"/>
        <v>10</v>
      </c>
    </row>
    <row r="606" spans="1:41" x14ac:dyDescent="0.4">
      <c r="A606" s="1">
        <v>1</v>
      </c>
      <c r="B606" s="1">
        <v>3</v>
      </c>
      <c r="C606" s="1" t="s">
        <v>41</v>
      </c>
      <c r="D606" s="2">
        <v>38930</v>
      </c>
      <c r="E606" s="1">
        <v>213</v>
      </c>
      <c r="F606" s="1">
        <v>19</v>
      </c>
      <c r="G606" s="3">
        <v>0.54555555555555557</v>
      </c>
      <c r="H606" s="3">
        <v>0.54706018518518518</v>
      </c>
      <c r="I606" s="3">
        <v>1.5046296296296058E-3</v>
      </c>
      <c r="J606" s="3">
        <v>1.1111111111111738E-3</v>
      </c>
      <c r="K606" s="5">
        <f t="shared" si="81"/>
        <v>96</v>
      </c>
      <c r="L606" s="3">
        <v>4.6064814814814614E-3</v>
      </c>
      <c r="N606" s="1" t="s">
        <v>251</v>
      </c>
      <c r="O606" s="1" t="s">
        <v>286</v>
      </c>
      <c r="P606" s="1" t="s">
        <v>227</v>
      </c>
      <c r="Q606" s="1" t="s">
        <v>76</v>
      </c>
      <c r="R606" s="1" t="s">
        <v>76</v>
      </c>
      <c r="S606" s="1" t="s">
        <v>46</v>
      </c>
      <c r="T606" s="1" t="s">
        <v>76</v>
      </c>
      <c r="U606" s="1" t="s">
        <v>156</v>
      </c>
      <c r="V606" s="1" t="s">
        <v>102</v>
      </c>
      <c r="W606" s="1" t="s">
        <v>103</v>
      </c>
      <c r="X606" s="1" t="s">
        <v>853</v>
      </c>
      <c r="AB606" s="1" t="s">
        <v>104</v>
      </c>
      <c r="AC606" s="1">
        <v>0</v>
      </c>
      <c r="AD606" s="1" t="s">
        <v>105</v>
      </c>
      <c r="AE606" s="1" t="s">
        <v>83</v>
      </c>
      <c r="AG606" s="1" t="s">
        <v>815</v>
      </c>
      <c r="AH606" s="1" t="s">
        <v>157</v>
      </c>
      <c r="AI606" s="1" t="s">
        <v>255</v>
      </c>
      <c r="AK606" s="1" t="s">
        <v>116</v>
      </c>
      <c r="AL606" s="1" t="s">
        <v>174</v>
      </c>
      <c r="AM606" s="1">
        <v>10</v>
      </c>
      <c r="AN606" s="1">
        <v>0</v>
      </c>
      <c r="AO606" s="1">
        <f t="shared" si="82"/>
        <v>10</v>
      </c>
    </row>
    <row r="607" spans="1:41" x14ac:dyDescent="0.4">
      <c r="A607" s="1">
        <v>1</v>
      </c>
      <c r="B607" s="1">
        <v>3</v>
      </c>
      <c r="C607" s="1" t="s">
        <v>41</v>
      </c>
      <c r="D607" s="2">
        <v>38930</v>
      </c>
      <c r="E607" s="1">
        <v>213</v>
      </c>
      <c r="F607" s="1">
        <v>19.5</v>
      </c>
      <c r="G607" s="3">
        <v>0.55166666666666664</v>
      </c>
      <c r="H607" s="3">
        <v>0.55173611111111109</v>
      </c>
      <c r="I607" s="3">
        <v>6.94444444444553E-5</v>
      </c>
      <c r="J607" s="3">
        <v>6.94444444444553E-5</v>
      </c>
      <c r="K607" s="5">
        <f t="shared" si="81"/>
        <v>6</v>
      </c>
      <c r="L607" s="3">
        <v>2.3611111111111471E-3</v>
      </c>
      <c r="N607" s="1" t="s">
        <v>251</v>
      </c>
      <c r="O607" s="1" t="s">
        <v>286</v>
      </c>
      <c r="P607" s="1" t="s">
        <v>227</v>
      </c>
      <c r="Q607" s="1" t="s">
        <v>45</v>
      </c>
      <c r="R607" s="1" t="s">
        <v>76</v>
      </c>
      <c r="S607" s="1" t="s">
        <v>46</v>
      </c>
      <c r="T607" s="1" t="s">
        <v>76</v>
      </c>
      <c r="U607" s="1" t="s">
        <v>92</v>
      </c>
      <c r="AB607" s="1" t="s">
        <v>93</v>
      </c>
      <c r="AC607" s="1">
        <v>1</v>
      </c>
      <c r="AI607" s="1" t="s">
        <v>253</v>
      </c>
      <c r="AK607" s="1" t="s">
        <v>86</v>
      </c>
      <c r="AL607" s="1" t="s">
        <v>87</v>
      </c>
      <c r="AN607" s="1">
        <v>1</v>
      </c>
      <c r="AO607" s="1">
        <f t="shared" si="82"/>
        <v>1</v>
      </c>
    </row>
    <row r="608" spans="1:41" x14ac:dyDescent="0.4">
      <c r="A608" s="1">
        <v>1</v>
      </c>
      <c r="B608" s="1">
        <v>3</v>
      </c>
      <c r="C608" s="1" t="s">
        <v>41</v>
      </c>
      <c r="D608" s="2">
        <v>38930</v>
      </c>
      <c r="E608" s="1">
        <v>213</v>
      </c>
      <c r="F608" s="1">
        <v>20</v>
      </c>
      <c r="G608" s="3">
        <v>0.55409722222222224</v>
      </c>
      <c r="H608" s="3">
        <v>0.55590277777777775</v>
      </c>
      <c r="I608" s="3">
        <v>1.8055555555555047E-3</v>
      </c>
      <c r="J608" s="3">
        <v>1.7245370370370106E-3</v>
      </c>
      <c r="K608" s="5">
        <f t="shared" si="81"/>
        <v>149</v>
      </c>
      <c r="L608" s="3">
        <v>4.1087962962963465E-3</v>
      </c>
      <c r="N608" s="1" t="s">
        <v>251</v>
      </c>
      <c r="O608" s="1" t="s">
        <v>286</v>
      </c>
      <c r="P608" s="1" t="s">
        <v>227</v>
      </c>
      <c r="Q608" s="1" t="s">
        <v>45</v>
      </c>
      <c r="R608" s="1" t="s">
        <v>76</v>
      </c>
      <c r="S608" s="1" t="s">
        <v>46</v>
      </c>
      <c r="T608" s="1" t="s">
        <v>76</v>
      </c>
      <c r="U608" s="1" t="s">
        <v>156</v>
      </c>
      <c r="V608" s="1" t="s">
        <v>49</v>
      </c>
      <c r="W608" s="1" t="s">
        <v>233</v>
      </c>
      <c r="X608" s="1" t="s">
        <v>783</v>
      </c>
      <c r="Y608" s="1" t="s">
        <v>725</v>
      </c>
      <c r="Z608" s="1" t="s">
        <v>726</v>
      </c>
      <c r="AA608" s="1" t="s">
        <v>784</v>
      </c>
      <c r="AB608" s="1" t="s">
        <v>785</v>
      </c>
      <c r="AC608" s="1">
        <v>0</v>
      </c>
      <c r="AD608" s="1" t="s">
        <v>56</v>
      </c>
      <c r="AE608" s="1" t="s">
        <v>83</v>
      </c>
      <c r="AG608" s="1" t="s">
        <v>854</v>
      </c>
      <c r="AH608" s="1" t="s">
        <v>206</v>
      </c>
      <c r="AI608" s="1" t="s">
        <v>255</v>
      </c>
      <c r="AK608" s="1" t="s">
        <v>61</v>
      </c>
      <c r="AL608" s="1" t="s">
        <v>61</v>
      </c>
      <c r="AM608" s="1">
        <v>2</v>
      </c>
      <c r="AN608" s="1">
        <v>0</v>
      </c>
      <c r="AO608" s="1">
        <f t="shared" si="82"/>
        <v>2</v>
      </c>
    </row>
    <row r="609" spans="1:41" x14ac:dyDescent="0.4">
      <c r="A609" s="1">
        <v>1</v>
      </c>
      <c r="B609" s="1">
        <v>3</v>
      </c>
      <c r="C609" s="1" t="s">
        <v>41</v>
      </c>
      <c r="D609" s="2">
        <v>38930</v>
      </c>
      <c r="E609" s="1">
        <v>213</v>
      </c>
      <c r="F609" s="1">
        <v>21</v>
      </c>
      <c r="G609" s="3">
        <v>0.56001157407407409</v>
      </c>
      <c r="H609" s="3">
        <v>0.56262731481481476</v>
      </c>
      <c r="I609" s="3">
        <v>2.6157407407406685E-3</v>
      </c>
      <c r="J609" s="3">
        <v>2.6157407407406685E-3</v>
      </c>
      <c r="K609" s="5">
        <f t="shared" si="81"/>
        <v>226</v>
      </c>
      <c r="L609" s="3">
        <v>3.5983796296296333E-2</v>
      </c>
      <c r="N609" s="1" t="s">
        <v>251</v>
      </c>
      <c r="O609" s="1" t="s">
        <v>286</v>
      </c>
      <c r="P609" s="1" t="s">
        <v>227</v>
      </c>
      <c r="Q609" s="1" t="s">
        <v>76</v>
      </c>
      <c r="R609" s="1" t="s">
        <v>76</v>
      </c>
      <c r="S609" s="1" t="s">
        <v>46</v>
      </c>
      <c r="T609" s="1" t="s">
        <v>45</v>
      </c>
      <c r="U609" s="1" t="s">
        <v>48</v>
      </c>
      <c r="V609" s="1" t="s">
        <v>297</v>
      </c>
      <c r="W609" s="1" t="s">
        <v>167</v>
      </c>
      <c r="X609" s="1" t="s">
        <v>614</v>
      </c>
      <c r="AB609" s="1" t="s">
        <v>693</v>
      </c>
      <c r="AC609" s="1">
        <v>0</v>
      </c>
      <c r="AD609" s="1" t="s">
        <v>56</v>
      </c>
      <c r="AE609" s="1" t="s">
        <v>57</v>
      </c>
      <c r="AG609" s="1" t="s">
        <v>855</v>
      </c>
      <c r="AH609" s="1" t="s">
        <v>157</v>
      </c>
      <c r="AI609" s="1" t="s">
        <v>379</v>
      </c>
      <c r="AK609" s="1" t="s">
        <v>61</v>
      </c>
      <c r="AL609" s="1" t="s">
        <v>61</v>
      </c>
      <c r="AM609" s="1">
        <v>1</v>
      </c>
      <c r="AN609" s="1">
        <v>0</v>
      </c>
      <c r="AO609" s="1">
        <f t="shared" si="82"/>
        <v>1</v>
      </c>
    </row>
    <row r="610" spans="1:41" x14ac:dyDescent="0.4">
      <c r="A610" s="1">
        <v>1</v>
      </c>
      <c r="B610" s="1">
        <v>3</v>
      </c>
      <c r="C610" s="1" t="s">
        <v>41</v>
      </c>
      <c r="D610" s="2">
        <v>38930</v>
      </c>
      <c r="E610" s="1">
        <v>213</v>
      </c>
      <c r="F610" s="1">
        <v>23</v>
      </c>
      <c r="G610" s="3">
        <v>0.59861111111111109</v>
      </c>
      <c r="H610" s="3">
        <v>0.59924768518518523</v>
      </c>
      <c r="I610" s="3">
        <v>6.3657407407413658E-4</v>
      </c>
      <c r="J610" s="3">
        <v>6.3657407407413658E-4</v>
      </c>
      <c r="K610" s="5">
        <f t="shared" si="81"/>
        <v>55</v>
      </c>
      <c r="L610" s="3">
        <v>3.1365740740740833E-3</v>
      </c>
      <c r="N610" s="1" t="s">
        <v>251</v>
      </c>
      <c r="O610" s="1" t="s">
        <v>286</v>
      </c>
      <c r="P610" s="1" t="s">
        <v>227</v>
      </c>
      <c r="Q610" s="1" t="s">
        <v>132</v>
      </c>
      <c r="R610" s="1" t="s">
        <v>76</v>
      </c>
      <c r="S610" s="1" t="s">
        <v>46</v>
      </c>
      <c r="T610" s="1" t="s">
        <v>76</v>
      </c>
      <c r="U610" s="1" t="s">
        <v>156</v>
      </c>
      <c r="V610" s="1" t="s">
        <v>102</v>
      </c>
      <c r="W610" s="1" t="s">
        <v>103</v>
      </c>
      <c r="X610" s="1" t="s">
        <v>275</v>
      </c>
      <c r="Y610" s="1" t="s">
        <v>52</v>
      </c>
      <c r="Z610" s="1" t="s">
        <v>325</v>
      </c>
      <c r="AA610" s="1" t="s">
        <v>326</v>
      </c>
      <c r="AB610" s="1" t="s">
        <v>327</v>
      </c>
      <c r="AC610" s="1">
        <v>0</v>
      </c>
      <c r="AD610" s="1" t="s">
        <v>56</v>
      </c>
      <c r="AE610" s="1" t="s">
        <v>57</v>
      </c>
      <c r="AG610" s="1" t="s">
        <v>856</v>
      </c>
      <c r="AH610" s="1" t="s">
        <v>157</v>
      </c>
      <c r="AI610" s="1" t="s">
        <v>255</v>
      </c>
      <c r="AK610" s="1" t="s">
        <v>86</v>
      </c>
      <c r="AL610" s="1" t="s">
        <v>87</v>
      </c>
      <c r="AM610" s="1">
        <v>1</v>
      </c>
      <c r="AN610" s="1">
        <v>0</v>
      </c>
      <c r="AO610" s="1">
        <f t="shared" si="82"/>
        <v>1</v>
      </c>
    </row>
    <row r="611" spans="1:41" x14ac:dyDescent="0.4">
      <c r="A611" s="1">
        <v>1</v>
      </c>
      <c r="B611" s="1">
        <v>3</v>
      </c>
      <c r="C611" s="1" t="s">
        <v>41</v>
      </c>
      <c r="D611" s="2">
        <v>38930</v>
      </c>
      <c r="E611" s="1">
        <v>213</v>
      </c>
      <c r="F611" s="1">
        <v>24</v>
      </c>
      <c r="G611" s="3">
        <v>0.60238425925925931</v>
      </c>
      <c r="H611" s="3">
        <v>0.61962962962962964</v>
      </c>
      <c r="I611" s="3">
        <v>1.7245370370370328E-2</v>
      </c>
      <c r="J611" s="3">
        <v>1.7245370370370328E-2</v>
      </c>
      <c r="K611" s="5">
        <f t="shared" si="81"/>
        <v>1490</v>
      </c>
      <c r="L611" s="3">
        <v>1.1342592592592515E-2</v>
      </c>
      <c r="N611" s="1" t="s">
        <v>251</v>
      </c>
      <c r="O611" s="1" t="s">
        <v>286</v>
      </c>
      <c r="P611" s="1" t="s">
        <v>227</v>
      </c>
      <c r="Q611" s="1" t="s">
        <v>132</v>
      </c>
      <c r="R611" s="1" t="s">
        <v>76</v>
      </c>
      <c r="S611" s="1" t="s">
        <v>46</v>
      </c>
      <c r="T611" s="1" t="s">
        <v>45</v>
      </c>
      <c r="U611" s="1" t="s">
        <v>156</v>
      </c>
      <c r="V611" s="1" t="s">
        <v>49</v>
      </c>
      <c r="W611" s="1" t="s">
        <v>77</v>
      </c>
      <c r="X611" s="1" t="s">
        <v>522</v>
      </c>
      <c r="Y611" s="1" t="s">
        <v>857</v>
      </c>
      <c r="Z611" s="1" t="s">
        <v>858</v>
      </c>
      <c r="AA611" s="1" t="s">
        <v>859</v>
      </c>
      <c r="AB611" s="1" t="s">
        <v>860</v>
      </c>
      <c r="AC611" s="1">
        <v>0</v>
      </c>
      <c r="AD611" s="1" t="s">
        <v>105</v>
      </c>
      <c r="AE611" s="1" t="s">
        <v>57</v>
      </c>
      <c r="AF611" s="1" t="s">
        <v>213</v>
      </c>
      <c r="AG611" s="1" t="s">
        <v>861</v>
      </c>
      <c r="AH611" s="1" t="s">
        <v>59</v>
      </c>
      <c r="AI611" s="1" t="s">
        <v>255</v>
      </c>
      <c r="AK611" s="1" t="s">
        <v>86</v>
      </c>
      <c r="AL611" s="1" t="s">
        <v>87</v>
      </c>
      <c r="AM611" s="1">
        <v>1</v>
      </c>
      <c r="AN611" s="1">
        <v>0</v>
      </c>
      <c r="AO611" s="1">
        <f t="shared" si="82"/>
        <v>1</v>
      </c>
    </row>
    <row r="612" spans="1:41" x14ac:dyDescent="0.4">
      <c r="A612" s="1">
        <v>1</v>
      </c>
      <c r="B612" s="1">
        <v>3</v>
      </c>
      <c r="C612" s="1" t="s">
        <v>41</v>
      </c>
      <c r="D612" s="2">
        <v>38930</v>
      </c>
      <c r="E612" s="1">
        <v>213</v>
      </c>
      <c r="F612" s="1">
        <v>25</v>
      </c>
      <c r="G612" s="3">
        <v>0.63097222222222216</v>
      </c>
      <c r="H612" s="3">
        <v>0.64381944444444439</v>
      </c>
      <c r="I612" s="3">
        <v>1.2847222222222232E-2</v>
      </c>
      <c r="J612" s="3">
        <v>1.2847222222222232E-2</v>
      </c>
      <c r="K612" s="5">
        <f t="shared" si="81"/>
        <v>1110</v>
      </c>
      <c r="L612" s="3">
        <v>6.8865740740741144E-3</v>
      </c>
      <c r="N612" s="1" t="s">
        <v>251</v>
      </c>
      <c r="O612" s="1" t="s">
        <v>286</v>
      </c>
      <c r="P612" s="1" t="s">
        <v>227</v>
      </c>
      <c r="Q612" s="1" t="s">
        <v>76</v>
      </c>
      <c r="R612" s="1" t="s">
        <v>76</v>
      </c>
      <c r="S612" s="1" t="s">
        <v>46</v>
      </c>
      <c r="T612" s="1" t="s">
        <v>45</v>
      </c>
      <c r="U612" s="1" t="s">
        <v>66</v>
      </c>
      <c r="V612" s="1" t="s">
        <v>49</v>
      </c>
      <c r="W612" s="1" t="s">
        <v>77</v>
      </c>
      <c r="X612" s="1" t="s">
        <v>830</v>
      </c>
      <c r="Y612" s="1" t="s">
        <v>109</v>
      </c>
      <c r="Z612" s="1" t="s">
        <v>831</v>
      </c>
      <c r="AA612" s="1" t="s">
        <v>832</v>
      </c>
      <c r="AB612" s="1" t="s">
        <v>833</v>
      </c>
      <c r="AC612" s="1">
        <v>0</v>
      </c>
      <c r="AD612" s="1" t="s">
        <v>56</v>
      </c>
      <c r="AE612" s="1" t="s">
        <v>83</v>
      </c>
      <c r="AF612" s="1" t="s">
        <v>113</v>
      </c>
      <c r="AG612" s="1" t="s">
        <v>764</v>
      </c>
      <c r="AH612" s="1" t="s">
        <v>115</v>
      </c>
      <c r="AI612" s="1" t="s">
        <v>257</v>
      </c>
      <c r="AK612" s="1" t="s">
        <v>116</v>
      </c>
      <c r="AL612" s="1" t="s">
        <v>174</v>
      </c>
      <c r="AM612" s="1">
        <v>6</v>
      </c>
      <c r="AN612" s="1">
        <v>0</v>
      </c>
      <c r="AO612" s="1">
        <f t="shared" si="82"/>
        <v>6</v>
      </c>
    </row>
    <row r="613" spans="1:41" x14ac:dyDescent="0.4">
      <c r="A613" s="1">
        <v>1</v>
      </c>
      <c r="B613" s="1">
        <v>3</v>
      </c>
      <c r="C613" s="1" t="s">
        <v>41</v>
      </c>
      <c r="D613" s="2">
        <v>38930</v>
      </c>
      <c r="E613" s="1">
        <v>213</v>
      </c>
      <c r="F613" s="1">
        <v>26</v>
      </c>
      <c r="G613" s="3">
        <v>0.6507060185185185</v>
      </c>
      <c r="H613" s="3">
        <v>0.65467592592592594</v>
      </c>
      <c r="I613" s="3">
        <v>3.9699074074074359E-3</v>
      </c>
      <c r="J613" s="3">
        <v>3.9699074074074359E-3</v>
      </c>
      <c r="K613" s="5">
        <f t="shared" si="81"/>
        <v>343</v>
      </c>
      <c r="L613" s="3">
        <v>1.344907407407403E-2</v>
      </c>
      <c r="N613" s="1" t="s">
        <v>251</v>
      </c>
      <c r="O613" s="1" t="s">
        <v>286</v>
      </c>
      <c r="P613" s="1" t="s">
        <v>227</v>
      </c>
      <c r="Q613" s="1" t="s">
        <v>132</v>
      </c>
      <c r="R613" s="1" t="s">
        <v>76</v>
      </c>
      <c r="S613" s="1" t="s">
        <v>46</v>
      </c>
      <c r="T613" s="1" t="s">
        <v>47</v>
      </c>
      <c r="U613" s="1" t="s">
        <v>66</v>
      </c>
      <c r="V613" s="1" t="s">
        <v>49</v>
      </c>
      <c r="W613" s="1" t="s">
        <v>268</v>
      </c>
      <c r="X613" s="1" t="s">
        <v>316</v>
      </c>
      <c r="Y613" s="1" t="s">
        <v>52</v>
      </c>
      <c r="Z613" s="1" t="s">
        <v>317</v>
      </c>
      <c r="AA613" s="1">
        <v>1</v>
      </c>
      <c r="AB613" s="1" t="s">
        <v>318</v>
      </c>
      <c r="AC613" s="1">
        <v>0</v>
      </c>
      <c r="AD613" s="1" t="s">
        <v>105</v>
      </c>
      <c r="AE613" s="1" t="s">
        <v>57</v>
      </c>
      <c r="AG613" s="1" t="s">
        <v>782</v>
      </c>
      <c r="AH613" s="1" t="s">
        <v>165</v>
      </c>
      <c r="AI613" s="1" t="s">
        <v>257</v>
      </c>
      <c r="AK613" s="1" t="s">
        <v>86</v>
      </c>
      <c r="AL613" s="1" t="s">
        <v>133</v>
      </c>
      <c r="AM613" s="1">
        <v>4</v>
      </c>
      <c r="AN613" s="1">
        <v>0</v>
      </c>
      <c r="AO613" s="1">
        <f t="shared" si="82"/>
        <v>4</v>
      </c>
    </row>
    <row r="614" spans="1:41" x14ac:dyDescent="0.4">
      <c r="A614" s="1">
        <v>1</v>
      </c>
      <c r="B614" s="1">
        <v>3</v>
      </c>
      <c r="C614" s="1" t="s">
        <v>41</v>
      </c>
      <c r="D614" s="2">
        <v>38930</v>
      </c>
      <c r="E614" s="1">
        <v>213</v>
      </c>
      <c r="F614" s="1">
        <v>28</v>
      </c>
      <c r="G614" s="3">
        <v>0.66812499999999997</v>
      </c>
      <c r="H614" s="3">
        <v>0.67192129629629627</v>
      </c>
      <c r="I614" s="3">
        <v>3.7962962962962976E-3</v>
      </c>
      <c r="J614" s="3">
        <v>3.7962962962962976E-3</v>
      </c>
      <c r="K614" s="5">
        <f t="shared" si="81"/>
        <v>328</v>
      </c>
      <c r="L614" s="3">
        <v>8.4837962962963642E-3</v>
      </c>
      <c r="N614" s="1" t="s">
        <v>251</v>
      </c>
      <c r="O614" s="1" t="s">
        <v>286</v>
      </c>
      <c r="P614" s="1" t="s">
        <v>227</v>
      </c>
      <c r="Q614" s="1" t="s">
        <v>76</v>
      </c>
      <c r="R614" s="1" t="s">
        <v>76</v>
      </c>
      <c r="S614" s="1" t="s">
        <v>46</v>
      </c>
      <c r="T614" s="1" t="s">
        <v>47</v>
      </c>
      <c r="U614" s="1" t="s">
        <v>156</v>
      </c>
      <c r="V614" s="1" t="s">
        <v>49</v>
      </c>
      <c r="W614" s="1" t="s">
        <v>50</v>
      </c>
      <c r="X614" s="1" t="s">
        <v>405</v>
      </c>
      <c r="Y614" s="1" t="s">
        <v>406</v>
      </c>
      <c r="Z614" s="1" t="s">
        <v>407</v>
      </c>
      <c r="AA614" s="1" t="s">
        <v>408</v>
      </c>
      <c r="AB614" s="1" t="s">
        <v>409</v>
      </c>
      <c r="AC614" s="1">
        <v>0</v>
      </c>
      <c r="AD614" s="1" t="s">
        <v>105</v>
      </c>
      <c r="AE614" s="1" t="s">
        <v>181</v>
      </c>
      <c r="AF614" s="1" t="s">
        <v>153</v>
      </c>
      <c r="AG614" s="1" t="s">
        <v>862</v>
      </c>
      <c r="AH614" s="1" t="s">
        <v>59</v>
      </c>
      <c r="AI614" s="1" t="s">
        <v>255</v>
      </c>
      <c r="AK614" s="1" t="s">
        <v>116</v>
      </c>
      <c r="AL614" s="1" t="s">
        <v>174</v>
      </c>
      <c r="AM614" s="1">
        <v>1</v>
      </c>
      <c r="AN614" s="1">
        <v>0</v>
      </c>
      <c r="AO614" s="1">
        <f t="shared" si="82"/>
        <v>1</v>
      </c>
    </row>
    <row r="615" spans="1:41" x14ac:dyDescent="0.4">
      <c r="A615" s="1">
        <v>1</v>
      </c>
      <c r="B615" s="1">
        <v>3</v>
      </c>
      <c r="C615" s="1" t="s">
        <v>41</v>
      </c>
      <c r="D615" s="2">
        <v>38930</v>
      </c>
      <c r="E615" s="1">
        <v>213</v>
      </c>
      <c r="F615" s="1">
        <v>29</v>
      </c>
      <c r="G615" s="3">
        <v>0.68040509259259263</v>
      </c>
      <c r="H615" s="3">
        <v>0.68138888888888882</v>
      </c>
      <c r="I615" s="3">
        <v>9.8379629629619103E-4</v>
      </c>
      <c r="J615" s="3">
        <v>9.8379629629619103E-4</v>
      </c>
      <c r="K615" s="5">
        <f t="shared" si="81"/>
        <v>85</v>
      </c>
      <c r="L615" s="3" t="s">
        <v>120</v>
      </c>
      <c r="N615" s="1" t="s">
        <v>251</v>
      </c>
      <c r="O615" s="1" t="s">
        <v>286</v>
      </c>
      <c r="P615" s="1" t="s">
        <v>227</v>
      </c>
      <c r="Q615" s="1" t="s">
        <v>132</v>
      </c>
      <c r="R615" s="1" t="s">
        <v>45</v>
      </c>
      <c r="S615" s="1" t="s">
        <v>46</v>
      </c>
      <c r="T615" s="1" t="s">
        <v>76</v>
      </c>
      <c r="U615" s="1" t="s">
        <v>92</v>
      </c>
      <c r="V615" s="1" t="s">
        <v>102</v>
      </c>
      <c r="W615" s="1" t="s">
        <v>103</v>
      </c>
      <c r="X615" s="1" t="s">
        <v>275</v>
      </c>
      <c r="Y615" s="1" t="s">
        <v>52</v>
      </c>
      <c r="Z615" s="1" t="s">
        <v>325</v>
      </c>
      <c r="AA615" s="1" t="s">
        <v>326</v>
      </c>
      <c r="AB615" s="1" t="s">
        <v>327</v>
      </c>
      <c r="AC615" s="1">
        <v>0</v>
      </c>
      <c r="AD615" s="1" t="s">
        <v>56</v>
      </c>
      <c r="AE615" s="1" t="s">
        <v>57</v>
      </c>
      <c r="AG615" s="1" t="s">
        <v>863</v>
      </c>
      <c r="AH615" s="1" t="s">
        <v>157</v>
      </c>
      <c r="AI615" s="1" t="s">
        <v>253</v>
      </c>
      <c r="AK615" s="1" t="s">
        <v>86</v>
      </c>
      <c r="AL615" s="1" t="s">
        <v>133</v>
      </c>
      <c r="AM615" s="1">
        <v>1</v>
      </c>
      <c r="AN615" s="1">
        <v>0</v>
      </c>
      <c r="AO615" s="1">
        <f t="shared" si="82"/>
        <v>1</v>
      </c>
    </row>
    <row r="616" spans="1:41" x14ac:dyDescent="0.4">
      <c r="A616" s="1">
        <v>1</v>
      </c>
      <c r="B616" s="1">
        <v>3</v>
      </c>
      <c r="C616" s="1" t="s">
        <v>41</v>
      </c>
      <c r="D616" s="2">
        <v>38939</v>
      </c>
      <c r="E616" s="1">
        <v>222</v>
      </c>
      <c r="F616" s="1">
        <v>1</v>
      </c>
      <c r="G616" s="3">
        <v>0.27835648148148145</v>
      </c>
      <c r="H616" s="3">
        <v>0.28160879629629632</v>
      </c>
      <c r="I616" s="3">
        <v>3.2523148148148606E-3</v>
      </c>
      <c r="J616" s="3">
        <v>3.2523148148148606E-3</v>
      </c>
      <c r="K616" s="5">
        <f t="shared" si="81"/>
        <v>281</v>
      </c>
      <c r="L616" s="3">
        <v>8.4374999999999867E-3</v>
      </c>
      <c r="N616" s="1" t="s">
        <v>75</v>
      </c>
      <c r="O616" s="1" t="s">
        <v>286</v>
      </c>
      <c r="P616" s="1" t="s">
        <v>227</v>
      </c>
      <c r="Q616" s="1" t="s">
        <v>45</v>
      </c>
      <c r="R616" s="1" t="s">
        <v>76</v>
      </c>
      <c r="S616" s="1" t="s">
        <v>46</v>
      </c>
      <c r="T616" s="1" t="s">
        <v>47</v>
      </c>
      <c r="U616" s="1" t="s">
        <v>66</v>
      </c>
      <c r="V616" s="1" t="s">
        <v>49</v>
      </c>
      <c r="W616" s="1" t="s">
        <v>50</v>
      </c>
      <c r="X616" s="1" t="s">
        <v>405</v>
      </c>
      <c r="Y616" s="1" t="s">
        <v>406</v>
      </c>
      <c r="Z616" s="1" t="s">
        <v>407</v>
      </c>
      <c r="AA616" s="1" t="s">
        <v>408</v>
      </c>
      <c r="AB616" s="1" t="s">
        <v>409</v>
      </c>
      <c r="AC616" s="1">
        <v>0</v>
      </c>
      <c r="AD616" s="1" t="s">
        <v>105</v>
      </c>
      <c r="AE616" s="1" t="s">
        <v>181</v>
      </c>
      <c r="AG616" s="1" t="s">
        <v>864</v>
      </c>
      <c r="AH616" s="1" t="s">
        <v>59</v>
      </c>
      <c r="AI616" s="1" t="s">
        <v>75</v>
      </c>
      <c r="AK616" s="1" t="s">
        <v>61</v>
      </c>
      <c r="AL616" s="1" t="s">
        <v>61</v>
      </c>
      <c r="AM616" s="1">
        <v>5</v>
      </c>
      <c r="AN616" s="1">
        <v>0</v>
      </c>
      <c r="AO616" s="1">
        <f t="shared" si="82"/>
        <v>5</v>
      </c>
    </row>
    <row r="617" spans="1:41" x14ac:dyDescent="0.4">
      <c r="A617" s="1">
        <v>1</v>
      </c>
      <c r="B617" s="1">
        <v>3</v>
      </c>
      <c r="C617" s="1" t="s">
        <v>41</v>
      </c>
      <c r="D617" s="2">
        <v>38939</v>
      </c>
      <c r="E617" s="1">
        <v>222</v>
      </c>
      <c r="F617" s="1">
        <v>1.5</v>
      </c>
      <c r="G617" s="3">
        <v>0.2900462962962963</v>
      </c>
      <c r="H617" s="3">
        <v>0.29040509259259256</v>
      </c>
      <c r="I617" s="3">
        <v>3.5879629629625986E-4</v>
      </c>
      <c r="J617" s="3">
        <v>8.1018518518494176E-5</v>
      </c>
      <c r="K617" s="5">
        <f t="shared" si="81"/>
        <v>7</v>
      </c>
      <c r="L617" s="3">
        <v>7.1064814814815191E-3</v>
      </c>
      <c r="N617" s="1" t="s">
        <v>42</v>
      </c>
      <c r="O617" s="1" t="s">
        <v>286</v>
      </c>
      <c r="P617" s="1" t="s">
        <v>227</v>
      </c>
      <c r="Q617" s="1" t="s">
        <v>76</v>
      </c>
      <c r="R617" s="1" t="s">
        <v>76</v>
      </c>
      <c r="S617" s="1" t="s">
        <v>46</v>
      </c>
      <c r="T617" s="1" t="s">
        <v>45</v>
      </c>
      <c r="U617" s="1" t="s">
        <v>66</v>
      </c>
      <c r="AB617" s="1" t="s">
        <v>93</v>
      </c>
      <c r="AC617" s="1">
        <v>1</v>
      </c>
      <c r="AI617" s="1" t="s">
        <v>71</v>
      </c>
      <c r="AK617" s="1" t="s">
        <v>86</v>
      </c>
      <c r="AL617" s="1" t="s">
        <v>133</v>
      </c>
      <c r="AN617" s="1">
        <v>1</v>
      </c>
      <c r="AO617" s="1">
        <f t="shared" si="82"/>
        <v>1</v>
      </c>
    </row>
    <row r="618" spans="1:41" x14ac:dyDescent="0.4">
      <c r="A618" s="1">
        <v>1</v>
      </c>
      <c r="B618" s="1">
        <v>3</v>
      </c>
      <c r="C618" s="1" t="s">
        <v>41</v>
      </c>
      <c r="D618" s="2">
        <v>38939</v>
      </c>
      <c r="E618" s="1">
        <v>222</v>
      </c>
      <c r="F618" s="1">
        <v>2</v>
      </c>
      <c r="G618" s="3">
        <v>0.29751157407407408</v>
      </c>
      <c r="H618" s="3">
        <v>0.30942129629629628</v>
      </c>
      <c r="I618" s="3">
        <v>1.1909722222222197E-2</v>
      </c>
      <c r="J618" s="3">
        <v>1.165509259259262E-2</v>
      </c>
      <c r="K618" s="5">
        <f t="shared" si="81"/>
        <v>1007</v>
      </c>
      <c r="L618" s="3">
        <v>2.6736111111111405E-3</v>
      </c>
      <c r="N618" s="1" t="s">
        <v>42</v>
      </c>
      <c r="O618" s="1" t="s">
        <v>286</v>
      </c>
      <c r="P618" s="1" t="s">
        <v>227</v>
      </c>
      <c r="Q618" s="1" t="s">
        <v>132</v>
      </c>
      <c r="R618" s="1" t="s">
        <v>76</v>
      </c>
      <c r="S618" s="1" t="s">
        <v>46</v>
      </c>
      <c r="T618" s="1" t="s">
        <v>45</v>
      </c>
      <c r="U618" s="1" t="s">
        <v>66</v>
      </c>
      <c r="V618" s="1" t="s">
        <v>49</v>
      </c>
      <c r="W618" s="1" t="s">
        <v>233</v>
      </c>
      <c r="X618" s="1" t="s">
        <v>783</v>
      </c>
      <c r="Y618" s="1" t="s">
        <v>725</v>
      </c>
      <c r="Z618" s="1" t="s">
        <v>726</v>
      </c>
      <c r="AA618" s="1" t="s">
        <v>784</v>
      </c>
      <c r="AB618" s="1" t="s">
        <v>785</v>
      </c>
      <c r="AC618" s="1">
        <v>0</v>
      </c>
      <c r="AD618" s="1" t="s">
        <v>56</v>
      </c>
      <c r="AE618" s="1" t="s">
        <v>83</v>
      </c>
      <c r="AG618" s="1" t="s">
        <v>865</v>
      </c>
      <c r="AH618" s="1" t="s">
        <v>206</v>
      </c>
      <c r="AI618" s="1" t="s">
        <v>71</v>
      </c>
      <c r="AK618" s="1" t="s">
        <v>61</v>
      </c>
      <c r="AL618" s="1" t="s">
        <v>61</v>
      </c>
      <c r="AM618" s="1">
        <v>1</v>
      </c>
      <c r="AN618" s="1">
        <v>0</v>
      </c>
      <c r="AO618" s="1">
        <f t="shared" si="82"/>
        <v>1</v>
      </c>
    </row>
    <row r="619" spans="1:41" x14ac:dyDescent="0.4">
      <c r="A619" s="1">
        <v>1</v>
      </c>
      <c r="B619" s="1">
        <v>3</v>
      </c>
      <c r="C619" s="1" t="s">
        <v>41</v>
      </c>
      <c r="D619" s="2">
        <v>38939</v>
      </c>
      <c r="E619" s="1">
        <v>222</v>
      </c>
      <c r="F619" s="1">
        <v>2.5</v>
      </c>
      <c r="G619" s="3">
        <v>0.31209490740740742</v>
      </c>
      <c r="H619" s="3">
        <v>0.31214120370370374</v>
      </c>
      <c r="I619" s="3">
        <v>4.6296296296322037E-5</v>
      </c>
      <c r="J619" s="3">
        <v>4.6296296296322037E-5</v>
      </c>
      <c r="K619" s="5">
        <f t="shared" si="81"/>
        <v>4</v>
      </c>
      <c r="L619" s="3">
        <v>6.6898148148147873E-3</v>
      </c>
      <c r="N619" s="1" t="s">
        <v>42</v>
      </c>
      <c r="O619" s="1" t="s">
        <v>286</v>
      </c>
      <c r="P619" s="1" t="s">
        <v>227</v>
      </c>
      <c r="Q619" s="1" t="s">
        <v>45</v>
      </c>
      <c r="R619" s="1" t="s">
        <v>76</v>
      </c>
      <c r="S619" s="1" t="s">
        <v>46</v>
      </c>
      <c r="AB619" s="1" t="s">
        <v>93</v>
      </c>
      <c r="AC619" s="1">
        <v>1</v>
      </c>
      <c r="AK619" s="1" t="s">
        <v>61</v>
      </c>
      <c r="AL619" s="1" t="s">
        <v>133</v>
      </c>
      <c r="AN619" s="1">
        <v>1</v>
      </c>
      <c r="AO619" s="1">
        <f t="shared" si="82"/>
        <v>1</v>
      </c>
    </row>
    <row r="620" spans="1:41" x14ac:dyDescent="0.4">
      <c r="A620" s="1">
        <v>1</v>
      </c>
      <c r="B620" s="1">
        <v>3</v>
      </c>
      <c r="C620" s="1" t="s">
        <v>41</v>
      </c>
      <c r="D620" s="2">
        <v>38939</v>
      </c>
      <c r="E620" s="1">
        <v>222</v>
      </c>
      <c r="F620" s="1">
        <v>3</v>
      </c>
      <c r="G620" s="3">
        <v>0.31883101851851853</v>
      </c>
      <c r="H620" s="3">
        <v>0.32048611111111108</v>
      </c>
      <c r="I620" s="3">
        <v>1.6550925925925553E-3</v>
      </c>
      <c r="J620" s="3">
        <v>1.6550925925925553E-3</v>
      </c>
      <c r="K620" s="5">
        <f t="shared" si="81"/>
        <v>143</v>
      </c>
      <c r="L620" s="3">
        <v>2.2222222222222365E-3</v>
      </c>
      <c r="N620" s="1" t="s">
        <v>42</v>
      </c>
      <c r="O620" s="1" t="s">
        <v>286</v>
      </c>
      <c r="P620" s="1" t="s">
        <v>227</v>
      </c>
      <c r="Q620" s="1" t="s">
        <v>76</v>
      </c>
      <c r="R620" s="1" t="s">
        <v>76</v>
      </c>
      <c r="S620" s="1" t="s">
        <v>46</v>
      </c>
      <c r="T620" s="1" t="s">
        <v>47</v>
      </c>
      <c r="U620" s="1" t="s">
        <v>66</v>
      </c>
      <c r="V620" s="1" t="s">
        <v>49</v>
      </c>
      <c r="W620" s="1" t="s">
        <v>50</v>
      </c>
      <c r="X620" s="1" t="s">
        <v>405</v>
      </c>
      <c r="Y620" s="1" t="s">
        <v>406</v>
      </c>
      <c r="Z620" s="1" t="s">
        <v>407</v>
      </c>
      <c r="AA620" s="1" t="s">
        <v>408</v>
      </c>
      <c r="AB620" s="1" t="s">
        <v>409</v>
      </c>
      <c r="AC620" s="1">
        <v>0</v>
      </c>
      <c r="AD620" s="1" t="s">
        <v>105</v>
      </c>
      <c r="AE620" s="1" t="s">
        <v>181</v>
      </c>
      <c r="AF620" s="1" t="s">
        <v>153</v>
      </c>
      <c r="AG620" s="1" t="s">
        <v>721</v>
      </c>
      <c r="AH620" s="1" t="s">
        <v>59</v>
      </c>
      <c r="AI620" s="1" t="s">
        <v>71</v>
      </c>
      <c r="AK620" s="1" t="s">
        <v>61</v>
      </c>
      <c r="AL620" s="1" t="s">
        <v>72</v>
      </c>
      <c r="AM620" s="1">
        <v>3</v>
      </c>
      <c r="AN620" s="1">
        <v>0</v>
      </c>
      <c r="AO620" s="1">
        <f t="shared" si="82"/>
        <v>3</v>
      </c>
    </row>
    <row r="621" spans="1:41" x14ac:dyDescent="0.4">
      <c r="A621" s="1">
        <v>1</v>
      </c>
      <c r="B621" s="1">
        <v>3</v>
      </c>
      <c r="C621" s="1" t="s">
        <v>41</v>
      </c>
      <c r="D621" s="2">
        <v>38939</v>
      </c>
      <c r="E621" s="1">
        <v>222</v>
      </c>
      <c r="F621" s="1">
        <v>4</v>
      </c>
      <c r="G621" s="3">
        <v>0.32270833333333332</v>
      </c>
      <c r="H621" s="3">
        <v>0.32561342592592596</v>
      </c>
      <c r="I621" s="3">
        <v>2.9050925925926396E-3</v>
      </c>
      <c r="J621" s="3">
        <v>2.9050925925926396E-3</v>
      </c>
      <c r="K621" s="5">
        <f t="shared" si="81"/>
        <v>251</v>
      </c>
      <c r="L621" s="3">
        <v>1.0312500000000002E-2</v>
      </c>
      <c r="N621" s="1" t="s">
        <v>75</v>
      </c>
      <c r="O621" s="1" t="s">
        <v>286</v>
      </c>
      <c r="P621" s="1" t="s">
        <v>227</v>
      </c>
      <c r="S621" s="1" t="s">
        <v>46</v>
      </c>
      <c r="T621" s="1" t="s">
        <v>47</v>
      </c>
      <c r="U621" s="1" t="s">
        <v>66</v>
      </c>
      <c r="V621" s="1" t="s">
        <v>49</v>
      </c>
      <c r="W621" s="1" t="s">
        <v>50</v>
      </c>
      <c r="X621" s="1" t="s">
        <v>405</v>
      </c>
      <c r="Y621" s="1" t="s">
        <v>406</v>
      </c>
      <c r="Z621" s="1" t="s">
        <v>407</v>
      </c>
      <c r="AA621" s="1" t="s">
        <v>408</v>
      </c>
      <c r="AB621" s="1" t="s">
        <v>409</v>
      </c>
      <c r="AC621" s="1">
        <v>0</v>
      </c>
      <c r="AD621" s="1" t="s">
        <v>105</v>
      </c>
      <c r="AE621" s="1" t="s">
        <v>181</v>
      </c>
      <c r="AG621" s="1" t="s">
        <v>829</v>
      </c>
      <c r="AH621" s="1" t="s">
        <v>59</v>
      </c>
      <c r="AI621" s="1" t="s">
        <v>75</v>
      </c>
      <c r="AK621" s="1" t="s">
        <v>61</v>
      </c>
      <c r="AL621" s="1" t="s">
        <v>72</v>
      </c>
      <c r="AM621" s="1">
        <v>4</v>
      </c>
      <c r="AN621" s="1">
        <v>0</v>
      </c>
      <c r="AO621" s="1">
        <f t="shared" si="82"/>
        <v>4</v>
      </c>
    </row>
    <row r="622" spans="1:41" x14ac:dyDescent="0.4">
      <c r="A622" s="1">
        <v>1</v>
      </c>
      <c r="B622" s="1">
        <v>3</v>
      </c>
      <c r="C622" s="1" t="s">
        <v>41</v>
      </c>
      <c r="D622" s="2">
        <v>38939</v>
      </c>
      <c r="E622" s="1">
        <v>222</v>
      </c>
      <c r="F622" s="1">
        <v>6</v>
      </c>
      <c r="G622" s="3">
        <v>0.33592592592592596</v>
      </c>
      <c r="H622" s="3">
        <v>0.33938657407407408</v>
      </c>
      <c r="I622" s="3">
        <v>3.4606481481481155E-3</v>
      </c>
      <c r="J622" s="3">
        <v>3.3217592592592049E-3</v>
      </c>
      <c r="K622" s="5">
        <f t="shared" si="81"/>
        <v>287</v>
      </c>
      <c r="L622" s="3">
        <v>1.7245370370370661E-3</v>
      </c>
      <c r="N622" s="1" t="s">
        <v>42</v>
      </c>
      <c r="O622" s="1" t="s">
        <v>286</v>
      </c>
      <c r="P622" s="1" t="s">
        <v>227</v>
      </c>
      <c r="Q622" s="1" t="s">
        <v>76</v>
      </c>
      <c r="R622" s="1" t="s">
        <v>76</v>
      </c>
      <c r="S622" s="1" t="s">
        <v>46</v>
      </c>
      <c r="T622" s="1" t="s">
        <v>47</v>
      </c>
      <c r="U622" s="1" t="s">
        <v>66</v>
      </c>
      <c r="V622" s="1" t="s">
        <v>49</v>
      </c>
      <c r="W622" s="1" t="s">
        <v>50</v>
      </c>
      <c r="X622" s="1" t="s">
        <v>405</v>
      </c>
      <c r="Y622" s="1" t="s">
        <v>406</v>
      </c>
      <c r="Z622" s="1" t="s">
        <v>407</v>
      </c>
      <c r="AA622" s="1" t="s">
        <v>408</v>
      </c>
      <c r="AB622" s="1" t="s">
        <v>409</v>
      </c>
      <c r="AC622" s="1">
        <v>0</v>
      </c>
      <c r="AD622" s="1" t="s">
        <v>105</v>
      </c>
      <c r="AE622" s="1" t="s">
        <v>181</v>
      </c>
      <c r="AF622" s="1" t="s">
        <v>113</v>
      </c>
      <c r="AG622" s="1" t="s">
        <v>813</v>
      </c>
      <c r="AH622" s="1" t="s">
        <v>59</v>
      </c>
      <c r="AI622" s="1" t="s">
        <v>71</v>
      </c>
      <c r="AK622" s="1" t="s">
        <v>116</v>
      </c>
      <c r="AL622" s="1" t="s">
        <v>174</v>
      </c>
      <c r="AM622" s="1">
        <v>3</v>
      </c>
      <c r="AN622" s="1">
        <v>0</v>
      </c>
      <c r="AO622" s="1">
        <f t="shared" si="82"/>
        <v>3</v>
      </c>
    </row>
    <row r="623" spans="1:41" x14ac:dyDescent="0.4">
      <c r="A623" s="1">
        <v>1</v>
      </c>
      <c r="B623" s="1">
        <v>3</v>
      </c>
      <c r="C623" s="1" t="s">
        <v>41</v>
      </c>
      <c r="D623" s="2">
        <v>38939</v>
      </c>
      <c r="E623" s="1">
        <v>222</v>
      </c>
      <c r="F623" s="1">
        <v>7</v>
      </c>
      <c r="G623" s="3">
        <v>0.34111111111111114</v>
      </c>
      <c r="H623" s="3">
        <v>0.34962962962962968</v>
      </c>
      <c r="I623" s="3">
        <v>8.5185185185185364E-3</v>
      </c>
      <c r="J623" s="3">
        <v>8.5185185185185364E-3</v>
      </c>
      <c r="K623" s="5">
        <f t="shared" si="81"/>
        <v>736</v>
      </c>
      <c r="L623" s="3">
        <v>1.6145833333333304E-2</v>
      </c>
      <c r="N623" s="1" t="s">
        <v>42</v>
      </c>
      <c r="O623" s="1" t="s">
        <v>286</v>
      </c>
      <c r="P623" s="1" t="s">
        <v>227</v>
      </c>
      <c r="Q623" s="1" t="s">
        <v>76</v>
      </c>
      <c r="R623" s="1" t="s">
        <v>76</v>
      </c>
      <c r="S623" s="1" t="s">
        <v>46</v>
      </c>
      <c r="T623" s="1" t="s">
        <v>47</v>
      </c>
      <c r="U623" s="1" t="s">
        <v>66</v>
      </c>
      <c r="V623" s="1" t="s">
        <v>49</v>
      </c>
      <c r="W623" s="1" t="s">
        <v>50</v>
      </c>
      <c r="X623" s="1" t="s">
        <v>405</v>
      </c>
      <c r="Y623" s="1" t="s">
        <v>406</v>
      </c>
      <c r="Z623" s="1" t="s">
        <v>407</v>
      </c>
      <c r="AA623" s="1" t="s">
        <v>408</v>
      </c>
      <c r="AB623" s="1" t="s">
        <v>409</v>
      </c>
      <c r="AC623" s="1">
        <v>0</v>
      </c>
      <c r="AD623" s="1" t="s">
        <v>105</v>
      </c>
      <c r="AE623" s="1" t="s">
        <v>181</v>
      </c>
      <c r="AF623" s="1" t="s">
        <v>113</v>
      </c>
      <c r="AG623" s="1" t="s">
        <v>836</v>
      </c>
      <c r="AH623" s="1" t="s">
        <v>59</v>
      </c>
      <c r="AI623" s="1" t="s">
        <v>71</v>
      </c>
      <c r="AK623" s="1" t="s">
        <v>116</v>
      </c>
      <c r="AL623" s="1" t="s">
        <v>155</v>
      </c>
      <c r="AM623" s="1">
        <v>3</v>
      </c>
      <c r="AN623" s="1">
        <v>0</v>
      </c>
      <c r="AO623" s="1">
        <f t="shared" si="82"/>
        <v>3</v>
      </c>
    </row>
    <row r="624" spans="1:41" x14ac:dyDescent="0.4">
      <c r="A624" s="1">
        <v>1</v>
      </c>
      <c r="B624" s="1">
        <v>3</v>
      </c>
      <c r="C624" s="1" t="s">
        <v>41</v>
      </c>
      <c r="D624" s="2">
        <v>38939</v>
      </c>
      <c r="E624" s="1">
        <v>222</v>
      </c>
      <c r="F624" s="1">
        <v>7.2</v>
      </c>
      <c r="G624" s="3">
        <v>0.36577546296296298</v>
      </c>
      <c r="H624" s="3">
        <v>0.36620370370370375</v>
      </c>
      <c r="I624" s="3">
        <v>4.2824074074077068E-4</v>
      </c>
      <c r="J624" s="3">
        <v>4.6296296296322037E-5</v>
      </c>
      <c r="K624" s="5">
        <f t="shared" si="81"/>
        <v>4</v>
      </c>
      <c r="L624" s="3">
        <v>5.0902777777777741E-2</v>
      </c>
      <c r="N624" s="1" t="s">
        <v>42</v>
      </c>
      <c r="O624" s="1" t="s">
        <v>286</v>
      </c>
      <c r="P624" s="1" t="s">
        <v>227</v>
      </c>
      <c r="Q624" s="1" t="s">
        <v>76</v>
      </c>
      <c r="R624" s="1" t="s">
        <v>76</v>
      </c>
      <c r="S624" s="1" t="s">
        <v>46</v>
      </c>
      <c r="T624" s="1" t="s">
        <v>45</v>
      </c>
      <c r="U624" s="1" t="s">
        <v>156</v>
      </c>
      <c r="AB624" s="1" t="s">
        <v>93</v>
      </c>
      <c r="AC624" s="1">
        <v>1</v>
      </c>
      <c r="AG624" s="1" t="s">
        <v>866</v>
      </c>
      <c r="AI624" s="1" t="s">
        <v>75</v>
      </c>
      <c r="AK624" s="1" t="s">
        <v>86</v>
      </c>
      <c r="AL624" s="1" t="s">
        <v>133</v>
      </c>
      <c r="AM624" s="1">
        <v>1</v>
      </c>
      <c r="AN624" s="1">
        <v>0</v>
      </c>
      <c r="AO624" s="1">
        <f t="shared" si="82"/>
        <v>1</v>
      </c>
    </row>
    <row r="625" spans="1:41" x14ac:dyDescent="0.4">
      <c r="A625" s="1">
        <v>1</v>
      </c>
      <c r="B625" s="1">
        <v>3</v>
      </c>
      <c r="C625" s="1" t="s">
        <v>41</v>
      </c>
      <c r="D625" s="2">
        <v>38939</v>
      </c>
      <c r="E625" s="1">
        <v>222</v>
      </c>
      <c r="F625" s="1">
        <v>7.4</v>
      </c>
      <c r="G625" s="3">
        <v>0.41710648148148149</v>
      </c>
      <c r="H625" s="3">
        <v>0.42506944444444444</v>
      </c>
      <c r="I625" s="3">
        <v>7.9629629629629495E-3</v>
      </c>
      <c r="J625" s="3">
        <v>1.273148148147607E-4</v>
      </c>
      <c r="K625" s="5">
        <f t="shared" si="81"/>
        <v>11</v>
      </c>
      <c r="L625" s="3">
        <v>5.0000000000000044E-3</v>
      </c>
      <c r="N625" s="1" t="s">
        <v>42</v>
      </c>
      <c r="O625" s="1" t="s">
        <v>286</v>
      </c>
      <c r="P625" s="1" t="s">
        <v>227</v>
      </c>
      <c r="Q625" s="1" t="s">
        <v>76</v>
      </c>
      <c r="R625" s="1" t="s">
        <v>76</v>
      </c>
      <c r="S625" s="1" t="s">
        <v>46</v>
      </c>
      <c r="T625" s="1" t="s">
        <v>76</v>
      </c>
      <c r="U625" s="1" t="s">
        <v>66</v>
      </c>
      <c r="AB625" s="1" t="s">
        <v>93</v>
      </c>
      <c r="AC625" s="1">
        <v>1</v>
      </c>
      <c r="AG625" s="1" t="s">
        <v>867</v>
      </c>
      <c r="AI625" s="1" t="s">
        <v>71</v>
      </c>
      <c r="AK625" s="1" t="s">
        <v>86</v>
      </c>
      <c r="AL625" s="1" t="s">
        <v>133</v>
      </c>
      <c r="AM625" s="1">
        <v>5</v>
      </c>
      <c r="AN625" s="1">
        <v>0</v>
      </c>
      <c r="AO625" s="1">
        <f t="shared" si="82"/>
        <v>5</v>
      </c>
    </row>
    <row r="626" spans="1:41" x14ac:dyDescent="0.4">
      <c r="A626" s="1">
        <v>1</v>
      </c>
      <c r="B626" s="1">
        <v>3</v>
      </c>
      <c r="C626" s="1" t="s">
        <v>41</v>
      </c>
      <c r="D626" s="2">
        <v>38939</v>
      </c>
      <c r="E626" s="1">
        <v>222</v>
      </c>
      <c r="F626" s="1">
        <v>7.6</v>
      </c>
      <c r="G626" s="3">
        <v>0.43006944444444445</v>
      </c>
      <c r="H626" s="3">
        <v>0.43015046296296294</v>
      </c>
      <c r="I626" s="3">
        <v>8.1018518518494176E-5</v>
      </c>
      <c r="J626" s="3">
        <v>8.1018518518494176E-5</v>
      </c>
      <c r="K626" s="5">
        <f t="shared" si="81"/>
        <v>7</v>
      </c>
      <c r="L626" s="3">
        <v>9.1435185185185786E-3</v>
      </c>
      <c r="N626" s="1" t="s">
        <v>42</v>
      </c>
      <c r="O626" s="1" t="s">
        <v>286</v>
      </c>
      <c r="P626" s="1" t="s">
        <v>227</v>
      </c>
      <c r="Q626" s="1" t="s">
        <v>45</v>
      </c>
      <c r="R626" s="1" t="s">
        <v>76</v>
      </c>
      <c r="S626" s="1" t="s">
        <v>46</v>
      </c>
      <c r="T626" s="1" t="s">
        <v>45</v>
      </c>
      <c r="U626" s="1" t="s">
        <v>66</v>
      </c>
      <c r="AB626" s="1" t="s">
        <v>93</v>
      </c>
      <c r="AC626" s="1">
        <v>1</v>
      </c>
      <c r="AG626" s="1" t="s">
        <v>867</v>
      </c>
      <c r="AI626" s="1" t="s">
        <v>71</v>
      </c>
      <c r="AK626" s="1" t="s">
        <v>86</v>
      </c>
      <c r="AL626" s="1" t="s">
        <v>87</v>
      </c>
      <c r="AM626" s="1">
        <v>5</v>
      </c>
      <c r="AN626" s="1">
        <v>0</v>
      </c>
      <c r="AO626" s="1">
        <f t="shared" si="82"/>
        <v>5</v>
      </c>
    </row>
    <row r="627" spans="1:41" x14ac:dyDescent="0.4">
      <c r="A627" s="1">
        <v>1</v>
      </c>
      <c r="B627" s="1">
        <v>3</v>
      </c>
      <c r="C627" s="1" t="s">
        <v>41</v>
      </c>
      <c r="D627" s="2">
        <v>38939</v>
      </c>
      <c r="E627" s="1">
        <v>222</v>
      </c>
      <c r="F627" s="1">
        <v>8</v>
      </c>
      <c r="G627" s="3">
        <v>0.43929398148148152</v>
      </c>
      <c r="H627" s="3">
        <v>0.4458449074074074</v>
      </c>
      <c r="I627" s="3">
        <v>6.5509259259258767E-3</v>
      </c>
      <c r="J627" s="3">
        <v>6.5509259259258767E-3</v>
      </c>
      <c r="K627" s="5">
        <f t="shared" si="81"/>
        <v>566</v>
      </c>
      <c r="L627" s="3">
        <v>1.3032407407407409E-2</v>
      </c>
      <c r="N627" s="1" t="s">
        <v>42</v>
      </c>
      <c r="O627" s="1" t="s">
        <v>286</v>
      </c>
      <c r="P627" s="1" t="s">
        <v>227</v>
      </c>
      <c r="Q627" s="1" t="s">
        <v>132</v>
      </c>
      <c r="R627" s="1" t="s">
        <v>76</v>
      </c>
      <c r="S627" s="1" t="s">
        <v>46</v>
      </c>
      <c r="T627" s="1" t="s">
        <v>45</v>
      </c>
      <c r="U627" s="1" t="s">
        <v>156</v>
      </c>
      <c r="V627" s="1" t="s">
        <v>49</v>
      </c>
      <c r="W627" s="1" t="s">
        <v>77</v>
      </c>
      <c r="X627" s="1" t="s">
        <v>522</v>
      </c>
      <c r="Y627" s="1" t="s">
        <v>857</v>
      </c>
      <c r="Z627" s="1" t="s">
        <v>858</v>
      </c>
      <c r="AA627" s="1" t="s">
        <v>859</v>
      </c>
      <c r="AB627" s="1" t="s">
        <v>860</v>
      </c>
      <c r="AC627" s="1">
        <v>0</v>
      </c>
      <c r="AD627" s="1" t="s">
        <v>105</v>
      </c>
      <c r="AE627" s="1" t="s">
        <v>57</v>
      </c>
      <c r="AG627" s="1" t="s">
        <v>868</v>
      </c>
      <c r="AH627" s="1" t="s">
        <v>59</v>
      </c>
      <c r="AI627" s="1" t="s">
        <v>75</v>
      </c>
      <c r="AK627" s="1" t="s">
        <v>61</v>
      </c>
      <c r="AL627" s="1" t="s">
        <v>61</v>
      </c>
      <c r="AM627" s="1">
        <v>3</v>
      </c>
      <c r="AN627" s="1">
        <v>0</v>
      </c>
      <c r="AO627" s="1">
        <f t="shared" si="82"/>
        <v>3</v>
      </c>
    </row>
    <row r="628" spans="1:41" x14ac:dyDescent="0.4">
      <c r="A628" s="1">
        <v>1</v>
      </c>
      <c r="B628" s="1">
        <v>3</v>
      </c>
      <c r="C628" s="1" t="s">
        <v>41</v>
      </c>
      <c r="D628" s="2">
        <v>38939</v>
      </c>
      <c r="E628" s="1">
        <v>222</v>
      </c>
      <c r="F628" s="1">
        <v>8.5</v>
      </c>
      <c r="G628" s="3">
        <v>0.45887731481481481</v>
      </c>
      <c r="H628" s="3">
        <v>0.46230324074074075</v>
      </c>
      <c r="I628" s="3">
        <v>3.4259259259259434E-3</v>
      </c>
      <c r="J628" s="3">
        <v>2.1990740740740478E-4</v>
      </c>
      <c r="K628" s="5">
        <f t="shared" si="81"/>
        <v>19</v>
      </c>
      <c r="L628" s="3">
        <v>6.4351851851852104E-3</v>
      </c>
      <c r="N628" s="1" t="s">
        <v>42</v>
      </c>
      <c r="O628" s="1" t="s">
        <v>286</v>
      </c>
      <c r="P628" s="1" t="s">
        <v>227</v>
      </c>
      <c r="Q628" s="1" t="s">
        <v>132</v>
      </c>
      <c r="R628" s="1" t="s">
        <v>76</v>
      </c>
      <c r="S628" s="1" t="s">
        <v>46</v>
      </c>
      <c r="T628" s="1" t="s">
        <v>76</v>
      </c>
      <c r="U628" s="1" t="s">
        <v>156</v>
      </c>
      <c r="V628" s="1" t="s">
        <v>67</v>
      </c>
      <c r="W628" s="1" t="s">
        <v>68</v>
      </c>
      <c r="X628" s="1" t="s">
        <v>492</v>
      </c>
      <c r="Y628" s="1" t="s">
        <v>68</v>
      </c>
      <c r="AB628" s="1" t="s">
        <v>69</v>
      </c>
      <c r="AC628" s="1">
        <v>0</v>
      </c>
      <c r="AD628" s="1" t="s">
        <v>68</v>
      </c>
      <c r="AE628" s="1" t="s">
        <v>70</v>
      </c>
      <c r="AG628" s="1" t="s">
        <v>867</v>
      </c>
      <c r="AI628" s="1" t="s">
        <v>75</v>
      </c>
      <c r="AK628" s="1" t="s">
        <v>86</v>
      </c>
      <c r="AL628" s="1" t="s">
        <v>87</v>
      </c>
      <c r="AM628" s="1">
        <v>5</v>
      </c>
      <c r="AN628" s="1">
        <v>0</v>
      </c>
      <c r="AO628" s="1">
        <f t="shared" si="82"/>
        <v>5</v>
      </c>
    </row>
    <row r="629" spans="1:41" x14ac:dyDescent="0.4">
      <c r="A629" s="1">
        <v>1</v>
      </c>
      <c r="B629" s="1">
        <v>3</v>
      </c>
      <c r="C629" s="1" t="s">
        <v>41</v>
      </c>
      <c r="D629" s="2">
        <v>38939</v>
      </c>
      <c r="E629" s="1">
        <v>222</v>
      </c>
      <c r="F629" s="1">
        <v>8.6999999999999993</v>
      </c>
      <c r="G629" s="3">
        <v>0.46873842592592596</v>
      </c>
      <c r="H629" s="3">
        <v>0.46878472222222217</v>
      </c>
      <c r="I629" s="3">
        <v>4.6296296296211015E-5</v>
      </c>
      <c r="J629" s="3">
        <v>4.6296296296211015E-5</v>
      </c>
      <c r="K629" s="5">
        <f t="shared" si="81"/>
        <v>4</v>
      </c>
      <c r="L629" s="3">
        <v>8.4259259259260033E-3</v>
      </c>
      <c r="N629" s="1" t="s">
        <v>42</v>
      </c>
      <c r="O629" s="1" t="s">
        <v>286</v>
      </c>
      <c r="P629" s="1" t="s">
        <v>227</v>
      </c>
      <c r="Q629" s="1" t="s">
        <v>132</v>
      </c>
      <c r="R629" s="1" t="s">
        <v>76</v>
      </c>
      <c r="S629" s="1" t="s">
        <v>46</v>
      </c>
      <c r="T629" s="1" t="s">
        <v>45</v>
      </c>
      <c r="U629" s="1" t="s">
        <v>156</v>
      </c>
      <c r="AB629" s="1" t="s">
        <v>93</v>
      </c>
      <c r="AC629" s="1">
        <v>1</v>
      </c>
      <c r="AG629" s="1" t="s">
        <v>869</v>
      </c>
      <c r="AI629" s="1" t="s">
        <v>75</v>
      </c>
      <c r="AK629" s="1" t="s">
        <v>86</v>
      </c>
      <c r="AL629" s="1" t="s">
        <v>87</v>
      </c>
      <c r="AM629" s="1">
        <v>2</v>
      </c>
      <c r="AN629" s="1">
        <v>0</v>
      </c>
      <c r="AO629" s="1">
        <f t="shared" si="82"/>
        <v>2</v>
      </c>
    </row>
    <row r="630" spans="1:41" x14ac:dyDescent="0.4">
      <c r="A630" s="1">
        <v>1</v>
      </c>
      <c r="B630" s="1">
        <v>3</v>
      </c>
      <c r="C630" s="1" t="s">
        <v>41</v>
      </c>
      <c r="D630" s="2">
        <v>38939</v>
      </c>
      <c r="E630" s="1">
        <v>222</v>
      </c>
      <c r="F630" s="1">
        <v>9</v>
      </c>
      <c r="G630" s="3">
        <v>0.47721064814814818</v>
      </c>
      <c r="H630" s="3">
        <v>0.47814814814814816</v>
      </c>
      <c r="I630" s="3">
        <v>9.3749999999998002E-4</v>
      </c>
      <c r="J630" s="3">
        <v>9.3749999999998002E-4</v>
      </c>
      <c r="K630" s="5">
        <f t="shared" si="81"/>
        <v>81</v>
      </c>
      <c r="L630" s="3">
        <v>2.3784722222222221E-2</v>
      </c>
      <c r="N630" s="1" t="s">
        <v>42</v>
      </c>
      <c r="O630" s="1" t="s">
        <v>286</v>
      </c>
      <c r="P630" s="1" t="s">
        <v>227</v>
      </c>
      <c r="Q630" s="1" t="s">
        <v>132</v>
      </c>
      <c r="R630" s="1" t="s">
        <v>76</v>
      </c>
      <c r="S630" s="1" t="s">
        <v>46</v>
      </c>
      <c r="T630" s="1" t="s">
        <v>76</v>
      </c>
      <c r="U630" s="1" t="s">
        <v>92</v>
      </c>
      <c r="V630" s="1" t="s">
        <v>102</v>
      </c>
      <c r="W630" s="1" t="s">
        <v>103</v>
      </c>
      <c r="X630" s="1" t="s">
        <v>275</v>
      </c>
      <c r="Y630" s="1" t="s">
        <v>52</v>
      </c>
      <c r="Z630" s="1" t="s">
        <v>325</v>
      </c>
      <c r="AA630" s="1" t="s">
        <v>326</v>
      </c>
      <c r="AB630" s="1" t="s">
        <v>327</v>
      </c>
      <c r="AC630" s="1">
        <v>0</v>
      </c>
      <c r="AD630" s="1" t="s">
        <v>56</v>
      </c>
      <c r="AE630" s="1" t="s">
        <v>57</v>
      </c>
      <c r="AG630" s="1" t="s">
        <v>870</v>
      </c>
      <c r="AH630" s="1" t="s">
        <v>157</v>
      </c>
      <c r="AI630" s="1" t="s">
        <v>75</v>
      </c>
      <c r="AK630" s="1" t="s">
        <v>86</v>
      </c>
      <c r="AL630" s="1" t="s">
        <v>133</v>
      </c>
      <c r="AM630" s="1">
        <v>1</v>
      </c>
      <c r="AN630" s="1">
        <v>0</v>
      </c>
      <c r="AO630" s="1">
        <f t="shared" si="82"/>
        <v>1</v>
      </c>
    </row>
    <row r="631" spans="1:41" x14ac:dyDescent="0.4">
      <c r="A631" s="1">
        <v>1</v>
      </c>
      <c r="B631" s="1">
        <v>3</v>
      </c>
      <c r="C631" s="1" t="s">
        <v>41</v>
      </c>
      <c r="D631" s="2">
        <v>38939</v>
      </c>
      <c r="E631" s="1">
        <v>222</v>
      </c>
      <c r="F631" s="1">
        <v>10</v>
      </c>
      <c r="G631" s="3">
        <v>0.50193287037037038</v>
      </c>
      <c r="H631" s="3">
        <v>0.50459490740740742</v>
      </c>
      <c r="I631" s="3">
        <v>2.6620370370370461E-3</v>
      </c>
      <c r="J631" s="3">
        <v>2.1875000000000089E-3</v>
      </c>
      <c r="K631" s="5">
        <f t="shared" si="81"/>
        <v>189</v>
      </c>
      <c r="L631" s="3">
        <v>5.63657407407403E-3</v>
      </c>
      <c r="N631" s="1" t="s">
        <v>42</v>
      </c>
      <c r="O631" s="1" t="s">
        <v>286</v>
      </c>
      <c r="P631" s="1" t="s">
        <v>227</v>
      </c>
      <c r="Q631" s="1" t="s">
        <v>132</v>
      </c>
      <c r="R631" s="1" t="s">
        <v>76</v>
      </c>
      <c r="S631" s="1" t="s">
        <v>46</v>
      </c>
      <c r="T631" s="1" t="s">
        <v>45</v>
      </c>
      <c r="U631" s="1" t="s">
        <v>92</v>
      </c>
      <c r="V631" s="1" t="s">
        <v>297</v>
      </c>
      <c r="W631" s="1" t="s">
        <v>167</v>
      </c>
      <c r="X631" s="1" t="s">
        <v>803</v>
      </c>
      <c r="Y631" s="1" t="s">
        <v>79</v>
      </c>
      <c r="Z631" s="1" t="s">
        <v>804</v>
      </c>
      <c r="AA631" s="1" t="s">
        <v>805</v>
      </c>
      <c r="AB631" s="1" t="s">
        <v>806</v>
      </c>
      <c r="AC631" s="1">
        <v>0</v>
      </c>
      <c r="AD631" s="1" t="s">
        <v>56</v>
      </c>
      <c r="AE631" s="1" t="s">
        <v>83</v>
      </c>
      <c r="AG631" s="1" t="s">
        <v>871</v>
      </c>
      <c r="AH631" s="1" t="s">
        <v>157</v>
      </c>
      <c r="AI631" s="1" t="s">
        <v>75</v>
      </c>
      <c r="AK631" s="1" t="s">
        <v>86</v>
      </c>
      <c r="AL631" s="1" t="s">
        <v>133</v>
      </c>
      <c r="AM631" s="1">
        <v>1</v>
      </c>
      <c r="AN631" s="1">
        <v>0</v>
      </c>
      <c r="AO631" s="1">
        <f t="shared" si="82"/>
        <v>1</v>
      </c>
    </row>
    <row r="632" spans="1:41" x14ac:dyDescent="0.4">
      <c r="A632" s="1">
        <v>1</v>
      </c>
      <c r="B632" s="1">
        <v>3</v>
      </c>
      <c r="C632" s="1" t="s">
        <v>41</v>
      </c>
      <c r="D632" s="2">
        <v>38939</v>
      </c>
      <c r="E632" s="1">
        <v>222</v>
      </c>
      <c r="F632" s="1">
        <v>10.5</v>
      </c>
      <c r="G632" s="3">
        <v>0.51023148148148145</v>
      </c>
      <c r="H632" s="3">
        <v>0.51026620370370368</v>
      </c>
      <c r="I632" s="3">
        <v>3.472222222222765E-5</v>
      </c>
      <c r="J632" s="3">
        <v>3.472222222222765E-5</v>
      </c>
      <c r="K632" s="5">
        <f t="shared" si="81"/>
        <v>3</v>
      </c>
      <c r="L632" s="3">
        <v>5.6689814814814832E-2</v>
      </c>
      <c r="N632" s="1" t="s">
        <v>42</v>
      </c>
      <c r="O632" s="1" t="s">
        <v>286</v>
      </c>
      <c r="P632" s="1" t="s">
        <v>227</v>
      </c>
      <c r="Q632" s="1" t="s">
        <v>76</v>
      </c>
      <c r="R632" s="1" t="s">
        <v>76</v>
      </c>
      <c r="S632" s="1" t="s">
        <v>46</v>
      </c>
      <c r="T632" s="1" t="s">
        <v>45</v>
      </c>
      <c r="U632" s="1" t="s">
        <v>92</v>
      </c>
      <c r="AB632" s="1" t="s">
        <v>93</v>
      </c>
      <c r="AC632" s="1">
        <v>1</v>
      </c>
      <c r="AG632" s="1" t="s">
        <v>872</v>
      </c>
      <c r="AI632" s="1" t="s">
        <v>75</v>
      </c>
      <c r="AK632" s="1" t="s">
        <v>86</v>
      </c>
      <c r="AL632" s="1" t="s">
        <v>87</v>
      </c>
      <c r="AM632" s="1">
        <v>1</v>
      </c>
      <c r="AN632" s="1">
        <v>0</v>
      </c>
      <c r="AO632" s="1">
        <f t="shared" si="82"/>
        <v>1</v>
      </c>
    </row>
    <row r="633" spans="1:41" x14ac:dyDescent="0.4">
      <c r="A633" s="1">
        <v>1</v>
      </c>
      <c r="B633" s="1">
        <v>3</v>
      </c>
      <c r="C633" s="1" t="s">
        <v>41</v>
      </c>
      <c r="D633" s="2">
        <v>38939</v>
      </c>
      <c r="E633" s="1">
        <v>222</v>
      </c>
      <c r="F633" s="1">
        <v>11</v>
      </c>
      <c r="G633" s="3">
        <v>0.56695601851851851</v>
      </c>
      <c r="H633" s="3">
        <v>0.56756944444444446</v>
      </c>
      <c r="I633" s="3">
        <v>6.134259259259478E-4</v>
      </c>
      <c r="J633" s="3">
        <v>6.134259259259478E-4</v>
      </c>
      <c r="K633" s="5">
        <f t="shared" si="81"/>
        <v>53</v>
      </c>
      <c r="L633" s="3">
        <v>5.5555555555553138E-4</v>
      </c>
      <c r="N633" s="1" t="s">
        <v>42</v>
      </c>
      <c r="O633" s="1" t="s">
        <v>286</v>
      </c>
      <c r="P633" s="1" t="s">
        <v>227</v>
      </c>
      <c r="Q633" s="1" t="s">
        <v>76</v>
      </c>
      <c r="R633" s="1" t="s">
        <v>76</v>
      </c>
      <c r="S633" s="1" t="s">
        <v>46</v>
      </c>
      <c r="T633" s="1" t="s">
        <v>45</v>
      </c>
      <c r="U633" s="1" t="s">
        <v>66</v>
      </c>
      <c r="V633" s="1" t="s">
        <v>102</v>
      </c>
      <c r="W633" s="1" t="s">
        <v>103</v>
      </c>
      <c r="X633" s="1" t="s">
        <v>96</v>
      </c>
      <c r="AB633" s="1" t="s">
        <v>104</v>
      </c>
      <c r="AC633" s="1">
        <v>0</v>
      </c>
      <c r="AD633" s="1" t="s">
        <v>105</v>
      </c>
      <c r="AE633" s="1" t="s">
        <v>70</v>
      </c>
      <c r="AG633" s="1" t="s">
        <v>764</v>
      </c>
      <c r="AH633" s="1" t="s">
        <v>157</v>
      </c>
      <c r="AI633" s="1" t="s">
        <v>71</v>
      </c>
      <c r="AK633" s="1" t="s">
        <v>86</v>
      </c>
      <c r="AL633" s="1" t="s">
        <v>133</v>
      </c>
      <c r="AM633" s="1">
        <v>6</v>
      </c>
      <c r="AN633" s="1">
        <v>0</v>
      </c>
      <c r="AO633" s="1">
        <f t="shared" si="82"/>
        <v>6</v>
      </c>
    </row>
    <row r="634" spans="1:41" x14ac:dyDescent="0.4">
      <c r="A634" s="1">
        <v>1</v>
      </c>
      <c r="B634" s="1">
        <v>3</v>
      </c>
      <c r="C634" s="1" t="s">
        <v>41</v>
      </c>
      <c r="D634" s="2">
        <v>38939</v>
      </c>
      <c r="E634" s="1">
        <v>222</v>
      </c>
      <c r="F634" s="1">
        <v>12</v>
      </c>
      <c r="G634" s="3">
        <v>0.56812499999999999</v>
      </c>
      <c r="H634" s="3">
        <v>0.57699074074074075</v>
      </c>
      <c r="I634" s="3">
        <v>8.8657407407407574E-3</v>
      </c>
      <c r="J634" s="3">
        <v>8.8657407407407574E-3</v>
      </c>
      <c r="K634" s="5">
        <f t="shared" si="81"/>
        <v>766</v>
      </c>
      <c r="L634" s="3">
        <v>6.1458333333332948E-3</v>
      </c>
      <c r="N634" s="1" t="s">
        <v>42</v>
      </c>
      <c r="O634" s="1" t="s">
        <v>286</v>
      </c>
      <c r="P634" s="1" t="s">
        <v>227</v>
      </c>
      <c r="Q634" s="1" t="s">
        <v>76</v>
      </c>
      <c r="R634" s="1" t="s">
        <v>76</v>
      </c>
      <c r="S634" s="1" t="s">
        <v>46</v>
      </c>
      <c r="T634" s="1" t="s">
        <v>45</v>
      </c>
      <c r="U634" s="1" t="s">
        <v>66</v>
      </c>
      <c r="V634" s="1" t="s">
        <v>49</v>
      </c>
      <c r="W634" s="1" t="s">
        <v>77</v>
      </c>
      <c r="X634" s="1" t="s">
        <v>830</v>
      </c>
      <c r="Y634" s="1" t="s">
        <v>109</v>
      </c>
      <c r="Z634" s="1" t="s">
        <v>831</v>
      </c>
      <c r="AA634" s="1" t="s">
        <v>832</v>
      </c>
      <c r="AB634" s="1" t="s">
        <v>833</v>
      </c>
      <c r="AC634" s="1">
        <v>0</v>
      </c>
      <c r="AD634" s="1" t="s">
        <v>56</v>
      </c>
      <c r="AE634" s="1" t="s">
        <v>83</v>
      </c>
      <c r="AF634" s="1" t="s">
        <v>113</v>
      </c>
      <c r="AG634" s="1" t="s">
        <v>764</v>
      </c>
      <c r="AH634" s="1" t="s">
        <v>115</v>
      </c>
      <c r="AI634" s="1" t="s">
        <v>71</v>
      </c>
      <c r="AK634" s="1" t="s">
        <v>116</v>
      </c>
      <c r="AL634" s="1" t="s">
        <v>117</v>
      </c>
      <c r="AM634" s="1">
        <v>6</v>
      </c>
      <c r="AN634" s="1">
        <v>0</v>
      </c>
      <c r="AO634" s="1">
        <f t="shared" si="82"/>
        <v>6</v>
      </c>
    </row>
    <row r="635" spans="1:41" x14ac:dyDescent="0.4">
      <c r="A635" s="1">
        <v>1</v>
      </c>
      <c r="B635" s="1">
        <v>3</v>
      </c>
      <c r="C635" s="1" t="s">
        <v>41</v>
      </c>
      <c r="D635" s="2">
        <v>38939</v>
      </c>
      <c r="E635" s="1">
        <v>222</v>
      </c>
      <c r="F635" s="1">
        <v>13</v>
      </c>
      <c r="G635" s="3">
        <v>0.58313657407407404</v>
      </c>
      <c r="H635" s="3">
        <v>0.59129629629629632</v>
      </c>
      <c r="I635" s="3">
        <v>8.1597222222222765E-3</v>
      </c>
      <c r="J635" s="3">
        <v>8.1597222222222765E-3</v>
      </c>
      <c r="K635" s="5">
        <f t="shared" si="81"/>
        <v>705</v>
      </c>
      <c r="L635" s="3">
        <v>2.3275462962963012E-2</v>
      </c>
      <c r="N635" s="1" t="s">
        <v>42</v>
      </c>
      <c r="O635" s="1" t="s">
        <v>286</v>
      </c>
      <c r="P635" s="1" t="s">
        <v>227</v>
      </c>
      <c r="Q635" s="1" t="s">
        <v>45</v>
      </c>
      <c r="R635" s="1" t="s">
        <v>45</v>
      </c>
      <c r="S635" s="1" t="s">
        <v>46</v>
      </c>
      <c r="T635" s="1" t="s">
        <v>47</v>
      </c>
      <c r="U635" s="1" t="s">
        <v>156</v>
      </c>
      <c r="V635" s="1" t="s">
        <v>49</v>
      </c>
      <c r="W635" s="1" t="s">
        <v>50</v>
      </c>
      <c r="X635" s="1" t="s">
        <v>405</v>
      </c>
      <c r="Y635" s="1" t="s">
        <v>406</v>
      </c>
      <c r="Z635" s="1" t="s">
        <v>407</v>
      </c>
      <c r="AA635" s="1" t="s">
        <v>408</v>
      </c>
      <c r="AB635" s="1" t="s">
        <v>409</v>
      </c>
      <c r="AC635" s="1">
        <v>0</v>
      </c>
      <c r="AD635" s="1" t="s">
        <v>105</v>
      </c>
      <c r="AE635" s="1" t="s">
        <v>181</v>
      </c>
      <c r="AF635" s="1" t="s">
        <v>113</v>
      </c>
      <c r="AG635" s="1" t="s">
        <v>829</v>
      </c>
      <c r="AH635" s="1" t="s">
        <v>59</v>
      </c>
      <c r="AI635" s="1" t="s">
        <v>75</v>
      </c>
      <c r="AK635" s="1" t="s">
        <v>116</v>
      </c>
      <c r="AL635" s="1" t="s">
        <v>174</v>
      </c>
      <c r="AM635" s="1">
        <v>4</v>
      </c>
      <c r="AN635" s="1">
        <v>0</v>
      </c>
      <c r="AO635" s="1">
        <f t="shared" si="82"/>
        <v>4</v>
      </c>
    </row>
    <row r="636" spans="1:41" x14ac:dyDescent="0.4">
      <c r="A636" s="1">
        <v>1</v>
      </c>
      <c r="B636" s="1">
        <v>3</v>
      </c>
      <c r="C636" s="1" t="s">
        <v>41</v>
      </c>
      <c r="D636" s="2">
        <v>38939</v>
      </c>
      <c r="E636" s="1">
        <v>222</v>
      </c>
      <c r="F636" s="1">
        <v>13.2</v>
      </c>
      <c r="G636" s="3">
        <v>0.61457175925925933</v>
      </c>
      <c r="H636" s="3">
        <v>0.61458333333333337</v>
      </c>
      <c r="I636" s="3">
        <v>1.1574074074038876E-5</v>
      </c>
      <c r="J636" s="3">
        <v>1.1574074074038876E-5</v>
      </c>
      <c r="K636" s="5">
        <f t="shared" si="81"/>
        <v>1</v>
      </c>
      <c r="L636" s="3">
        <v>3.159722222222161E-3</v>
      </c>
      <c r="N636" s="1" t="s">
        <v>75</v>
      </c>
      <c r="O636" s="1" t="s">
        <v>286</v>
      </c>
      <c r="P636" s="1" t="s">
        <v>227</v>
      </c>
      <c r="Q636" s="1" t="s">
        <v>45</v>
      </c>
      <c r="R636" s="1" t="s">
        <v>76</v>
      </c>
      <c r="S636" s="1" t="s">
        <v>46</v>
      </c>
      <c r="T636" s="1" t="s">
        <v>76</v>
      </c>
      <c r="U636" s="1" t="s">
        <v>66</v>
      </c>
      <c r="AB636" s="1" t="s">
        <v>93</v>
      </c>
      <c r="AC636" s="1">
        <v>1</v>
      </c>
      <c r="AI636" s="1" t="s">
        <v>75</v>
      </c>
      <c r="AK636" s="1" t="s">
        <v>86</v>
      </c>
      <c r="AL636" s="1" t="s">
        <v>133</v>
      </c>
      <c r="AN636" s="1">
        <v>1</v>
      </c>
      <c r="AO636" s="1">
        <f t="shared" si="82"/>
        <v>1</v>
      </c>
    </row>
    <row r="637" spans="1:41" x14ac:dyDescent="0.4">
      <c r="A637" s="1">
        <v>1</v>
      </c>
      <c r="B637" s="1">
        <v>3</v>
      </c>
      <c r="C637" s="1" t="s">
        <v>41</v>
      </c>
      <c r="D637" s="2">
        <v>38939</v>
      </c>
      <c r="E637" s="1">
        <v>222</v>
      </c>
      <c r="F637" s="1">
        <v>13.4</v>
      </c>
      <c r="G637" s="3">
        <v>0.61774305555555553</v>
      </c>
      <c r="H637" s="3">
        <v>0.61775462962962957</v>
      </c>
      <c r="I637" s="3">
        <v>1.1574074074038876E-5</v>
      </c>
      <c r="J637" s="3">
        <v>1.1574074074038876E-5</v>
      </c>
      <c r="K637" s="5">
        <f t="shared" si="81"/>
        <v>1</v>
      </c>
      <c r="L637" s="3">
        <v>9.3865740740741721E-3</v>
      </c>
      <c r="N637" s="1" t="s">
        <v>42</v>
      </c>
      <c r="O637" s="1" t="s">
        <v>286</v>
      </c>
      <c r="P637" s="1" t="s">
        <v>227</v>
      </c>
      <c r="Q637" s="1" t="s">
        <v>132</v>
      </c>
      <c r="R637" s="1" t="s">
        <v>76</v>
      </c>
      <c r="S637" s="1" t="s">
        <v>46</v>
      </c>
      <c r="T637" s="1" t="s">
        <v>45</v>
      </c>
      <c r="U637" s="1" t="s">
        <v>92</v>
      </c>
      <c r="AB637" s="1" t="s">
        <v>93</v>
      </c>
      <c r="AC637" s="1">
        <v>1</v>
      </c>
      <c r="AI637" s="1" t="s">
        <v>75</v>
      </c>
      <c r="AK637" s="1" t="s">
        <v>86</v>
      </c>
      <c r="AL637" s="1" t="s">
        <v>133</v>
      </c>
      <c r="AN637" s="1">
        <v>1</v>
      </c>
      <c r="AO637" s="1">
        <f t="shared" si="82"/>
        <v>1</v>
      </c>
    </row>
    <row r="638" spans="1:41" x14ac:dyDescent="0.4">
      <c r="A638" s="1">
        <v>1</v>
      </c>
      <c r="B638" s="1">
        <v>3</v>
      </c>
      <c r="C638" s="1" t="s">
        <v>41</v>
      </c>
      <c r="D638" s="2">
        <v>38939</v>
      </c>
      <c r="E638" s="1">
        <v>222</v>
      </c>
      <c r="F638" s="1">
        <v>14</v>
      </c>
      <c r="G638" s="3">
        <v>0.62714120370370374</v>
      </c>
      <c r="H638" s="3">
        <v>0.63063657407407403</v>
      </c>
      <c r="I638" s="3">
        <v>3.4953703703702876E-3</v>
      </c>
      <c r="J638" s="3">
        <v>1.2268518518515625E-3</v>
      </c>
      <c r="K638" s="5">
        <f t="shared" si="81"/>
        <v>106</v>
      </c>
      <c r="L638" s="3">
        <v>6.2499999999999778E-3</v>
      </c>
      <c r="N638" s="1" t="s">
        <v>75</v>
      </c>
      <c r="O638" s="1" t="s">
        <v>286</v>
      </c>
      <c r="P638" s="1" t="s">
        <v>227</v>
      </c>
      <c r="Q638" s="1" t="s">
        <v>132</v>
      </c>
      <c r="R638" s="1" t="s">
        <v>76</v>
      </c>
      <c r="S638" s="1" t="s">
        <v>46</v>
      </c>
      <c r="T638" s="1" t="s">
        <v>76</v>
      </c>
      <c r="U638" s="1" t="s">
        <v>92</v>
      </c>
      <c r="V638" s="1" t="s">
        <v>102</v>
      </c>
      <c r="W638" s="1" t="s">
        <v>103</v>
      </c>
      <c r="X638" s="1" t="s">
        <v>275</v>
      </c>
      <c r="Y638" s="1" t="s">
        <v>52</v>
      </c>
      <c r="Z638" s="1" t="s">
        <v>325</v>
      </c>
      <c r="AA638" s="1" t="s">
        <v>326</v>
      </c>
      <c r="AB638" s="1" t="s">
        <v>327</v>
      </c>
      <c r="AC638" s="1">
        <v>0</v>
      </c>
      <c r="AD638" s="1" t="s">
        <v>56</v>
      </c>
      <c r="AE638" s="1" t="s">
        <v>57</v>
      </c>
      <c r="AH638" s="1" t="s">
        <v>157</v>
      </c>
      <c r="AI638" s="1" t="s">
        <v>75</v>
      </c>
      <c r="AK638" s="1" t="s">
        <v>61</v>
      </c>
      <c r="AL638" s="1" t="s">
        <v>61</v>
      </c>
      <c r="AN638" s="1">
        <v>1</v>
      </c>
      <c r="AO638" s="1">
        <f t="shared" si="82"/>
        <v>1</v>
      </c>
    </row>
    <row r="639" spans="1:41" x14ac:dyDescent="0.4">
      <c r="A639" s="1">
        <v>1</v>
      </c>
      <c r="B639" s="1">
        <v>3</v>
      </c>
      <c r="C639" s="1" t="s">
        <v>41</v>
      </c>
      <c r="D639" s="2">
        <v>38939</v>
      </c>
      <c r="E639" s="1">
        <v>222</v>
      </c>
      <c r="F639" s="1">
        <v>15.5</v>
      </c>
      <c r="G639" s="3">
        <v>0.63688657407407401</v>
      </c>
      <c r="H639" s="3">
        <v>0.63714120370370375</v>
      </c>
      <c r="I639" s="3">
        <v>2.5462962962974345E-4</v>
      </c>
      <c r="J639" s="3">
        <v>2.5462962962974345E-4</v>
      </c>
      <c r="K639" s="5">
        <f t="shared" si="81"/>
        <v>22</v>
      </c>
      <c r="L639" s="3">
        <v>1.6759259259259141E-2</v>
      </c>
      <c r="N639" s="1" t="s">
        <v>42</v>
      </c>
      <c r="O639" s="1" t="s">
        <v>286</v>
      </c>
      <c r="P639" s="1" t="s">
        <v>227</v>
      </c>
      <c r="Q639" s="1" t="s">
        <v>76</v>
      </c>
      <c r="R639" s="1" t="s">
        <v>76</v>
      </c>
      <c r="S639" s="1" t="s">
        <v>46</v>
      </c>
      <c r="T639" s="1" t="s">
        <v>76</v>
      </c>
      <c r="U639" s="1" t="s">
        <v>66</v>
      </c>
      <c r="AB639" s="1" t="s">
        <v>93</v>
      </c>
      <c r="AC639" s="1">
        <v>1</v>
      </c>
      <c r="AF639" s="1" t="s">
        <v>213</v>
      </c>
      <c r="AG639" s="1" t="s">
        <v>873</v>
      </c>
      <c r="AI639" s="1" t="s">
        <v>71</v>
      </c>
      <c r="AK639" s="1" t="s">
        <v>61</v>
      </c>
      <c r="AL639" s="1" t="s">
        <v>61</v>
      </c>
      <c r="AM639" s="1">
        <v>1</v>
      </c>
      <c r="AN639" s="1">
        <v>0</v>
      </c>
      <c r="AO639" s="1">
        <f t="shared" si="82"/>
        <v>1</v>
      </c>
    </row>
    <row r="640" spans="1:41" x14ac:dyDescent="0.4">
      <c r="A640" s="1">
        <v>1</v>
      </c>
      <c r="B640" s="1">
        <v>3</v>
      </c>
      <c r="C640" s="1" t="s">
        <v>41</v>
      </c>
      <c r="D640" s="2">
        <v>38939</v>
      </c>
      <c r="E640" s="1">
        <v>222</v>
      </c>
      <c r="F640" s="1">
        <v>16</v>
      </c>
      <c r="G640" s="3">
        <v>0.65390046296296289</v>
      </c>
      <c r="H640" s="3">
        <v>0.66711805555555559</v>
      </c>
      <c r="I640" s="3">
        <v>1.3217592592592697E-2</v>
      </c>
      <c r="J640" s="3">
        <v>1.3217592592592697E-2</v>
      </c>
      <c r="K640" s="5">
        <f t="shared" si="81"/>
        <v>1142</v>
      </c>
      <c r="L640" s="3">
        <v>4.3402777777776791E-3</v>
      </c>
      <c r="N640" s="1" t="s">
        <v>75</v>
      </c>
      <c r="O640" s="1" t="s">
        <v>286</v>
      </c>
      <c r="P640" s="1" t="s">
        <v>227</v>
      </c>
      <c r="Q640" s="1" t="s">
        <v>76</v>
      </c>
      <c r="R640" s="1" t="s">
        <v>76</v>
      </c>
      <c r="S640" s="1" t="s">
        <v>46</v>
      </c>
      <c r="T640" s="1" t="s">
        <v>45</v>
      </c>
      <c r="U640" s="1" t="s">
        <v>66</v>
      </c>
      <c r="V640" s="1" t="s">
        <v>49</v>
      </c>
      <c r="W640" s="1" t="s">
        <v>233</v>
      </c>
      <c r="X640" s="1" t="s">
        <v>783</v>
      </c>
      <c r="Y640" s="1" t="s">
        <v>725</v>
      </c>
      <c r="Z640" s="1" t="s">
        <v>726</v>
      </c>
      <c r="AA640" s="1" t="s">
        <v>784</v>
      </c>
      <c r="AB640" s="1" t="s">
        <v>785</v>
      </c>
      <c r="AC640" s="1">
        <v>0</v>
      </c>
      <c r="AD640" s="1" t="s">
        <v>56</v>
      </c>
      <c r="AE640" s="1" t="s">
        <v>83</v>
      </c>
      <c r="AF640" s="1" t="s">
        <v>84</v>
      </c>
      <c r="AG640" s="1" t="s">
        <v>815</v>
      </c>
      <c r="AH640" s="1" t="s">
        <v>206</v>
      </c>
      <c r="AI640" s="1" t="s">
        <v>75</v>
      </c>
      <c r="AK640" s="1" t="s">
        <v>116</v>
      </c>
      <c r="AL640" s="1" t="s">
        <v>117</v>
      </c>
      <c r="AM640" s="1">
        <v>10</v>
      </c>
      <c r="AN640" s="1">
        <v>0</v>
      </c>
      <c r="AO640" s="1">
        <f t="shared" si="82"/>
        <v>10</v>
      </c>
    </row>
    <row r="641" spans="1:41" x14ac:dyDescent="0.4">
      <c r="A641" s="1">
        <v>1</v>
      </c>
      <c r="B641" s="1">
        <v>3</v>
      </c>
      <c r="C641" s="1" t="s">
        <v>41</v>
      </c>
      <c r="D641" s="2">
        <v>38939</v>
      </c>
      <c r="E641" s="1">
        <v>222</v>
      </c>
      <c r="F641" s="1">
        <v>17</v>
      </c>
      <c r="G641" s="3">
        <v>0.67145833333333327</v>
      </c>
      <c r="H641" s="3">
        <v>0.67168981481481482</v>
      </c>
      <c r="I641" s="3">
        <v>2.3148148148155467E-4</v>
      </c>
      <c r="J641" s="3">
        <v>2.3148148148155467E-4</v>
      </c>
      <c r="K641" s="5">
        <f t="shared" si="81"/>
        <v>20</v>
      </c>
      <c r="L641" s="3">
        <v>3.8773148148147918E-3</v>
      </c>
      <c r="N641" s="1" t="s">
        <v>75</v>
      </c>
      <c r="O641" s="1" t="s">
        <v>286</v>
      </c>
      <c r="P641" s="1" t="s">
        <v>227</v>
      </c>
      <c r="Q641" s="1" t="s">
        <v>76</v>
      </c>
      <c r="R641" s="1" t="s">
        <v>76</v>
      </c>
      <c r="S641" s="1" t="s">
        <v>46</v>
      </c>
      <c r="T641" s="1" t="s">
        <v>76</v>
      </c>
      <c r="U641" s="1" t="s">
        <v>92</v>
      </c>
      <c r="AB641" s="1" t="s">
        <v>93</v>
      </c>
      <c r="AC641" s="1">
        <v>1</v>
      </c>
      <c r="AG641" s="1" t="s">
        <v>781</v>
      </c>
      <c r="AI641" s="1" t="s">
        <v>75</v>
      </c>
      <c r="AK641" s="1" t="s">
        <v>61</v>
      </c>
      <c r="AL641" s="1" t="s">
        <v>61</v>
      </c>
      <c r="AM641" s="1">
        <v>2</v>
      </c>
      <c r="AN641" s="1">
        <v>0</v>
      </c>
      <c r="AO641" s="1">
        <f t="shared" si="82"/>
        <v>2</v>
      </c>
    </row>
    <row r="642" spans="1:41" x14ac:dyDescent="0.4">
      <c r="A642" s="1">
        <v>1</v>
      </c>
      <c r="B642" s="1">
        <v>3</v>
      </c>
      <c r="C642" s="1" t="s">
        <v>41</v>
      </c>
      <c r="D642" s="2">
        <v>38939</v>
      </c>
      <c r="E642" s="1">
        <v>222</v>
      </c>
      <c r="F642" s="1">
        <v>19</v>
      </c>
      <c r="G642" s="3">
        <v>0.67556712962962961</v>
      </c>
      <c r="H642" s="3">
        <v>0.67964120370370373</v>
      </c>
      <c r="I642" s="3">
        <v>4.0740740740741188E-3</v>
      </c>
      <c r="J642" s="3">
        <v>3.9351851851852082E-3</v>
      </c>
      <c r="K642" s="5">
        <f t="shared" ref="K642:K705" si="83">HOUR(J642)*60*60+MINUTE(J642)*60+SECOND(J642)</f>
        <v>340</v>
      </c>
      <c r="L642" s="3">
        <v>6.3773148148148495E-3</v>
      </c>
      <c r="N642" s="1" t="s">
        <v>75</v>
      </c>
      <c r="O642" s="1" t="s">
        <v>286</v>
      </c>
      <c r="P642" s="1" t="s">
        <v>227</v>
      </c>
      <c r="Q642" s="1" t="s">
        <v>45</v>
      </c>
      <c r="R642" s="1" t="s">
        <v>45</v>
      </c>
      <c r="S642" s="1" t="s">
        <v>46</v>
      </c>
      <c r="T642" s="1" t="s">
        <v>45</v>
      </c>
      <c r="U642" s="1" t="s">
        <v>66</v>
      </c>
      <c r="V642" s="1" t="s">
        <v>49</v>
      </c>
      <c r="W642" s="1" t="s">
        <v>268</v>
      </c>
      <c r="X642" s="1" t="s">
        <v>316</v>
      </c>
      <c r="Y642" s="1" t="s">
        <v>52</v>
      </c>
      <c r="Z642" s="1" t="s">
        <v>317</v>
      </c>
      <c r="AA642" s="1">
        <v>1</v>
      </c>
      <c r="AB642" s="1" t="s">
        <v>318</v>
      </c>
      <c r="AC642" s="1">
        <v>0</v>
      </c>
      <c r="AD642" s="1" t="s">
        <v>105</v>
      </c>
      <c r="AE642" s="1" t="s">
        <v>57</v>
      </c>
      <c r="AG642" s="1" t="s">
        <v>782</v>
      </c>
      <c r="AH642" s="1" t="s">
        <v>165</v>
      </c>
      <c r="AI642" s="1" t="s">
        <v>75</v>
      </c>
      <c r="AK642" s="1" t="s">
        <v>61</v>
      </c>
      <c r="AL642" s="1" t="s">
        <v>155</v>
      </c>
      <c r="AM642" s="1">
        <v>4</v>
      </c>
      <c r="AN642" s="1">
        <v>0</v>
      </c>
      <c r="AO642" s="1">
        <f t="shared" si="82"/>
        <v>4</v>
      </c>
    </row>
    <row r="643" spans="1:41" x14ac:dyDescent="0.4">
      <c r="A643" s="1">
        <v>1</v>
      </c>
      <c r="B643" s="1">
        <v>3</v>
      </c>
      <c r="C643" s="1" t="s">
        <v>41</v>
      </c>
      <c r="D643" s="2">
        <v>38939</v>
      </c>
      <c r="E643" s="1">
        <v>222</v>
      </c>
      <c r="F643" s="1">
        <v>20</v>
      </c>
      <c r="G643" s="3">
        <v>0.68601851851851858</v>
      </c>
      <c r="H643" s="3">
        <v>0.68645833333333339</v>
      </c>
      <c r="I643" s="3">
        <v>4.3981481481480955E-4</v>
      </c>
      <c r="J643" s="3">
        <v>4.3981481481480955E-4</v>
      </c>
      <c r="K643" s="5">
        <f t="shared" si="83"/>
        <v>38</v>
      </c>
      <c r="L643" s="3">
        <v>5.1273148148146541E-3</v>
      </c>
      <c r="N643" s="1" t="s">
        <v>75</v>
      </c>
      <c r="O643" s="1" t="s">
        <v>286</v>
      </c>
      <c r="P643" s="1" t="s">
        <v>227</v>
      </c>
      <c r="Q643" s="1" t="s">
        <v>45</v>
      </c>
      <c r="R643" s="1" t="s">
        <v>45</v>
      </c>
      <c r="S643" s="1" t="s">
        <v>46</v>
      </c>
      <c r="T643" s="1" t="s">
        <v>45</v>
      </c>
      <c r="U643" s="1" t="s">
        <v>66</v>
      </c>
      <c r="V643" s="1" t="s">
        <v>102</v>
      </c>
      <c r="W643" s="1" t="s">
        <v>103</v>
      </c>
      <c r="X643" s="1" t="s">
        <v>96</v>
      </c>
      <c r="AB643" s="1" t="s">
        <v>104</v>
      </c>
      <c r="AC643" s="1">
        <v>0</v>
      </c>
      <c r="AD643" s="1" t="s">
        <v>105</v>
      </c>
      <c r="AE643" s="1" t="s">
        <v>70</v>
      </c>
      <c r="AG643" s="1" t="s">
        <v>874</v>
      </c>
      <c r="AH643" s="1" t="s">
        <v>157</v>
      </c>
      <c r="AI643" s="1" t="s">
        <v>75</v>
      </c>
      <c r="AK643" s="1" t="s">
        <v>86</v>
      </c>
      <c r="AL643" s="1" t="s">
        <v>133</v>
      </c>
      <c r="AM643" s="1">
        <v>1</v>
      </c>
      <c r="AN643" s="1">
        <v>0</v>
      </c>
      <c r="AO643" s="1">
        <f t="shared" ref="AO643:AO706" si="84">SUM(AM643:AN643)</f>
        <v>1</v>
      </c>
    </row>
    <row r="644" spans="1:41" x14ac:dyDescent="0.4">
      <c r="A644" s="1">
        <v>1</v>
      </c>
      <c r="B644" s="1">
        <v>3</v>
      </c>
      <c r="C644" s="1" t="s">
        <v>41</v>
      </c>
      <c r="D644" s="2">
        <v>38939</v>
      </c>
      <c r="E644" s="1">
        <v>222</v>
      </c>
      <c r="F644" s="1">
        <v>21</v>
      </c>
      <c r="G644" s="3">
        <v>0.69158564814814805</v>
      </c>
      <c r="H644" s="3">
        <v>0.69215277777777784</v>
      </c>
      <c r="I644" s="3">
        <v>5.671296296297923E-4</v>
      </c>
      <c r="J644" s="3">
        <v>5.671296296297923E-4</v>
      </c>
      <c r="K644" s="5">
        <f t="shared" si="83"/>
        <v>49</v>
      </c>
      <c r="L644" s="3">
        <v>6.9560185185184586E-3</v>
      </c>
      <c r="N644" s="1" t="s">
        <v>75</v>
      </c>
      <c r="O644" s="1" t="s">
        <v>286</v>
      </c>
      <c r="P644" s="1" t="s">
        <v>227</v>
      </c>
      <c r="Q644" s="1" t="s">
        <v>76</v>
      </c>
      <c r="R644" s="1" t="s">
        <v>76</v>
      </c>
      <c r="S644" s="1" t="s">
        <v>46</v>
      </c>
      <c r="T644" s="1" t="s">
        <v>45</v>
      </c>
      <c r="U644" s="1" t="s">
        <v>92</v>
      </c>
      <c r="V644" s="1" t="s">
        <v>49</v>
      </c>
      <c r="W644" s="1" t="s">
        <v>140</v>
      </c>
      <c r="X644" s="1" t="s">
        <v>177</v>
      </c>
      <c r="Y644" s="1" t="s">
        <v>79</v>
      </c>
      <c r="Z644" s="1" t="s">
        <v>178</v>
      </c>
      <c r="AA644" s="1" t="s">
        <v>572</v>
      </c>
      <c r="AB644" s="1" t="s">
        <v>573</v>
      </c>
      <c r="AC644" s="1">
        <v>0</v>
      </c>
      <c r="AD644" s="1" t="s">
        <v>56</v>
      </c>
      <c r="AE644" s="1" t="s">
        <v>181</v>
      </c>
      <c r="AG644" s="1" t="s">
        <v>875</v>
      </c>
      <c r="AH644" s="1" t="s">
        <v>115</v>
      </c>
      <c r="AI644" s="1" t="s">
        <v>75</v>
      </c>
      <c r="AK644" s="1" t="s">
        <v>61</v>
      </c>
      <c r="AL644" s="1" t="s">
        <v>133</v>
      </c>
      <c r="AM644" s="1">
        <v>2</v>
      </c>
      <c r="AN644" s="1">
        <v>0</v>
      </c>
      <c r="AO644" s="1">
        <f t="shared" si="84"/>
        <v>2</v>
      </c>
    </row>
    <row r="645" spans="1:41" x14ac:dyDescent="0.4">
      <c r="A645" s="1">
        <v>1</v>
      </c>
      <c r="B645" s="1">
        <v>3</v>
      </c>
      <c r="C645" s="1" t="s">
        <v>41</v>
      </c>
      <c r="D645" s="2">
        <v>38939</v>
      </c>
      <c r="E645" s="1">
        <v>222</v>
      </c>
      <c r="F645" s="1">
        <v>22</v>
      </c>
      <c r="G645" s="3">
        <v>0.6991087962962963</v>
      </c>
      <c r="H645" s="3">
        <v>0.69931712962962955</v>
      </c>
      <c r="I645" s="3">
        <v>2.0833333333325488E-4</v>
      </c>
      <c r="J645" s="3">
        <v>1.157407407406108E-4</v>
      </c>
      <c r="K645" s="5">
        <f t="shared" si="83"/>
        <v>10</v>
      </c>
      <c r="L645" s="3" t="s">
        <v>120</v>
      </c>
      <c r="N645" s="1" t="s">
        <v>75</v>
      </c>
      <c r="O645" s="1" t="s">
        <v>286</v>
      </c>
      <c r="P645" s="1" t="s">
        <v>227</v>
      </c>
      <c r="Q645" s="1" t="s">
        <v>76</v>
      </c>
      <c r="R645" s="1" t="s">
        <v>76</v>
      </c>
      <c r="S645" s="1" t="s">
        <v>46</v>
      </c>
      <c r="T645" s="1" t="s">
        <v>45</v>
      </c>
      <c r="U645" s="1" t="s">
        <v>66</v>
      </c>
      <c r="V645" s="1" t="s">
        <v>102</v>
      </c>
      <c r="W645" s="1" t="s">
        <v>231</v>
      </c>
      <c r="X645" s="1" t="s">
        <v>96</v>
      </c>
      <c r="AB645" s="1" t="s">
        <v>104</v>
      </c>
      <c r="AC645" s="1">
        <v>0</v>
      </c>
      <c r="AD645" s="1" t="s">
        <v>105</v>
      </c>
      <c r="AE645" s="1" t="s">
        <v>70</v>
      </c>
      <c r="AF645" s="1" t="s">
        <v>163</v>
      </c>
      <c r="AG645" s="1" t="s">
        <v>875</v>
      </c>
      <c r="AH645" s="1" t="s">
        <v>157</v>
      </c>
      <c r="AI645" s="1" t="s">
        <v>75</v>
      </c>
      <c r="AK645" s="1" t="s">
        <v>86</v>
      </c>
      <c r="AL645" s="1" t="s">
        <v>87</v>
      </c>
      <c r="AM645" s="1">
        <v>2</v>
      </c>
      <c r="AN645" s="1">
        <v>0</v>
      </c>
      <c r="AO645" s="1">
        <f t="shared" si="84"/>
        <v>2</v>
      </c>
    </row>
    <row r="646" spans="1:41" x14ac:dyDescent="0.4">
      <c r="A646" s="1">
        <v>1</v>
      </c>
      <c r="B646" s="1">
        <v>3</v>
      </c>
      <c r="C646" s="1" t="s">
        <v>41</v>
      </c>
      <c r="D646" s="2">
        <v>38951</v>
      </c>
      <c r="E646" s="1">
        <v>234</v>
      </c>
      <c r="F646" s="1">
        <v>1</v>
      </c>
      <c r="G646" s="3">
        <v>0.33385416666666662</v>
      </c>
      <c r="H646" s="3">
        <v>0.3382060185185185</v>
      </c>
      <c r="I646" s="3">
        <v>4.3518518518518845E-3</v>
      </c>
      <c r="J646" s="3">
        <v>3.460648148148171E-3</v>
      </c>
      <c r="K646" s="5">
        <f t="shared" si="83"/>
        <v>299</v>
      </c>
      <c r="L646" s="3">
        <v>5.6712962962963132E-3</v>
      </c>
      <c r="N646" s="1" t="s">
        <v>42</v>
      </c>
      <c r="O646" s="1" t="s">
        <v>286</v>
      </c>
      <c r="P646" s="1" t="s">
        <v>227</v>
      </c>
      <c r="Q646" s="1" t="s">
        <v>45</v>
      </c>
      <c r="R646" s="1" t="s">
        <v>76</v>
      </c>
      <c r="S646" s="1" t="s">
        <v>46</v>
      </c>
      <c r="T646" s="1" t="s">
        <v>45</v>
      </c>
      <c r="U646" s="1" t="s">
        <v>66</v>
      </c>
      <c r="V646" s="1" t="s">
        <v>49</v>
      </c>
      <c r="W646" s="1" t="s">
        <v>50</v>
      </c>
      <c r="X646" s="1" t="s">
        <v>96</v>
      </c>
      <c r="Y646" s="1" t="s">
        <v>52</v>
      </c>
      <c r="Z646" s="1" t="s">
        <v>53</v>
      </c>
      <c r="AA646" s="1" t="s">
        <v>731</v>
      </c>
      <c r="AB646" s="1" t="s">
        <v>732</v>
      </c>
      <c r="AC646" s="1">
        <v>0</v>
      </c>
      <c r="AD646" s="1" t="s">
        <v>56</v>
      </c>
      <c r="AE646" s="1" t="s">
        <v>70</v>
      </c>
      <c r="AG646" s="1" t="s">
        <v>876</v>
      </c>
      <c r="AH646" s="1" t="s">
        <v>59</v>
      </c>
      <c r="AI646" s="1" t="s">
        <v>71</v>
      </c>
      <c r="AK646" s="1" t="s">
        <v>86</v>
      </c>
      <c r="AL646" s="1" t="s">
        <v>87</v>
      </c>
      <c r="AM646" s="1">
        <v>1</v>
      </c>
      <c r="AN646" s="1">
        <v>0</v>
      </c>
      <c r="AO646" s="1">
        <f t="shared" si="84"/>
        <v>1</v>
      </c>
    </row>
    <row r="647" spans="1:41" x14ac:dyDescent="0.4">
      <c r="A647" s="1">
        <v>1</v>
      </c>
      <c r="B647" s="1">
        <v>3</v>
      </c>
      <c r="C647" s="1" t="s">
        <v>41</v>
      </c>
      <c r="D647" s="2">
        <v>38951</v>
      </c>
      <c r="E647" s="1">
        <v>234</v>
      </c>
      <c r="F647" s="1">
        <v>1.2</v>
      </c>
      <c r="G647" s="3">
        <v>0.34387731481481482</v>
      </c>
      <c r="H647" s="3">
        <v>0.34394675925925927</v>
      </c>
      <c r="I647" s="3">
        <v>6.94444444444553E-5</v>
      </c>
      <c r="J647" s="3">
        <v>6.94444444444553E-5</v>
      </c>
      <c r="K647" s="5">
        <f t="shared" si="83"/>
        <v>6</v>
      </c>
      <c r="L647" s="3">
        <v>4.2824074074071516E-4</v>
      </c>
      <c r="N647" s="1" t="s">
        <v>42</v>
      </c>
      <c r="O647" s="1" t="s">
        <v>286</v>
      </c>
      <c r="P647" s="1" t="s">
        <v>227</v>
      </c>
      <c r="Q647" s="1" t="s">
        <v>76</v>
      </c>
      <c r="R647" s="1" t="s">
        <v>76</v>
      </c>
      <c r="S647" s="1" t="s">
        <v>46</v>
      </c>
      <c r="T647" s="1" t="s">
        <v>76</v>
      </c>
      <c r="U647" s="1" t="s">
        <v>66</v>
      </c>
      <c r="AB647" s="1" t="s">
        <v>93</v>
      </c>
      <c r="AC647" s="1">
        <v>1</v>
      </c>
      <c r="AF647" s="1" t="s">
        <v>163</v>
      </c>
      <c r="AI647" s="1" t="s">
        <v>71</v>
      </c>
      <c r="AK647" s="1" t="s">
        <v>86</v>
      </c>
      <c r="AL647" s="1" t="s">
        <v>87</v>
      </c>
      <c r="AN647" s="1">
        <v>1</v>
      </c>
      <c r="AO647" s="1">
        <f t="shared" si="84"/>
        <v>1</v>
      </c>
    </row>
    <row r="648" spans="1:41" x14ac:dyDescent="0.4">
      <c r="A648" s="1">
        <v>1</v>
      </c>
      <c r="B648" s="1">
        <v>3</v>
      </c>
      <c r="C648" s="1" t="s">
        <v>41</v>
      </c>
      <c r="D648" s="2">
        <v>38951</v>
      </c>
      <c r="E648" s="1">
        <v>234</v>
      </c>
      <c r="F648" s="1">
        <v>1.5</v>
      </c>
      <c r="G648" s="3">
        <v>0.34437499999999999</v>
      </c>
      <c r="H648" s="3">
        <v>0.34666666666666668</v>
      </c>
      <c r="I648" s="3">
        <v>2.2916666666666918E-3</v>
      </c>
      <c r="J648" s="3">
        <v>3.472222222222765E-4</v>
      </c>
      <c r="K648" s="5">
        <f t="shared" si="83"/>
        <v>30</v>
      </c>
      <c r="L648" s="3">
        <v>9.8842592592592315E-3</v>
      </c>
      <c r="N648" s="1" t="s">
        <v>42</v>
      </c>
      <c r="O648" s="1" t="s">
        <v>286</v>
      </c>
      <c r="P648" s="1" t="s">
        <v>227</v>
      </c>
      <c r="Q648" s="1" t="s">
        <v>76</v>
      </c>
      <c r="R648" s="1" t="s">
        <v>76</v>
      </c>
      <c r="S648" s="1" t="s">
        <v>46</v>
      </c>
      <c r="T648" s="1" t="s">
        <v>76</v>
      </c>
      <c r="U648" s="1" t="s">
        <v>66</v>
      </c>
      <c r="AB648" s="1" t="s">
        <v>93</v>
      </c>
      <c r="AC648" s="1">
        <v>1</v>
      </c>
      <c r="AG648" s="1" t="s">
        <v>867</v>
      </c>
      <c r="AI648" s="1" t="s">
        <v>71</v>
      </c>
      <c r="AK648" s="1" t="s">
        <v>86</v>
      </c>
      <c r="AL648" s="1" t="s">
        <v>87</v>
      </c>
      <c r="AM648" s="1">
        <v>5</v>
      </c>
      <c r="AN648" s="1">
        <v>0</v>
      </c>
      <c r="AO648" s="1">
        <f t="shared" si="84"/>
        <v>5</v>
      </c>
    </row>
    <row r="649" spans="1:41" x14ac:dyDescent="0.4">
      <c r="A649" s="1">
        <v>1</v>
      </c>
      <c r="B649" s="1">
        <v>3</v>
      </c>
      <c r="C649" s="1" t="s">
        <v>41</v>
      </c>
      <c r="D649" s="2">
        <v>38951</v>
      </c>
      <c r="E649" s="1">
        <v>234</v>
      </c>
      <c r="F649" s="1">
        <v>2</v>
      </c>
      <c r="G649" s="3">
        <v>0.35655092592592591</v>
      </c>
      <c r="H649" s="3">
        <v>0.36425925925925928</v>
      </c>
      <c r="I649" s="3">
        <v>7.7083333333333726E-3</v>
      </c>
      <c r="J649" s="3">
        <v>7.7083333333333726E-3</v>
      </c>
      <c r="K649" s="5">
        <f t="shared" si="83"/>
        <v>666</v>
      </c>
      <c r="L649" s="3">
        <v>6.9097222222222476E-3</v>
      </c>
      <c r="N649" s="1" t="s">
        <v>42</v>
      </c>
      <c r="O649" s="1" t="s">
        <v>286</v>
      </c>
      <c r="P649" s="1" t="s">
        <v>227</v>
      </c>
      <c r="Q649" s="1" t="s">
        <v>76</v>
      </c>
      <c r="R649" s="1" t="s">
        <v>76</v>
      </c>
      <c r="S649" s="1" t="s">
        <v>46</v>
      </c>
      <c r="T649" s="1" t="s">
        <v>45</v>
      </c>
      <c r="U649" s="1" t="s">
        <v>66</v>
      </c>
      <c r="V649" s="1" t="s">
        <v>49</v>
      </c>
      <c r="W649" s="1" t="s">
        <v>77</v>
      </c>
      <c r="X649" s="1" t="s">
        <v>522</v>
      </c>
      <c r="Y649" s="1" t="s">
        <v>857</v>
      </c>
      <c r="Z649" s="1" t="s">
        <v>858</v>
      </c>
      <c r="AA649" s="1" t="s">
        <v>859</v>
      </c>
      <c r="AB649" s="1" t="s">
        <v>860</v>
      </c>
      <c r="AC649" s="1">
        <v>0</v>
      </c>
      <c r="AD649" s="1" t="s">
        <v>105</v>
      </c>
      <c r="AE649" s="1" t="s">
        <v>57</v>
      </c>
      <c r="AF649" s="1" t="s">
        <v>198</v>
      </c>
      <c r="AG649" s="1" t="s">
        <v>868</v>
      </c>
      <c r="AH649" s="1" t="s">
        <v>59</v>
      </c>
      <c r="AI649" s="1" t="s">
        <v>71</v>
      </c>
      <c r="AK649" s="1" t="s">
        <v>86</v>
      </c>
      <c r="AL649" s="1" t="s">
        <v>133</v>
      </c>
      <c r="AM649" s="1">
        <v>3</v>
      </c>
      <c r="AN649" s="1">
        <v>0</v>
      </c>
      <c r="AO649" s="1">
        <f t="shared" si="84"/>
        <v>3</v>
      </c>
    </row>
    <row r="650" spans="1:41" x14ac:dyDescent="0.4">
      <c r="A650" s="1">
        <v>1</v>
      </c>
      <c r="B650" s="1">
        <v>3</v>
      </c>
      <c r="C650" s="1" t="s">
        <v>41</v>
      </c>
      <c r="D650" s="2">
        <v>38951</v>
      </c>
      <c r="E650" s="1">
        <v>234</v>
      </c>
      <c r="F650" s="1">
        <v>3</v>
      </c>
      <c r="G650" s="3">
        <v>0.37116898148148153</v>
      </c>
      <c r="H650" s="3">
        <v>0.37145833333333328</v>
      </c>
      <c r="I650" s="3">
        <v>2.8935185185174905E-4</v>
      </c>
      <c r="J650" s="3">
        <v>2.3148148148138814E-4</v>
      </c>
      <c r="K650" s="5">
        <f t="shared" si="83"/>
        <v>20</v>
      </c>
      <c r="L650" s="3">
        <v>1.5532407407407467E-2</v>
      </c>
      <c r="N650" s="1" t="s">
        <v>42</v>
      </c>
      <c r="O650" s="1" t="s">
        <v>286</v>
      </c>
      <c r="P650" s="1" t="s">
        <v>227</v>
      </c>
      <c r="Q650" s="1" t="s">
        <v>76</v>
      </c>
      <c r="R650" s="1" t="s">
        <v>76</v>
      </c>
      <c r="S650" s="1" t="s">
        <v>46</v>
      </c>
      <c r="T650" s="1" t="s">
        <v>45</v>
      </c>
      <c r="U650" s="1" t="s">
        <v>92</v>
      </c>
      <c r="V650" s="1" t="s">
        <v>102</v>
      </c>
      <c r="W650" s="1" t="s">
        <v>231</v>
      </c>
      <c r="X650" s="1" t="s">
        <v>96</v>
      </c>
      <c r="AB650" s="1" t="s">
        <v>104</v>
      </c>
      <c r="AC650" s="1">
        <v>0</v>
      </c>
      <c r="AD650" s="1" t="s">
        <v>105</v>
      </c>
      <c r="AE650" s="1" t="s">
        <v>70</v>
      </c>
      <c r="AF650" s="1" t="s">
        <v>84</v>
      </c>
      <c r="AG650" s="1" t="s">
        <v>867</v>
      </c>
      <c r="AH650" s="1" t="s">
        <v>157</v>
      </c>
      <c r="AI650" s="1" t="s">
        <v>75</v>
      </c>
      <c r="AK650" s="1" t="s">
        <v>86</v>
      </c>
      <c r="AL650" s="1" t="s">
        <v>133</v>
      </c>
      <c r="AM650" s="1">
        <v>5</v>
      </c>
      <c r="AN650" s="1">
        <v>0</v>
      </c>
      <c r="AO650" s="1">
        <f t="shared" si="84"/>
        <v>5</v>
      </c>
    </row>
    <row r="651" spans="1:41" x14ac:dyDescent="0.4">
      <c r="A651" s="1">
        <v>1</v>
      </c>
      <c r="B651" s="1">
        <v>3</v>
      </c>
      <c r="C651" s="1" t="s">
        <v>41</v>
      </c>
      <c r="D651" s="2">
        <v>38951</v>
      </c>
      <c r="E651" s="1">
        <v>234</v>
      </c>
      <c r="F651" s="1">
        <v>5</v>
      </c>
      <c r="G651" s="3">
        <v>0.38699074074074075</v>
      </c>
      <c r="H651" s="3">
        <v>0.38991898148148146</v>
      </c>
      <c r="I651" s="3">
        <v>2.9282407407407174E-3</v>
      </c>
      <c r="J651" s="3">
        <v>2.9282407407407174E-3</v>
      </c>
      <c r="K651" s="5">
        <f t="shared" si="83"/>
        <v>253</v>
      </c>
      <c r="L651" s="3">
        <v>7.1412037037036913E-3</v>
      </c>
      <c r="N651" s="1" t="s">
        <v>42</v>
      </c>
      <c r="O651" s="1" t="s">
        <v>286</v>
      </c>
      <c r="P651" s="1" t="s">
        <v>227</v>
      </c>
      <c r="Q651" s="1" t="s">
        <v>45</v>
      </c>
      <c r="R651" s="1" t="s">
        <v>91</v>
      </c>
      <c r="S651" s="1" t="s">
        <v>46</v>
      </c>
      <c r="T651" s="1" t="s">
        <v>76</v>
      </c>
      <c r="U651" s="1" t="s">
        <v>66</v>
      </c>
      <c r="V651" s="1" t="s">
        <v>49</v>
      </c>
      <c r="W651" s="1" t="s">
        <v>77</v>
      </c>
      <c r="X651" s="1" t="s">
        <v>522</v>
      </c>
      <c r="Y651" s="1" t="s">
        <v>857</v>
      </c>
      <c r="Z651" s="1" t="s">
        <v>858</v>
      </c>
      <c r="AA651" s="1" t="s">
        <v>859</v>
      </c>
      <c r="AB651" s="1" t="s">
        <v>860</v>
      </c>
      <c r="AC651" s="1">
        <v>0</v>
      </c>
      <c r="AD651" s="1" t="s">
        <v>105</v>
      </c>
      <c r="AE651" s="1" t="s">
        <v>57</v>
      </c>
      <c r="AF651" s="1" t="s">
        <v>198</v>
      </c>
      <c r="AG651" s="1" t="s">
        <v>868</v>
      </c>
      <c r="AH651" s="1" t="s">
        <v>59</v>
      </c>
      <c r="AI651" s="1" t="s">
        <v>71</v>
      </c>
      <c r="AK651" s="1" t="s">
        <v>86</v>
      </c>
      <c r="AL651" s="1" t="s">
        <v>133</v>
      </c>
      <c r="AM651" s="1">
        <v>3</v>
      </c>
      <c r="AN651" s="1">
        <v>0</v>
      </c>
      <c r="AO651" s="1">
        <f t="shared" si="84"/>
        <v>3</v>
      </c>
    </row>
    <row r="652" spans="1:41" x14ac:dyDescent="0.4">
      <c r="A652" s="1">
        <v>1</v>
      </c>
      <c r="B652" s="1">
        <v>3</v>
      </c>
      <c r="C652" s="1" t="s">
        <v>41</v>
      </c>
      <c r="D652" s="2">
        <v>38951</v>
      </c>
      <c r="E652" s="1">
        <v>234</v>
      </c>
      <c r="F652" s="1">
        <v>6</v>
      </c>
      <c r="G652" s="3">
        <v>0.39706018518518515</v>
      </c>
      <c r="H652" s="3">
        <v>0.4009375</v>
      </c>
      <c r="I652" s="3">
        <v>3.8773148148148473E-3</v>
      </c>
      <c r="J652" s="3">
        <v>3.703703703703709E-3</v>
      </c>
      <c r="K652" s="5">
        <f t="shared" si="83"/>
        <v>320</v>
      </c>
      <c r="L652" s="3">
        <v>3.6689814814814259E-3</v>
      </c>
      <c r="N652" s="1" t="s">
        <v>42</v>
      </c>
      <c r="O652" s="1" t="s">
        <v>286</v>
      </c>
      <c r="P652" s="1" t="s">
        <v>227</v>
      </c>
      <c r="Q652" s="1" t="s">
        <v>76</v>
      </c>
      <c r="R652" s="1" t="s">
        <v>76</v>
      </c>
      <c r="S652" s="1" t="s">
        <v>46</v>
      </c>
      <c r="T652" s="1" t="s">
        <v>76</v>
      </c>
      <c r="U652" s="1" t="s">
        <v>92</v>
      </c>
      <c r="V652" s="1" t="s">
        <v>49</v>
      </c>
      <c r="W652" s="1" t="s">
        <v>168</v>
      </c>
      <c r="X652" s="1" t="s">
        <v>877</v>
      </c>
      <c r="Y652" s="1" t="s">
        <v>878</v>
      </c>
      <c r="Z652" s="1" t="s">
        <v>879</v>
      </c>
      <c r="AA652" s="1" t="s">
        <v>880</v>
      </c>
      <c r="AB652" s="1" t="s">
        <v>881</v>
      </c>
      <c r="AC652" s="1">
        <v>0</v>
      </c>
      <c r="AD652" s="1" t="s">
        <v>56</v>
      </c>
      <c r="AE652" s="1" t="s">
        <v>83</v>
      </c>
      <c r="AF652" s="1" t="s">
        <v>153</v>
      </c>
      <c r="AG652" s="1" t="s">
        <v>882</v>
      </c>
      <c r="AH652" s="1" t="s">
        <v>59</v>
      </c>
      <c r="AI652" s="1" t="s">
        <v>75</v>
      </c>
      <c r="AK652" s="1" t="s">
        <v>86</v>
      </c>
      <c r="AL652" s="1" t="s">
        <v>133</v>
      </c>
      <c r="AM652" s="1">
        <v>1</v>
      </c>
      <c r="AN652" s="1">
        <v>0</v>
      </c>
      <c r="AO652" s="1">
        <f t="shared" si="84"/>
        <v>1</v>
      </c>
    </row>
    <row r="653" spans="1:41" x14ac:dyDescent="0.4">
      <c r="A653" s="1">
        <v>1</v>
      </c>
      <c r="B653" s="1">
        <v>3</v>
      </c>
      <c r="C653" s="1" t="s">
        <v>41</v>
      </c>
      <c r="D653" s="2">
        <v>38951</v>
      </c>
      <c r="E653" s="1">
        <v>234</v>
      </c>
      <c r="F653" s="1">
        <v>7</v>
      </c>
      <c r="G653" s="3">
        <v>0.40460648148148143</v>
      </c>
      <c r="H653" s="3">
        <v>0.40943287037037041</v>
      </c>
      <c r="I653" s="3">
        <v>4.8263888888889772E-3</v>
      </c>
      <c r="J653" s="3">
        <v>4.4212962962963398E-3</v>
      </c>
      <c r="K653" s="5">
        <f t="shared" si="83"/>
        <v>382</v>
      </c>
      <c r="L653" s="3">
        <v>8.0787037037036713E-3</v>
      </c>
      <c r="N653" s="1" t="s">
        <v>42</v>
      </c>
      <c r="O653" s="1" t="s">
        <v>286</v>
      </c>
      <c r="P653" s="1" t="s">
        <v>227</v>
      </c>
      <c r="Q653" s="1" t="s">
        <v>45</v>
      </c>
      <c r="R653" s="1" t="s">
        <v>45</v>
      </c>
      <c r="S653" s="1" t="s">
        <v>46</v>
      </c>
      <c r="T653" s="1" t="s">
        <v>76</v>
      </c>
      <c r="U653" s="1" t="s">
        <v>156</v>
      </c>
      <c r="V653" s="1" t="s">
        <v>67</v>
      </c>
      <c r="W653" s="1" t="s">
        <v>68</v>
      </c>
      <c r="X653" s="1" t="s">
        <v>96</v>
      </c>
      <c r="Y653" s="1" t="s">
        <v>883</v>
      </c>
      <c r="AB653" s="1" t="s">
        <v>884</v>
      </c>
      <c r="AC653" s="1">
        <v>0</v>
      </c>
      <c r="AD653" s="1" t="s">
        <v>68</v>
      </c>
      <c r="AE653" s="1" t="s">
        <v>70</v>
      </c>
      <c r="AH653" s="1" t="s">
        <v>157</v>
      </c>
      <c r="AI653" s="1" t="s">
        <v>75</v>
      </c>
      <c r="AJ653" s="1" t="s">
        <v>147</v>
      </c>
      <c r="AK653" s="1" t="s">
        <v>61</v>
      </c>
      <c r="AL653" s="1" t="s">
        <v>61</v>
      </c>
      <c r="AN653" s="1">
        <v>1</v>
      </c>
      <c r="AO653" s="1">
        <f t="shared" si="84"/>
        <v>1</v>
      </c>
    </row>
    <row r="654" spans="1:41" x14ac:dyDescent="0.4">
      <c r="A654" s="1">
        <v>1</v>
      </c>
      <c r="B654" s="1">
        <v>3</v>
      </c>
      <c r="C654" s="1" t="s">
        <v>41</v>
      </c>
      <c r="D654" s="2">
        <v>38951</v>
      </c>
      <c r="E654" s="1">
        <v>234</v>
      </c>
      <c r="F654" s="1">
        <v>9</v>
      </c>
      <c r="G654" s="3">
        <v>0.41751157407407408</v>
      </c>
      <c r="H654" s="3">
        <v>0.42427083333333332</v>
      </c>
      <c r="I654" s="3">
        <v>6.7592592592592426E-3</v>
      </c>
      <c r="J654" s="3">
        <v>6.7592592592592426E-3</v>
      </c>
      <c r="K654" s="5">
        <f t="shared" si="83"/>
        <v>584</v>
      </c>
      <c r="L654" s="3">
        <v>2.6157407407407796E-3</v>
      </c>
      <c r="N654" s="1" t="s">
        <v>251</v>
      </c>
      <c r="O654" s="1" t="s">
        <v>286</v>
      </c>
      <c r="P654" s="1" t="s">
        <v>227</v>
      </c>
      <c r="Q654" s="1" t="s">
        <v>76</v>
      </c>
      <c r="R654" s="1" t="s">
        <v>76</v>
      </c>
      <c r="S654" s="1" t="s">
        <v>46</v>
      </c>
      <c r="T654" s="1" t="s">
        <v>45</v>
      </c>
      <c r="U654" s="1" t="s">
        <v>156</v>
      </c>
      <c r="V654" s="1" t="s">
        <v>49</v>
      </c>
      <c r="W654" s="1" t="s">
        <v>77</v>
      </c>
      <c r="X654" s="1" t="s">
        <v>522</v>
      </c>
      <c r="Y654" s="1" t="s">
        <v>857</v>
      </c>
      <c r="Z654" s="1" t="s">
        <v>858</v>
      </c>
      <c r="AA654" s="1" t="s">
        <v>859</v>
      </c>
      <c r="AB654" s="1" t="s">
        <v>860</v>
      </c>
      <c r="AC654" s="1">
        <v>0</v>
      </c>
      <c r="AD654" s="1" t="s">
        <v>105</v>
      </c>
      <c r="AE654" s="1" t="s">
        <v>57</v>
      </c>
      <c r="AG654" s="1" t="s">
        <v>885</v>
      </c>
      <c r="AH654" s="1" t="s">
        <v>59</v>
      </c>
      <c r="AI654" s="1" t="s">
        <v>255</v>
      </c>
      <c r="AK654" s="1" t="s">
        <v>61</v>
      </c>
      <c r="AL654" s="1" t="s">
        <v>61</v>
      </c>
      <c r="AM654" s="1">
        <v>2</v>
      </c>
      <c r="AN654" s="1">
        <v>0</v>
      </c>
      <c r="AO654" s="1">
        <f t="shared" si="84"/>
        <v>2</v>
      </c>
    </row>
    <row r="655" spans="1:41" x14ac:dyDescent="0.4">
      <c r="A655" s="1">
        <v>1</v>
      </c>
      <c r="B655" s="1">
        <v>3</v>
      </c>
      <c r="C655" s="1" t="s">
        <v>41</v>
      </c>
      <c r="D655" s="2">
        <v>38951</v>
      </c>
      <c r="E655" s="1">
        <v>234</v>
      </c>
      <c r="F655" s="1">
        <v>10</v>
      </c>
      <c r="G655" s="3">
        <v>0.4268865740740741</v>
      </c>
      <c r="H655" s="3">
        <v>0.43105324074074075</v>
      </c>
      <c r="I655" s="3">
        <v>4.1666666666666519E-3</v>
      </c>
      <c r="J655" s="3">
        <v>3.3217592592592604E-3</v>
      </c>
      <c r="K655" s="5">
        <f t="shared" si="83"/>
        <v>287</v>
      </c>
      <c r="L655" s="3">
        <v>1.5902777777777821E-2</v>
      </c>
      <c r="N655" s="1" t="s">
        <v>251</v>
      </c>
      <c r="O655" s="1" t="s">
        <v>286</v>
      </c>
      <c r="P655" s="1" t="s">
        <v>227</v>
      </c>
      <c r="Q655" s="1" t="s">
        <v>76</v>
      </c>
      <c r="R655" s="1" t="s">
        <v>76</v>
      </c>
      <c r="S655" s="1" t="s">
        <v>46</v>
      </c>
      <c r="T655" s="1" t="s">
        <v>47</v>
      </c>
      <c r="U655" s="1" t="s">
        <v>156</v>
      </c>
      <c r="V655" s="1" t="s">
        <v>49</v>
      </c>
      <c r="W655" s="1" t="s">
        <v>50</v>
      </c>
      <c r="X655" s="1" t="s">
        <v>96</v>
      </c>
      <c r="Y655" s="1" t="s">
        <v>52</v>
      </c>
      <c r="Z655" s="1" t="s">
        <v>53</v>
      </c>
      <c r="AA655" s="1" t="s">
        <v>731</v>
      </c>
      <c r="AB655" s="1" t="s">
        <v>732</v>
      </c>
      <c r="AC655" s="1">
        <v>0</v>
      </c>
      <c r="AD655" s="1" t="s">
        <v>56</v>
      </c>
      <c r="AE655" s="1" t="s">
        <v>70</v>
      </c>
      <c r="AF655" s="1" t="s">
        <v>153</v>
      </c>
      <c r="AG655" s="1" t="s">
        <v>886</v>
      </c>
      <c r="AH655" s="1" t="s">
        <v>59</v>
      </c>
      <c r="AI655" s="1" t="s">
        <v>255</v>
      </c>
      <c r="AK655" s="1" t="s">
        <v>86</v>
      </c>
      <c r="AL655" s="1" t="s">
        <v>133</v>
      </c>
      <c r="AM655" s="1">
        <v>1</v>
      </c>
      <c r="AN655" s="1">
        <v>0</v>
      </c>
      <c r="AO655" s="1">
        <f t="shared" si="84"/>
        <v>1</v>
      </c>
    </row>
    <row r="656" spans="1:41" x14ac:dyDescent="0.4">
      <c r="A656" s="1">
        <v>1</v>
      </c>
      <c r="B656" s="1">
        <v>3</v>
      </c>
      <c r="C656" s="1" t="s">
        <v>41</v>
      </c>
      <c r="D656" s="2">
        <v>38951</v>
      </c>
      <c r="E656" s="1">
        <v>234</v>
      </c>
      <c r="F656" s="1">
        <v>11</v>
      </c>
      <c r="G656" s="3">
        <v>0.44695601851851857</v>
      </c>
      <c r="H656" s="3">
        <v>0.44730324074074074</v>
      </c>
      <c r="I656" s="3">
        <v>3.4722222222216548E-4</v>
      </c>
      <c r="J656" s="3">
        <v>3.4722222222216548E-4</v>
      </c>
      <c r="K656" s="5">
        <f t="shared" si="83"/>
        <v>30</v>
      </c>
      <c r="L656" s="3">
        <v>6.4930555555555713E-3</v>
      </c>
      <c r="N656" s="1" t="s">
        <v>251</v>
      </c>
      <c r="O656" s="1" t="s">
        <v>286</v>
      </c>
      <c r="P656" s="1" t="s">
        <v>227</v>
      </c>
      <c r="Q656" s="1" t="s">
        <v>76</v>
      </c>
      <c r="R656" s="1" t="s">
        <v>76</v>
      </c>
      <c r="S656" s="1" t="s">
        <v>46</v>
      </c>
      <c r="T656" s="1" t="s">
        <v>45</v>
      </c>
      <c r="U656" s="1" t="s">
        <v>156</v>
      </c>
      <c r="V656" s="1" t="s">
        <v>49</v>
      </c>
      <c r="W656" s="1" t="s">
        <v>50</v>
      </c>
      <c r="X656" s="1" t="s">
        <v>887</v>
      </c>
      <c r="Y656" s="1" t="s">
        <v>52</v>
      </c>
      <c r="Z656" s="1" t="s">
        <v>888</v>
      </c>
      <c r="AA656" s="1" t="s">
        <v>889</v>
      </c>
      <c r="AB656" s="1" t="s">
        <v>890</v>
      </c>
      <c r="AC656" s="1">
        <v>0</v>
      </c>
      <c r="AD656" s="1" t="s">
        <v>56</v>
      </c>
      <c r="AE656" s="1" t="s">
        <v>83</v>
      </c>
      <c r="AG656" s="1" t="s">
        <v>802</v>
      </c>
      <c r="AH656" s="1" t="s">
        <v>59</v>
      </c>
      <c r="AI656" s="1" t="s">
        <v>255</v>
      </c>
      <c r="AK656" s="1" t="s">
        <v>86</v>
      </c>
      <c r="AL656" s="1" t="s">
        <v>133</v>
      </c>
      <c r="AM656" s="1">
        <v>2</v>
      </c>
      <c r="AN656" s="1">
        <v>0</v>
      </c>
      <c r="AO656" s="1">
        <f t="shared" si="84"/>
        <v>2</v>
      </c>
    </row>
    <row r="657" spans="1:41" x14ac:dyDescent="0.4">
      <c r="A657" s="1">
        <v>1</v>
      </c>
      <c r="B657" s="1">
        <v>3</v>
      </c>
      <c r="C657" s="1" t="s">
        <v>41</v>
      </c>
      <c r="D657" s="2">
        <v>38951</v>
      </c>
      <c r="E657" s="1">
        <v>234</v>
      </c>
      <c r="F657" s="1">
        <v>12</v>
      </c>
      <c r="G657" s="3">
        <v>0.45379629629629631</v>
      </c>
      <c r="H657" s="3">
        <v>0.45465277777777779</v>
      </c>
      <c r="I657" s="3">
        <v>8.5648148148148584E-4</v>
      </c>
      <c r="J657" s="3">
        <v>8.5648148148148584E-4</v>
      </c>
      <c r="K657" s="5">
        <f t="shared" si="83"/>
        <v>74</v>
      </c>
      <c r="L657" s="3">
        <v>3.9479166666666676E-2</v>
      </c>
      <c r="N657" s="1" t="s">
        <v>251</v>
      </c>
      <c r="O657" s="1" t="s">
        <v>286</v>
      </c>
      <c r="P657" s="1" t="s">
        <v>227</v>
      </c>
      <c r="Q657" s="1" t="s">
        <v>76</v>
      </c>
      <c r="R657" s="1" t="s">
        <v>76</v>
      </c>
      <c r="S657" s="1" t="s">
        <v>46</v>
      </c>
      <c r="T657" s="1" t="s">
        <v>45</v>
      </c>
      <c r="U657" s="1" t="s">
        <v>66</v>
      </c>
      <c r="X657" s="1" t="s">
        <v>313</v>
      </c>
      <c r="AB657" s="1" t="s">
        <v>93</v>
      </c>
      <c r="AC657" s="1">
        <v>1</v>
      </c>
      <c r="AD657" s="1" t="s">
        <v>56</v>
      </c>
      <c r="AG657" s="1" t="s">
        <v>891</v>
      </c>
      <c r="AH657" s="1" t="s">
        <v>157</v>
      </c>
      <c r="AI657" s="1" t="s">
        <v>257</v>
      </c>
      <c r="AK657" s="1" t="s">
        <v>86</v>
      </c>
      <c r="AL657" s="1" t="s">
        <v>87</v>
      </c>
      <c r="AM657" s="1">
        <v>2</v>
      </c>
      <c r="AN657" s="1">
        <v>0</v>
      </c>
      <c r="AO657" s="1">
        <f t="shared" si="84"/>
        <v>2</v>
      </c>
    </row>
    <row r="658" spans="1:41" x14ac:dyDescent="0.4">
      <c r="A658" s="1">
        <v>1</v>
      </c>
      <c r="B658" s="1">
        <v>3</v>
      </c>
      <c r="C658" s="1" t="s">
        <v>41</v>
      </c>
      <c r="D658" s="2">
        <v>38951</v>
      </c>
      <c r="E658" s="1">
        <v>234</v>
      </c>
      <c r="F658" s="1">
        <v>13</v>
      </c>
      <c r="G658" s="3">
        <v>0.49413194444444447</v>
      </c>
      <c r="H658" s="3">
        <v>0.50056712962962957</v>
      </c>
      <c r="I658" s="3">
        <v>6.4351851851850994E-3</v>
      </c>
      <c r="J658" s="3">
        <v>6.3888888888887774E-3</v>
      </c>
      <c r="K658" s="5">
        <f t="shared" si="83"/>
        <v>552</v>
      </c>
      <c r="L658" s="3">
        <v>4.2326388888888955E-2</v>
      </c>
      <c r="N658" s="1" t="s">
        <v>251</v>
      </c>
      <c r="O658" s="1" t="s">
        <v>286</v>
      </c>
      <c r="P658" s="1" t="s">
        <v>227</v>
      </c>
      <c r="Q658" s="1" t="s">
        <v>132</v>
      </c>
      <c r="R658" s="1" t="s">
        <v>132</v>
      </c>
      <c r="S658" s="1" t="s">
        <v>46</v>
      </c>
      <c r="T658" s="1" t="s">
        <v>45</v>
      </c>
      <c r="U658" s="1" t="s">
        <v>48</v>
      </c>
      <c r="V658" s="1" t="s">
        <v>297</v>
      </c>
      <c r="W658" s="1" t="s">
        <v>167</v>
      </c>
      <c r="X658" s="1" t="s">
        <v>177</v>
      </c>
      <c r="Y658" s="1" t="s">
        <v>753</v>
      </c>
      <c r="Z658" s="1">
        <v>4</v>
      </c>
      <c r="AB658" s="1" t="s">
        <v>892</v>
      </c>
      <c r="AC658" s="1">
        <v>0</v>
      </c>
      <c r="AD658" s="1" t="s">
        <v>105</v>
      </c>
      <c r="AE658" s="1" t="s">
        <v>181</v>
      </c>
      <c r="AG658" s="1" t="s">
        <v>893</v>
      </c>
      <c r="AH658" s="1" t="s">
        <v>157</v>
      </c>
      <c r="AI658" s="1" t="s">
        <v>379</v>
      </c>
      <c r="AK658" s="1" t="s">
        <v>86</v>
      </c>
      <c r="AL658" s="1" t="s">
        <v>87</v>
      </c>
      <c r="AM658" s="1">
        <v>1</v>
      </c>
      <c r="AN658" s="1">
        <v>0</v>
      </c>
      <c r="AO658" s="1">
        <f t="shared" si="84"/>
        <v>1</v>
      </c>
    </row>
    <row r="659" spans="1:41" x14ac:dyDescent="0.4">
      <c r="A659" s="1">
        <v>1</v>
      </c>
      <c r="B659" s="1">
        <v>3</v>
      </c>
      <c r="C659" s="1" t="s">
        <v>41</v>
      </c>
      <c r="D659" s="2">
        <v>38951</v>
      </c>
      <c r="E659" s="1">
        <v>234</v>
      </c>
      <c r="F659" s="1">
        <v>14</v>
      </c>
      <c r="G659" s="3">
        <v>0.54289351851851853</v>
      </c>
      <c r="H659" s="3">
        <v>0.54773148148148143</v>
      </c>
      <c r="I659" s="3">
        <v>4.8379629629629051E-3</v>
      </c>
      <c r="J659" s="3">
        <v>4.7337962962962221E-3</v>
      </c>
      <c r="K659" s="5">
        <f t="shared" si="83"/>
        <v>409</v>
      </c>
      <c r="L659" s="3">
        <v>1.9675925925926041E-3</v>
      </c>
      <c r="N659" s="1" t="s">
        <v>251</v>
      </c>
      <c r="O659" s="1" t="s">
        <v>286</v>
      </c>
      <c r="P659" s="1" t="s">
        <v>227</v>
      </c>
      <c r="Q659" s="1" t="s">
        <v>76</v>
      </c>
      <c r="R659" s="1" t="s">
        <v>132</v>
      </c>
      <c r="S659" s="1" t="s">
        <v>46</v>
      </c>
      <c r="T659" s="1" t="s">
        <v>47</v>
      </c>
      <c r="U659" s="1" t="s">
        <v>156</v>
      </c>
      <c r="V659" s="1" t="s">
        <v>49</v>
      </c>
      <c r="W659" s="1" t="s">
        <v>50</v>
      </c>
      <c r="X659" s="1" t="s">
        <v>405</v>
      </c>
      <c r="Y659" s="1" t="s">
        <v>406</v>
      </c>
      <c r="Z659" s="1" t="s">
        <v>407</v>
      </c>
      <c r="AA659" s="1" t="s">
        <v>408</v>
      </c>
      <c r="AB659" s="1" t="s">
        <v>409</v>
      </c>
      <c r="AC659" s="1">
        <v>0</v>
      </c>
      <c r="AD659" s="1" t="s">
        <v>105</v>
      </c>
      <c r="AE659" s="1" t="s">
        <v>181</v>
      </c>
      <c r="AF659" s="1" t="s">
        <v>113</v>
      </c>
      <c r="AG659" s="1" t="s">
        <v>894</v>
      </c>
      <c r="AH659" s="1" t="s">
        <v>59</v>
      </c>
      <c r="AI659" s="1" t="s">
        <v>255</v>
      </c>
      <c r="AK659" s="1" t="s">
        <v>116</v>
      </c>
      <c r="AL659" s="1" t="s">
        <v>174</v>
      </c>
      <c r="AM659" s="1">
        <v>1</v>
      </c>
      <c r="AN659" s="1">
        <v>0</v>
      </c>
      <c r="AO659" s="1">
        <f t="shared" si="84"/>
        <v>1</v>
      </c>
    </row>
    <row r="660" spans="1:41" x14ac:dyDescent="0.4">
      <c r="A660" s="1">
        <v>1</v>
      </c>
      <c r="B660" s="1">
        <v>3</v>
      </c>
      <c r="C660" s="1" t="s">
        <v>41</v>
      </c>
      <c r="D660" s="2">
        <v>38951</v>
      </c>
      <c r="E660" s="1">
        <v>234</v>
      </c>
      <c r="F660" s="1">
        <v>15</v>
      </c>
      <c r="G660" s="3">
        <v>0.54969907407407403</v>
      </c>
      <c r="H660" s="3">
        <v>0.55016203703703703</v>
      </c>
      <c r="I660" s="3">
        <v>4.6296296296299833E-4</v>
      </c>
      <c r="J660" s="3">
        <v>4.6296296296299833E-4</v>
      </c>
      <c r="K660" s="5">
        <f t="shared" si="83"/>
        <v>40</v>
      </c>
      <c r="L660" s="3">
        <v>8.9305555555555527E-2</v>
      </c>
      <c r="N660" s="1" t="s">
        <v>251</v>
      </c>
      <c r="O660" s="1" t="s">
        <v>286</v>
      </c>
      <c r="P660" s="1" t="s">
        <v>227</v>
      </c>
      <c r="Q660" s="1" t="s">
        <v>45</v>
      </c>
      <c r="R660" s="1" t="s">
        <v>76</v>
      </c>
      <c r="S660" s="1" t="s">
        <v>46</v>
      </c>
      <c r="T660" s="1" t="s">
        <v>45</v>
      </c>
      <c r="U660" s="1" t="s">
        <v>66</v>
      </c>
      <c r="V660" s="1" t="s">
        <v>49</v>
      </c>
      <c r="W660" s="1" t="s">
        <v>168</v>
      </c>
      <c r="X660" s="1" t="s">
        <v>877</v>
      </c>
      <c r="Y660" s="1" t="s">
        <v>878</v>
      </c>
      <c r="Z660" s="1" t="s">
        <v>879</v>
      </c>
      <c r="AA660" s="1" t="s">
        <v>880</v>
      </c>
      <c r="AB660" s="1" t="s">
        <v>881</v>
      </c>
      <c r="AC660" s="1">
        <v>0</v>
      </c>
      <c r="AD660" s="1" t="s">
        <v>56</v>
      </c>
      <c r="AE660" s="1" t="s">
        <v>83</v>
      </c>
      <c r="AG660" s="1" t="s">
        <v>895</v>
      </c>
      <c r="AH660" s="1" t="s">
        <v>59</v>
      </c>
      <c r="AI660" s="1" t="s">
        <v>257</v>
      </c>
      <c r="AK660" s="1" t="s">
        <v>86</v>
      </c>
      <c r="AL660" s="1" t="s">
        <v>133</v>
      </c>
      <c r="AM660" s="1">
        <v>1</v>
      </c>
      <c r="AN660" s="1">
        <v>0</v>
      </c>
      <c r="AO660" s="1">
        <f t="shared" si="84"/>
        <v>1</v>
      </c>
    </row>
    <row r="661" spans="1:41" x14ac:dyDescent="0.4">
      <c r="A661" s="1">
        <v>1</v>
      </c>
      <c r="B661" s="1">
        <v>3</v>
      </c>
      <c r="C661" s="1" t="s">
        <v>41</v>
      </c>
      <c r="D661" s="2">
        <v>38951</v>
      </c>
      <c r="E661" s="1">
        <v>234</v>
      </c>
      <c r="F661" s="1">
        <v>19</v>
      </c>
      <c r="G661" s="3">
        <v>0.63946759259259256</v>
      </c>
      <c r="H661" s="3">
        <v>0.64085648148148155</v>
      </c>
      <c r="I661" s="3">
        <v>1.388888888888995E-3</v>
      </c>
      <c r="J661" s="3">
        <v>8.333333333334636E-4</v>
      </c>
      <c r="K661" s="5">
        <f t="shared" si="83"/>
        <v>72</v>
      </c>
      <c r="L661" s="3">
        <v>6.2037037037036002E-3</v>
      </c>
      <c r="N661" s="1" t="s">
        <v>251</v>
      </c>
      <c r="O661" s="1" t="s">
        <v>286</v>
      </c>
      <c r="P661" s="1" t="s">
        <v>227</v>
      </c>
      <c r="Q661" s="1" t="s">
        <v>76</v>
      </c>
      <c r="R661" s="1" t="s">
        <v>76</v>
      </c>
      <c r="S661" s="1" t="s">
        <v>46</v>
      </c>
      <c r="T661" s="1" t="s">
        <v>191</v>
      </c>
      <c r="U661" s="1" t="s">
        <v>92</v>
      </c>
      <c r="V661" s="1" t="s">
        <v>67</v>
      </c>
      <c r="W661" s="1" t="s">
        <v>68</v>
      </c>
      <c r="X661" s="1" t="s">
        <v>371</v>
      </c>
      <c r="Y661" s="1" t="s">
        <v>303</v>
      </c>
      <c r="Z661" s="1" t="s">
        <v>304</v>
      </c>
      <c r="AA661" s="1" t="s">
        <v>372</v>
      </c>
      <c r="AB661" s="1" t="s">
        <v>373</v>
      </c>
      <c r="AC661" s="1">
        <v>0</v>
      </c>
      <c r="AD661" s="1" t="s">
        <v>68</v>
      </c>
      <c r="AE661" s="1" t="s">
        <v>70</v>
      </c>
      <c r="AF661" s="1" t="s">
        <v>213</v>
      </c>
      <c r="AG661" s="1" t="s">
        <v>896</v>
      </c>
      <c r="AH661" s="1" t="s">
        <v>157</v>
      </c>
      <c r="AI661" s="1" t="s">
        <v>253</v>
      </c>
      <c r="AK661" s="1" t="s">
        <v>61</v>
      </c>
      <c r="AL661" s="1" t="s">
        <v>61</v>
      </c>
      <c r="AM661" s="1">
        <v>1</v>
      </c>
      <c r="AN661" s="1">
        <v>0</v>
      </c>
      <c r="AO661" s="1">
        <f t="shared" si="84"/>
        <v>1</v>
      </c>
    </row>
    <row r="662" spans="1:41" x14ac:dyDescent="0.4">
      <c r="A662" s="1">
        <v>1</v>
      </c>
      <c r="B662" s="1">
        <v>3</v>
      </c>
      <c r="C662" s="1" t="s">
        <v>41</v>
      </c>
      <c r="D662" s="2">
        <v>38951</v>
      </c>
      <c r="E662" s="1">
        <v>234</v>
      </c>
      <c r="F662" s="1">
        <v>21</v>
      </c>
      <c r="G662" s="3">
        <v>0.64706018518518515</v>
      </c>
      <c r="H662" s="3">
        <v>0.64744212962962966</v>
      </c>
      <c r="I662" s="3">
        <v>3.8194444444450415E-4</v>
      </c>
      <c r="J662" s="3">
        <v>3.8194444444450415E-4</v>
      </c>
      <c r="K662" s="5">
        <f t="shared" si="83"/>
        <v>33</v>
      </c>
      <c r="L662" s="3">
        <v>1.6550925925925553E-3</v>
      </c>
      <c r="N662" s="1" t="s">
        <v>251</v>
      </c>
      <c r="O662" s="1" t="s">
        <v>286</v>
      </c>
      <c r="P662" s="1" t="s">
        <v>227</v>
      </c>
      <c r="Q662" s="1" t="s">
        <v>76</v>
      </c>
      <c r="R662" s="1" t="s">
        <v>191</v>
      </c>
      <c r="S662" s="1" t="s">
        <v>46</v>
      </c>
      <c r="T662" s="1" t="s">
        <v>191</v>
      </c>
      <c r="U662" s="1" t="s">
        <v>156</v>
      </c>
      <c r="X662" s="1" t="s">
        <v>313</v>
      </c>
      <c r="AB662" s="1" t="s">
        <v>93</v>
      </c>
      <c r="AC662" s="1">
        <v>1</v>
      </c>
      <c r="AD662" s="1" t="s">
        <v>56</v>
      </c>
      <c r="AG662" s="1" t="s">
        <v>897</v>
      </c>
      <c r="AH662" s="1" t="s">
        <v>157</v>
      </c>
      <c r="AI662" s="1" t="s">
        <v>255</v>
      </c>
      <c r="AK662" s="1" t="s">
        <v>86</v>
      </c>
      <c r="AL662" s="1" t="s">
        <v>87</v>
      </c>
      <c r="AM662" s="1">
        <v>3</v>
      </c>
      <c r="AN662" s="1">
        <v>0</v>
      </c>
      <c r="AO662" s="1">
        <f t="shared" si="84"/>
        <v>3</v>
      </c>
    </row>
    <row r="663" spans="1:41" x14ac:dyDescent="0.4">
      <c r="A663" s="1">
        <v>1</v>
      </c>
      <c r="B663" s="1">
        <v>3</v>
      </c>
      <c r="C663" s="1" t="s">
        <v>41</v>
      </c>
      <c r="D663" s="2">
        <v>38951</v>
      </c>
      <c r="E663" s="1">
        <v>234</v>
      </c>
      <c r="F663" s="1">
        <v>22</v>
      </c>
      <c r="G663" s="3">
        <v>0.64909722222222221</v>
      </c>
      <c r="H663" s="3">
        <v>0.64975694444444443</v>
      </c>
      <c r="I663" s="3">
        <v>6.5972222222221433E-4</v>
      </c>
      <c r="J663" s="3">
        <v>6.5972222222221433E-4</v>
      </c>
      <c r="K663" s="5">
        <f t="shared" si="83"/>
        <v>57</v>
      </c>
      <c r="L663" s="3">
        <v>7.1643518518519356E-3</v>
      </c>
      <c r="N663" s="1" t="s">
        <v>251</v>
      </c>
      <c r="O663" s="1" t="s">
        <v>286</v>
      </c>
      <c r="P663" s="1" t="s">
        <v>227</v>
      </c>
      <c r="Q663" s="1" t="s">
        <v>76</v>
      </c>
      <c r="R663" s="1" t="s">
        <v>76</v>
      </c>
      <c r="S663" s="1" t="s">
        <v>46</v>
      </c>
      <c r="T663" s="1" t="s">
        <v>45</v>
      </c>
      <c r="U663" s="1" t="s">
        <v>66</v>
      </c>
      <c r="V663" s="1" t="s">
        <v>102</v>
      </c>
      <c r="W663" s="1" t="s">
        <v>103</v>
      </c>
      <c r="X663" s="1" t="s">
        <v>96</v>
      </c>
      <c r="AB663" s="1" t="s">
        <v>104</v>
      </c>
      <c r="AC663" s="1">
        <v>0</v>
      </c>
      <c r="AD663" s="1" t="s">
        <v>56</v>
      </c>
      <c r="AE663" s="1" t="s">
        <v>70</v>
      </c>
      <c r="AG663" s="1" t="s">
        <v>897</v>
      </c>
      <c r="AH663" s="1" t="s">
        <v>157</v>
      </c>
      <c r="AI663" s="1" t="s">
        <v>257</v>
      </c>
      <c r="AK663" s="1" t="s">
        <v>86</v>
      </c>
      <c r="AL663" s="1" t="s">
        <v>87</v>
      </c>
      <c r="AM663" s="1">
        <v>3</v>
      </c>
      <c r="AN663" s="1">
        <v>0</v>
      </c>
      <c r="AO663" s="1">
        <f t="shared" si="84"/>
        <v>3</v>
      </c>
    </row>
    <row r="664" spans="1:41" x14ac:dyDescent="0.4">
      <c r="A664" s="1">
        <v>1</v>
      </c>
      <c r="B664" s="1">
        <v>3</v>
      </c>
      <c r="C664" s="1" t="s">
        <v>41</v>
      </c>
      <c r="D664" s="2">
        <v>38951</v>
      </c>
      <c r="E664" s="1">
        <v>234</v>
      </c>
      <c r="F664" s="1">
        <v>23</v>
      </c>
      <c r="G664" s="3">
        <v>0.65692129629629636</v>
      </c>
      <c r="H664" s="3">
        <v>0.66</v>
      </c>
      <c r="I664" s="3">
        <v>3.0787037037036669E-3</v>
      </c>
      <c r="J664" s="3">
        <v>1.6898148148147829E-3</v>
      </c>
      <c r="K664" s="5">
        <f t="shared" si="83"/>
        <v>146</v>
      </c>
      <c r="L664" s="3">
        <v>4.3750000000000178E-3</v>
      </c>
      <c r="N664" s="1" t="s">
        <v>251</v>
      </c>
      <c r="O664" s="1" t="s">
        <v>286</v>
      </c>
      <c r="P664" s="1" t="s">
        <v>227</v>
      </c>
      <c r="Q664" s="1" t="s">
        <v>76</v>
      </c>
      <c r="R664" s="1" t="s">
        <v>76</v>
      </c>
      <c r="S664" s="1" t="s">
        <v>46</v>
      </c>
      <c r="T664" s="1" t="s">
        <v>45</v>
      </c>
      <c r="U664" s="1" t="s">
        <v>156</v>
      </c>
      <c r="V664" s="1" t="s">
        <v>67</v>
      </c>
      <c r="W664" s="1" t="s">
        <v>68</v>
      </c>
      <c r="X664" s="1" t="s">
        <v>371</v>
      </c>
      <c r="Y664" s="1" t="s">
        <v>303</v>
      </c>
      <c r="Z664" s="1" t="s">
        <v>304</v>
      </c>
      <c r="AA664" s="1" t="s">
        <v>372</v>
      </c>
      <c r="AB664" s="1" t="s">
        <v>373</v>
      </c>
      <c r="AC664" s="1">
        <v>0</v>
      </c>
      <c r="AD664" s="1" t="s">
        <v>68</v>
      </c>
      <c r="AE664" s="1" t="s">
        <v>70</v>
      </c>
      <c r="AF664" s="1" t="s">
        <v>113</v>
      </c>
      <c r="AG664" s="1" t="s">
        <v>898</v>
      </c>
      <c r="AH664" s="1" t="s">
        <v>157</v>
      </c>
      <c r="AI664" s="1" t="s">
        <v>255</v>
      </c>
      <c r="AK664" s="1" t="s">
        <v>86</v>
      </c>
      <c r="AL664" s="1" t="s">
        <v>87</v>
      </c>
      <c r="AM664" s="1">
        <v>1</v>
      </c>
      <c r="AN664" s="1">
        <v>0</v>
      </c>
      <c r="AO664" s="1">
        <f t="shared" si="84"/>
        <v>1</v>
      </c>
    </row>
    <row r="665" spans="1:41" x14ac:dyDescent="0.4">
      <c r="A665" s="1">
        <v>1</v>
      </c>
      <c r="B665" s="1">
        <v>3</v>
      </c>
      <c r="C665" s="1" t="s">
        <v>41</v>
      </c>
      <c r="D665" s="2">
        <v>38951</v>
      </c>
      <c r="E665" s="1">
        <v>234</v>
      </c>
      <c r="F665" s="1">
        <v>24</v>
      </c>
      <c r="G665" s="3">
        <v>0.66437500000000005</v>
      </c>
      <c r="H665" s="3">
        <v>0.66519675925925925</v>
      </c>
      <c r="I665" s="3">
        <v>8.2175925925920268E-4</v>
      </c>
      <c r="J665" s="3">
        <v>8.2175925925920268E-4</v>
      </c>
      <c r="K665" s="5">
        <f t="shared" si="83"/>
        <v>71</v>
      </c>
      <c r="L665" s="3">
        <v>4.35185185185194E-3</v>
      </c>
      <c r="N665" s="1" t="s">
        <v>251</v>
      </c>
      <c r="O665" s="1" t="s">
        <v>286</v>
      </c>
      <c r="P665" s="1" t="s">
        <v>227</v>
      </c>
      <c r="Q665" s="1" t="s">
        <v>76</v>
      </c>
      <c r="R665" s="1" t="s">
        <v>76</v>
      </c>
      <c r="S665" s="1" t="s">
        <v>46</v>
      </c>
      <c r="T665" s="1" t="s">
        <v>45</v>
      </c>
      <c r="U665" s="1" t="s">
        <v>92</v>
      </c>
      <c r="V665" s="1" t="s">
        <v>102</v>
      </c>
      <c r="W665" s="1" t="s">
        <v>103</v>
      </c>
      <c r="X665" s="1" t="s">
        <v>683</v>
      </c>
      <c r="AB665" s="1" t="s">
        <v>104</v>
      </c>
      <c r="AC665" s="1">
        <v>0</v>
      </c>
      <c r="AD665" s="1" t="s">
        <v>105</v>
      </c>
      <c r="AE665" s="1" t="s">
        <v>181</v>
      </c>
      <c r="AH665" s="1" t="s">
        <v>157</v>
      </c>
      <c r="AI665" s="1" t="s">
        <v>253</v>
      </c>
      <c r="AK665" s="1" t="s">
        <v>86</v>
      </c>
      <c r="AL665" s="1" t="s">
        <v>87</v>
      </c>
      <c r="AN665" s="1">
        <v>1</v>
      </c>
      <c r="AO665" s="1">
        <f t="shared" si="84"/>
        <v>1</v>
      </c>
    </row>
    <row r="666" spans="1:41" x14ac:dyDescent="0.4">
      <c r="A666" s="1">
        <v>1</v>
      </c>
      <c r="B666" s="1">
        <v>3</v>
      </c>
      <c r="C666" s="1" t="s">
        <v>41</v>
      </c>
      <c r="D666" s="2">
        <v>38951</v>
      </c>
      <c r="E666" s="1">
        <v>234</v>
      </c>
      <c r="F666" s="1">
        <v>25</v>
      </c>
      <c r="G666" s="3">
        <v>0.66954861111111119</v>
      </c>
      <c r="H666" s="3">
        <v>0.67815972222222232</v>
      </c>
      <c r="I666" s="3">
        <v>8.6111111111111249E-3</v>
      </c>
      <c r="J666" s="3">
        <v>7.5578703703704786E-3</v>
      </c>
      <c r="K666" s="5">
        <f t="shared" si="83"/>
        <v>653</v>
      </c>
      <c r="L666" s="3">
        <v>4.3865740740739456E-3</v>
      </c>
      <c r="N666" s="1" t="s">
        <v>251</v>
      </c>
      <c r="O666" s="1" t="s">
        <v>286</v>
      </c>
      <c r="P666" s="1" t="s">
        <v>227</v>
      </c>
      <c r="Q666" s="1" t="s">
        <v>76</v>
      </c>
      <c r="R666" s="1" t="s">
        <v>76</v>
      </c>
      <c r="S666" s="1" t="s">
        <v>46</v>
      </c>
      <c r="T666" s="1" t="s">
        <v>47</v>
      </c>
      <c r="U666" s="1" t="s">
        <v>66</v>
      </c>
      <c r="V666" s="1" t="s">
        <v>49</v>
      </c>
      <c r="W666" s="1" t="s">
        <v>50</v>
      </c>
      <c r="X666" s="1" t="s">
        <v>96</v>
      </c>
      <c r="Y666" s="1" t="s">
        <v>52</v>
      </c>
      <c r="Z666" s="1" t="s">
        <v>53</v>
      </c>
      <c r="AA666" s="1" t="s">
        <v>731</v>
      </c>
      <c r="AB666" s="1" t="s">
        <v>732</v>
      </c>
      <c r="AC666" s="1">
        <v>0</v>
      </c>
      <c r="AD666" s="1" t="s">
        <v>56</v>
      </c>
      <c r="AE666" s="1" t="s">
        <v>70</v>
      </c>
      <c r="AF666" s="1" t="s">
        <v>113</v>
      </c>
      <c r="AG666" s="1" t="s">
        <v>899</v>
      </c>
      <c r="AH666" s="1" t="s">
        <v>59</v>
      </c>
      <c r="AI666" s="1" t="s">
        <v>257</v>
      </c>
      <c r="AK666" s="1" t="s">
        <v>86</v>
      </c>
      <c r="AL666" s="1" t="s">
        <v>87</v>
      </c>
      <c r="AM666" s="1">
        <v>1</v>
      </c>
      <c r="AN666" s="1">
        <v>0</v>
      </c>
      <c r="AO666" s="1">
        <f t="shared" si="84"/>
        <v>1</v>
      </c>
    </row>
    <row r="667" spans="1:41" x14ac:dyDescent="0.4">
      <c r="A667" s="1">
        <v>1</v>
      </c>
      <c r="B667" s="1">
        <v>3</v>
      </c>
      <c r="C667" s="1" t="s">
        <v>41</v>
      </c>
      <c r="D667" s="2">
        <v>38951</v>
      </c>
      <c r="E667" s="1">
        <v>234</v>
      </c>
      <c r="F667" s="1">
        <v>26</v>
      </c>
      <c r="G667" s="3">
        <v>0.68254629629629626</v>
      </c>
      <c r="H667" s="3">
        <v>0.68401620370370375</v>
      </c>
      <c r="I667" s="3">
        <v>1.4699074074074892E-3</v>
      </c>
      <c r="J667" s="3">
        <v>1.4699074074074892E-3</v>
      </c>
      <c r="K667" s="5">
        <f t="shared" si="83"/>
        <v>127</v>
      </c>
      <c r="L667" s="3">
        <v>2.1874999999998979E-3</v>
      </c>
      <c r="N667" s="1" t="s">
        <v>251</v>
      </c>
      <c r="O667" s="1" t="s">
        <v>286</v>
      </c>
      <c r="P667" s="1" t="s">
        <v>227</v>
      </c>
      <c r="Q667" s="1" t="s">
        <v>76</v>
      </c>
      <c r="R667" s="1" t="s">
        <v>76</v>
      </c>
      <c r="S667" s="1" t="s">
        <v>46</v>
      </c>
      <c r="T667" s="1" t="s">
        <v>45</v>
      </c>
      <c r="U667" s="1" t="s">
        <v>66</v>
      </c>
      <c r="V667" s="1" t="s">
        <v>49</v>
      </c>
      <c r="W667" s="1" t="s">
        <v>233</v>
      </c>
      <c r="X667" s="1" t="s">
        <v>783</v>
      </c>
      <c r="Y667" s="1" t="s">
        <v>725</v>
      </c>
      <c r="Z667" s="1" t="s">
        <v>726</v>
      </c>
      <c r="AA667" s="1" t="s">
        <v>784</v>
      </c>
      <c r="AB667" s="1" t="s">
        <v>785</v>
      </c>
      <c r="AC667" s="1">
        <v>0</v>
      </c>
      <c r="AD667" s="1" t="s">
        <v>56</v>
      </c>
      <c r="AE667" s="1" t="s">
        <v>83</v>
      </c>
      <c r="AF667" s="1" t="s">
        <v>213</v>
      </c>
      <c r="AG667" s="1" t="s">
        <v>815</v>
      </c>
      <c r="AH667" s="1" t="s">
        <v>206</v>
      </c>
      <c r="AI667" s="1" t="s">
        <v>257</v>
      </c>
      <c r="AK667" s="1" t="s">
        <v>116</v>
      </c>
      <c r="AL667" s="1" t="s">
        <v>117</v>
      </c>
      <c r="AM667" s="1">
        <v>10</v>
      </c>
      <c r="AN667" s="1">
        <v>0</v>
      </c>
      <c r="AO667" s="1">
        <f t="shared" si="84"/>
        <v>10</v>
      </c>
    </row>
    <row r="668" spans="1:41" x14ac:dyDescent="0.4">
      <c r="A668" s="1">
        <v>1</v>
      </c>
      <c r="B668" s="1">
        <v>3</v>
      </c>
      <c r="C668" s="1" t="s">
        <v>41</v>
      </c>
      <c r="D668" s="2">
        <v>38951</v>
      </c>
      <c r="E668" s="1">
        <v>234</v>
      </c>
      <c r="F668" s="1">
        <v>27</v>
      </c>
      <c r="G668" s="3">
        <v>0.68620370370370365</v>
      </c>
      <c r="H668" s="3">
        <v>0.68981481481481488</v>
      </c>
      <c r="I668" s="3">
        <v>3.6111111111112315E-3</v>
      </c>
      <c r="J668" s="3">
        <v>3.6111111111112315E-3</v>
      </c>
      <c r="K668" s="5">
        <f t="shared" si="83"/>
        <v>312</v>
      </c>
      <c r="L668" s="3" t="s">
        <v>120</v>
      </c>
      <c r="N668" s="1" t="s">
        <v>251</v>
      </c>
      <c r="O668" s="1" t="s">
        <v>286</v>
      </c>
      <c r="P668" s="1" t="s">
        <v>227</v>
      </c>
      <c r="Q668" s="1" t="s">
        <v>76</v>
      </c>
      <c r="R668" s="1" t="s">
        <v>76</v>
      </c>
      <c r="S668" s="1" t="s">
        <v>46</v>
      </c>
      <c r="T668" s="1" t="s">
        <v>76</v>
      </c>
      <c r="U668" s="1" t="s">
        <v>66</v>
      </c>
      <c r="V668" s="1" t="s">
        <v>102</v>
      </c>
      <c r="W668" s="1" t="s">
        <v>103</v>
      </c>
      <c r="X668" s="1" t="s">
        <v>275</v>
      </c>
      <c r="Y668" s="1" t="s">
        <v>52</v>
      </c>
      <c r="Z668" s="1" t="s">
        <v>325</v>
      </c>
      <c r="AA668" s="1" t="s">
        <v>326</v>
      </c>
      <c r="AB668" s="1" t="s">
        <v>327</v>
      </c>
      <c r="AC668" s="1">
        <v>0</v>
      </c>
      <c r="AD668" s="1" t="s">
        <v>56</v>
      </c>
      <c r="AE668" s="1" t="s">
        <v>57</v>
      </c>
      <c r="AF668" s="1" t="s">
        <v>84</v>
      </c>
      <c r="AG668" s="1" t="s">
        <v>900</v>
      </c>
      <c r="AH668" s="1" t="s">
        <v>157</v>
      </c>
      <c r="AI668" s="1" t="s">
        <v>257</v>
      </c>
      <c r="AK668" s="1" t="s">
        <v>116</v>
      </c>
      <c r="AL668" s="1" t="s">
        <v>117</v>
      </c>
      <c r="AM668" s="1">
        <v>1</v>
      </c>
      <c r="AN668" s="1">
        <v>0</v>
      </c>
      <c r="AO668" s="1">
        <f t="shared" si="84"/>
        <v>1</v>
      </c>
    </row>
    <row r="669" spans="1:41" x14ac:dyDescent="0.4">
      <c r="A669" s="1">
        <v>1</v>
      </c>
      <c r="B669" s="1">
        <v>3</v>
      </c>
      <c r="C669" s="1" t="s">
        <v>41</v>
      </c>
      <c r="D669" s="2">
        <v>38974</v>
      </c>
      <c r="E669" s="1">
        <v>257</v>
      </c>
      <c r="F669" s="1">
        <v>1</v>
      </c>
      <c r="G669" s="3">
        <v>0.27707175925925925</v>
      </c>
      <c r="H669" s="3">
        <v>0.29177083333333337</v>
      </c>
      <c r="I669" s="3">
        <v>1.4699074074074114E-2</v>
      </c>
      <c r="J669" s="3">
        <v>1.4699074074074114E-2</v>
      </c>
      <c r="K669" s="5">
        <f t="shared" si="83"/>
        <v>1270</v>
      </c>
      <c r="L669" s="3">
        <v>2.3379629629629584E-2</v>
      </c>
      <c r="N669" s="1" t="s">
        <v>42</v>
      </c>
      <c r="O669" s="1" t="s">
        <v>286</v>
      </c>
      <c r="P669" s="1" t="s">
        <v>227</v>
      </c>
      <c r="Q669" s="1" t="s">
        <v>76</v>
      </c>
      <c r="R669" s="1" t="s">
        <v>76</v>
      </c>
      <c r="S669" s="1" t="s">
        <v>46</v>
      </c>
      <c r="T669" s="1" t="s">
        <v>124</v>
      </c>
      <c r="U669" s="1" t="s">
        <v>66</v>
      </c>
      <c r="V669" s="1" t="s">
        <v>49</v>
      </c>
      <c r="W669" s="1" t="s">
        <v>77</v>
      </c>
      <c r="X669" s="1" t="s">
        <v>259</v>
      </c>
      <c r="Y669" s="1" t="s">
        <v>126</v>
      </c>
      <c r="Z669" s="1" t="s">
        <v>618</v>
      </c>
      <c r="AA669" s="1" t="s">
        <v>619</v>
      </c>
      <c r="AB669" s="1" t="s">
        <v>620</v>
      </c>
      <c r="AC669" s="1">
        <v>0</v>
      </c>
      <c r="AD669" s="1" t="s">
        <v>56</v>
      </c>
      <c r="AE669" s="1" t="s">
        <v>83</v>
      </c>
      <c r="AF669" s="1" t="s">
        <v>84</v>
      </c>
      <c r="AG669" s="1" t="s">
        <v>901</v>
      </c>
      <c r="AI669" s="1" t="s">
        <v>71</v>
      </c>
      <c r="AK669" s="1" t="s">
        <v>116</v>
      </c>
      <c r="AL669" s="1" t="s">
        <v>174</v>
      </c>
      <c r="AM669" s="1">
        <v>1</v>
      </c>
      <c r="AN669" s="1">
        <v>0</v>
      </c>
      <c r="AO669" s="1">
        <f t="shared" si="84"/>
        <v>1</v>
      </c>
    </row>
    <row r="670" spans="1:41" x14ac:dyDescent="0.4">
      <c r="A670" s="1">
        <v>1</v>
      </c>
      <c r="B670" s="1">
        <v>3</v>
      </c>
      <c r="C670" s="1" t="s">
        <v>41</v>
      </c>
      <c r="D670" s="2">
        <v>38974</v>
      </c>
      <c r="E670" s="1">
        <v>257</v>
      </c>
      <c r="F670" s="1">
        <v>1.5</v>
      </c>
      <c r="G670" s="3">
        <v>0.31515046296296295</v>
      </c>
      <c r="H670" s="3">
        <v>0.31594907407407408</v>
      </c>
      <c r="I670" s="3">
        <v>7.9861111111112493E-4</v>
      </c>
      <c r="J670" s="3">
        <v>5.2083333333330373E-4</v>
      </c>
      <c r="K670" s="5">
        <f t="shared" si="83"/>
        <v>45</v>
      </c>
      <c r="L670" s="3">
        <v>8.4722222222222143E-3</v>
      </c>
      <c r="N670" s="1" t="s">
        <v>42</v>
      </c>
      <c r="O670" s="1" t="s">
        <v>286</v>
      </c>
      <c r="P670" s="1" t="s">
        <v>227</v>
      </c>
      <c r="Q670" s="1" t="s">
        <v>76</v>
      </c>
      <c r="R670" s="1" t="s">
        <v>76</v>
      </c>
      <c r="S670" s="1" t="s">
        <v>46</v>
      </c>
      <c r="T670" s="1" t="s">
        <v>47</v>
      </c>
      <c r="U670" s="1" t="s">
        <v>156</v>
      </c>
      <c r="V670" s="1" t="s">
        <v>67</v>
      </c>
      <c r="W670" s="1" t="s">
        <v>68</v>
      </c>
      <c r="Y670" s="1" t="s">
        <v>68</v>
      </c>
      <c r="AB670" s="1" t="s">
        <v>69</v>
      </c>
      <c r="AC670" s="1">
        <v>0</v>
      </c>
      <c r="AD670" s="1" t="s">
        <v>68</v>
      </c>
      <c r="AE670" s="1" t="s">
        <v>70</v>
      </c>
      <c r="AF670" s="1" t="s">
        <v>163</v>
      </c>
      <c r="AG670" s="1" t="s">
        <v>808</v>
      </c>
      <c r="AI670" s="1" t="s">
        <v>75</v>
      </c>
      <c r="AK670" s="1" t="s">
        <v>381</v>
      </c>
      <c r="AL670" s="1" t="s">
        <v>382</v>
      </c>
      <c r="AM670" s="1">
        <v>2</v>
      </c>
      <c r="AN670" s="1">
        <v>0</v>
      </c>
      <c r="AO670" s="1">
        <f t="shared" si="84"/>
        <v>2</v>
      </c>
    </row>
    <row r="671" spans="1:41" x14ac:dyDescent="0.4">
      <c r="A671" s="1">
        <v>1</v>
      </c>
      <c r="B671" s="1">
        <v>3</v>
      </c>
      <c r="C671" s="1" t="s">
        <v>41</v>
      </c>
      <c r="D671" s="2">
        <v>38974</v>
      </c>
      <c r="E671" s="1">
        <v>257</v>
      </c>
      <c r="F671" s="1">
        <v>1.7</v>
      </c>
      <c r="G671" s="3">
        <v>0.32442129629629629</v>
      </c>
      <c r="H671" s="3">
        <v>0.32447916666666665</v>
      </c>
      <c r="I671" s="3">
        <v>5.7870370370360913E-5</v>
      </c>
      <c r="J671" s="3">
        <v>5.7870370370360913E-5</v>
      </c>
      <c r="K671" s="5">
        <f t="shared" si="83"/>
        <v>5</v>
      </c>
      <c r="L671" s="3">
        <v>5.187500000000006E-2</v>
      </c>
      <c r="N671" s="1" t="s">
        <v>42</v>
      </c>
      <c r="O671" s="1" t="s">
        <v>286</v>
      </c>
      <c r="P671" s="1" t="s">
        <v>227</v>
      </c>
      <c r="Q671" s="1" t="s">
        <v>45</v>
      </c>
      <c r="R671" s="1" t="s">
        <v>91</v>
      </c>
      <c r="S671" s="1" t="s">
        <v>46</v>
      </c>
      <c r="T671" s="1" t="s">
        <v>47</v>
      </c>
      <c r="U671" s="1" t="s">
        <v>156</v>
      </c>
      <c r="AB671" s="1" t="s">
        <v>93</v>
      </c>
      <c r="AC671" s="1">
        <v>1</v>
      </c>
      <c r="AI671" s="1" t="s">
        <v>75</v>
      </c>
      <c r="AK671" s="1" t="s">
        <v>86</v>
      </c>
      <c r="AL671" s="1" t="s">
        <v>87</v>
      </c>
      <c r="AN671" s="1">
        <v>1</v>
      </c>
      <c r="AO671" s="1">
        <f t="shared" si="84"/>
        <v>1</v>
      </c>
    </row>
    <row r="672" spans="1:41" x14ac:dyDescent="0.4">
      <c r="A672" s="1">
        <v>1</v>
      </c>
      <c r="B672" s="1">
        <v>3</v>
      </c>
      <c r="C672" s="1" t="s">
        <v>41</v>
      </c>
      <c r="D672" s="2">
        <v>38974</v>
      </c>
      <c r="E672" s="1">
        <v>257</v>
      </c>
      <c r="F672" s="1">
        <v>2</v>
      </c>
      <c r="G672" s="3">
        <v>0.37635416666666671</v>
      </c>
      <c r="H672" s="3">
        <v>0.38256944444444446</v>
      </c>
      <c r="I672" s="3">
        <v>6.2152777777777501E-3</v>
      </c>
      <c r="J672" s="3">
        <v>6.2152777777777501E-3</v>
      </c>
      <c r="K672" s="5">
        <f t="shared" si="83"/>
        <v>537</v>
      </c>
      <c r="L672" s="3">
        <v>1.4467592592591894E-3</v>
      </c>
      <c r="N672" s="1" t="s">
        <v>251</v>
      </c>
      <c r="O672" s="1" t="s">
        <v>286</v>
      </c>
      <c r="P672" s="1" t="s">
        <v>227</v>
      </c>
      <c r="Q672" s="1" t="s">
        <v>76</v>
      </c>
      <c r="R672" s="1" t="s">
        <v>76</v>
      </c>
      <c r="S672" s="1" t="s">
        <v>46</v>
      </c>
      <c r="T672" s="1" t="s">
        <v>47</v>
      </c>
      <c r="U672" s="1" t="s">
        <v>66</v>
      </c>
      <c r="V672" s="1" t="s">
        <v>49</v>
      </c>
      <c r="W672" s="1" t="s">
        <v>50</v>
      </c>
      <c r="X672" s="1" t="s">
        <v>902</v>
      </c>
      <c r="Y672" s="1" t="s">
        <v>665</v>
      </c>
      <c r="Z672" s="1" t="s">
        <v>666</v>
      </c>
      <c r="AA672" s="1" t="s">
        <v>903</v>
      </c>
      <c r="AB672" s="1" t="s">
        <v>904</v>
      </c>
      <c r="AC672" s="1">
        <v>0</v>
      </c>
      <c r="AD672" s="1" t="s">
        <v>56</v>
      </c>
      <c r="AE672" s="1" t="s">
        <v>181</v>
      </c>
      <c r="AF672" s="1" t="s">
        <v>113</v>
      </c>
      <c r="AG672" s="1" t="s">
        <v>905</v>
      </c>
      <c r="AH672" s="1" t="s">
        <v>59</v>
      </c>
      <c r="AI672" s="1" t="s">
        <v>257</v>
      </c>
      <c r="AK672" s="1" t="s">
        <v>116</v>
      </c>
      <c r="AL672" s="1" t="s">
        <v>155</v>
      </c>
      <c r="AM672" s="1">
        <v>2</v>
      </c>
      <c r="AN672" s="1">
        <v>0</v>
      </c>
      <c r="AO672" s="1">
        <f t="shared" si="84"/>
        <v>2</v>
      </c>
    </row>
    <row r="673" spans="1:41" x14ac:dyDescent="0.4">
      <c r="A673" s="1">
        <v>1</v>
      </c>
      <c r="B673" s="1">
        <v>3</v>
      </c>
      <c r="C673" s="1" t="s">
        <v>41</v>
      </c>
      <c r="D673" s="2">
        <v>38974</v>
      </c>
      <c r="E673" s="1">
        <v>257</v>
      </c>
      <c r="F673" s="1">
        <v>2.5</v>
      </c>
      <c r="G673" s="3">
        <v>0.38401620370370365</v>
      </c>
      <c r="H673" s="3">
        <v>0.38444444444444442</v>
      </c>
      <c r="I673" s="3">
        <v>4.2824074074077068E-4</v>
      </c>
      <c r="J673" s="3">
        <v>1.8518518518517713E-4</v>
      </c>
      <c r="K673" s="5">
        <f t="shared" si="83"/>
        <v>16</v>
      </c>
      <c r="L673" s="3">
        <v>1.7939814814815214E-3</v>
      </c>
      <c r="N673" s="1" t="s">
        <v>251</v>
      </c>
      <c r="O673" s="1" t="s">
        <v>286</v>
      </c>
      <c r="P673" s="1" t="s">
        <v>227</v>
      </c>
      <c r="Q673" s="1" t="s">
        <v>76</v>
      </c>
      <c r="R673" s="1" t="s">
        <v>76</v>
      </c>
      <c r="S673" s="1" t="s">
        <v>46</v>
      </c>
      <c r="AB673" s="1" t="s">
        <v>93</v>
      </c>
      <c r="AC673" s="1">
        <v>1</v>
      </c>
      <c r="AK673" s="1" t="s">
        <v>61</v>
      </c>
      <c r="AL673" s="1" t="s">
        <v>133</v>
      </c>
      <c r="AN673" s="1">
        <v>1</v>
      </c>
      <c r="AO673" s="1">
        <f t="shared" si="84"/>
        <v>1</v>
      </c>
    </row>
    <row r="674" spans="1:41" x14ac:dyDescent="0.4">
      <c r="A674" s="1">
        <v>1</v>
      </c>
      <c r="B674" s="1">
        <v>3</v>
      </c>
      <c r="C674" s="1" t="s">
        <v>41</v>
      </c>
      <c r="D674" s="2">
        <v>38974</v>
      </c>
      <c r="E674" s="1">
        <v>257</v>
      </c>
      <c r="F674" s="1">
        <v>3</v>
      </c>
      <c r="G674" s="3">
        <v>0.38623842592592594</v>
      </c>
      <c r="H674" s="3">
        <v>0.38663194444444443</v>
      </c>
      <c r="I674" s="3">
        <v>3.9351851851848751E-4</v>
      </c>
      <c r="J674" s="3">
        <v>3.9351851851848751E-4</v>
      </c>
      <c r="K674" s="5">
        <f t="shared" si="83"/>
        <v>34</v>
      </c>
      <c r="L674" s="3">
        <v>1.743055555555556E-2</v>
      </c>
      <c r="N674" s="1" t="s">
        <v>251</v>
      </c>
      <c r="O674" s="1" t="s">
        <v>286</v>
      </c>
      <c r="P674" s="1" t="s">
        <v>227</v>
      </c>
      <c r="Q674" s="1" t="s">
        <v>76</v>
      </c>
      <c r="R674" s="1" t="s">
        <v>76</v>
      </c>
      <c r="S674" s="1" t="s">
        <v>46</v>
      </c>
      <c r="T674" s="1" t="s">
        <v>45</v>
      </c>
      <c r="U674" s="1" t="s">
        <v>156</v>
      </c>
      <c r="V674" s="1" t="s">
        <v>102</v>
      </c>
      <c r="W674" s="1" t="s">
        <v>103</v>
      </c>
      <c r="X674" s="1" t="s">
        <v>96</v>
      </c>
      <c r="AB674" s="1" t="s">
        <v>104</v>
      </c>
      <c r="AC674" s="1">
        <v>0</v>
      </c>
      <c r="AD674" s="1" t="s">
        <v>105</v>
      </c>
      <c r="AE674" s="1" t="s">
        <v>70</v>
      </c>
      <c r="AH674" s="1" t="s">
        <v>157</v>
      </c>
      <c r="AI674" s="1" t="s">
        <v>255</v>
      </c>
      <c r="AK674" s="1" t="s">
        <v>61</v>
      </c>
      <c r="AL674" s="1" t="s">
        <v>61</v>
      </c>
      <c r="AN674" s="1">
        <v>1</v>
      </c>
      <c r="AO674" s="1">
        <f t="shared" si="84"/>
        <v>1</v>
      </c>
    </row>
    <row r="675" spans="1:41" x14ac:dyDescent="0.4">
      <c r="A675" s="1">
        <v>1</v>
      </c>
      <c r="B675" s="1">
        <v>3</v>
      </c>
      <c r="C675" s="1" t="s">
        <v>41</v>
      </c>
      <c r="D675" s="2">
        <v>38974</v>
      </c>
      <c r="E675" s="1">
        <v>257</v>
      </c>
      <c r="F675" s="1">
        <v>3.5</v>
      </c>
      <c r="G675" s="3">
        <v>0.40406249999999999</v>
      </c>
      <c r="H675" s="3">
        <v>0.40518518518518515</v>
      </c>
      <c r="I675" s="3">
        <v>1.1226851851851571E-3</v>
      </c>
      <c r="J675" s="3">
        <v>1.0995370370370239E-3</v>
      </c>
      <c r="K675" s="5">
        <f t="shared" si="83"/>
        <v>95</v>
      </c>
      <c r="L675" s="3">
        <v>6.9907407407407418E-3</v>
      </c>
      <c r="N675" s="1" t="s">
        <v>42</v>
      </c>
      <c r="O675" s="1" t="s">
        <v>286</v>
      </c>
      <c r="P675" s="1" t="s">
        <v>227</v>
      </c>
      <c r="Q675" s="1" t="s">
        <v>132</v>
      </c>
      <c r="R675" s="1" t="s">
        <v>76</v>
      </c>
      <c r="S675" s="1" t="s">
        <v>46</v>
      </c>
      <c r="T675" s="1" t="s">
        <v>76</v>
      </c>
      <c r="U675" s="1" t="s">
        <v>156</v>
      </c>
      <c r="AB675" s="1" t="s">
        <v>93</v>
      </c>
      <c r="AC675" s="1">
        <v>1</v>
      </c>
      <c r="AI675" s="1" t="s">
        <v>75</v>
      </c>
      <c r="AK675" s="1" t="s">
        <v>86</v>
      </c>
      <c r="AL675" s="1" t="s">
        <v>187</v>
      </c>
      <c r="AN675" s="1">
        <v>1</v>
      </c>
      <c r="AO675" s="1">
        <f t="shared" si="84"/>
        <v>1</v>
      </c>
    </row>
    <row r="676" spans="1:41" x14ac:dyDescent="0.4">
      <c r="A676" s="1">
        <v>1</v>
      </c>
      <c r="B676" s="1">
        <v>3</v>
      </c>
      <c r="C676" s="1" t="s">
        <v>41</v>
      </c>
      <c r="D676" s="2">
        <v>38974</v>
      </c>
      <c r="E676" s="1">
        <v>257</v>
      </c>
      <c r="F676" s="1">
        <v>3.7</v>
      </c>
      <c r="G676" s="3">
        <v>0.41217592592592589</v>
      </c>
      <c r="H676" s="3">
        <v>0.41253472222222221</v>
      </c>
      <c r="I676" s="3">
        <v>3.5879629629631538E-4</v>
      </c>
      <c r="J676" s="3">
        <v>8.1018518518605198E-5</v>
      </c>
      <c r="K676" s="5">
        <f t="shared" si="83"/>
        <v>7</v>
      </c>
      <c r="L676" s="3">
        <v>1.237268518518525E-2</v>
      </c>
      <c r="N676" s="1" t="s">
        <v>42</v>
      </c>
      <c r="O676" s="1" t="s">
        <v>286</v>
      </c>
      <c r="P676" s="1" t="s">
        <v>227</v>
      </c>
      <c r="Q676" s="1" t="s">
        <v>132</v>
      </c>
      <c r="R676" s="1" t="s">
        <v>76</v>
      </c>
      <c r="S676" s="1" t="s">
        <v>46</v>
      </c>
      <c r="T676" s="1" t="s">
        <v>76</v>
      </c>
      <c r="U676" s="1" t="s">
        <v>156</v>
      </c>
      <c r="AB676" s="1" t="s">
        <v>93</v>
      </c>
      <c r="AC676" s="1">
        <v>1</v>
      </c>
      <c r="AI676" s="1" t="s">
        <v>75</v>
      </c>
      <c r="AK676" s="1" t="s">
        <v>86</v>
      </c>
      <c r="AL676" s="1" t="s">
        <v>133</v>
      </c>
      <c r="AN676" s="1">
        <v>1</v>
      </c>
      <c r="AO676" s="1">
        <f t="shared" si="84"/>
        <v>1</v>
      </c>
    </row>
    <row r="677" spans="1:41" x14ac:dyDescent="0.4">
      <c r="A677" s="1">
        <v>1</v>
      </c>
      <c r="B677" s="1">
        <v>3</v>
      </c>
      <c r="C677" s="1" t="s">
        <v>41</v>
      </c>
      <c r="D677" s="2">
        <v>38974</v>
      </c>
      <c r="E677" s="1">
        <v>257</v>
      </c>
      <c r="F677" s="1">
        <v>4</v>
      </c>
      <c r="G677" s="3">
        <v>0.42490740740740746</v>
      </c>
      <c r="H677" s="3">
        <v>0.426875</v>
      </c>
      <c r="I677" s="3">
        <v>1.9675925925925486E-3</v>
      </c>
      <c r="J677" s="3">
        <v>1.9675925925925486E-3</v>
      </c>
      <c r="K677" s="5">
        <f t="shared" si="83"/>
        <v>170</v>
      </c>
      <c r="L677" s="3">
        <v>3.5185185185185319E-3</v>
      </c>
      <c r="N677" s="1" t="s">
        <v>42</v>
      </c>
      <c r="O677" s="1" t="s">
        <v>286</v>
      </c>
      <c r="P677" s="1" t="s">
        <v>227</v>
      </c>
      <c r="Q677" s="1" t="s">
        <v>76</v>
      </c>
      <c r="R677" s="1" t="s">
        <v>191</v>
      </c>
      <c r="S677" s="1" t="s">
        <v>46</v>
      </c>
      <c r="T677" s="1" t="s">
        <v>47</v>
      </c>
      <c r="U677" s="1" t="s">
        <v>48</v>
      </c>
      <c r="V677" s="1" t="s">
        <v>49</v>
      </c>
      <c r="W677" s="1" t="s">
        <v>233</v>
      </c>
      <c r="X677" s="1" t="s">
        <v>906</v>
      </c>
      <c r="Y677" s="1" t="s">
        <v>235</v>
      </c>
      <c r="Z677" s="1" t="s">
        <v>236</v>
      </c>
      <c r="AA677" s="1" t="s">
        <v>221</v>
      </c>
      <c r="AB677" s="1" t="s">
        <v>237</v>
      </c>
      <c r="AC677" s="1">
        <v>0</v>
      </c>
      <c r="AD677" s="1" t="s">
        <v>56</v>
      </c>
      <c r="AE677" s="1" t="s">
        <v>57</v>
      </c>
      <c r="AF677" s="1" t="s">
        <v>153</v>
      </c>
      <c r="AG677" s="1" t="s">
        <v>864</v>
      </c>
      <c r="AH677" s="1" t="s">
        <v>206</v>
      </c>
      <c r="AI677" s="1" t="s">
        <v>60</v>
      </c>
      <c r="AK677" s="1" t="s">
        <v>61</v>
      </c>
      <c r="AL677" s="1" t="s">
        <v>61</v>
      </c>
      <c r="AM677" s="1">
        <v>5</v>
      </c>
      <c r="AN677" s="1">
        <v>0</v>
      </c>
      <c r="AO677" s="1">
        <f t="shared" si="84"/>
        <v>5</v>
      </c>
    </row>
    <row r="678" spans="1:41" x14ac:dyDescent="0.4">
      <c r="A678" s="1">
        <v>1</v>
      </c>
      <c r="B678" s="1">
        <v>3</v>
      </c>
      <c r="C678" s="1" t="s">
        <v>41</v>
      </c>
      <c r="D678" s="2">
        <v>38974</v>
      </c>
      <c r="E678" s="1">
        <v>257</v>
      </c>
      <c r="F678" s="1">
        <v>4.2</v>
      </c>
      <c r="G678" s="3">
        <v>0.43039351851851854</v>
      </c>
      <c r="H678" s="3">
        <v>0.43042824074074071</v>
      </c>
      <c r="I678" s="3">
        <v>3.4722222222172139E-5</v>
      </c>
      <c r="J678" s="3">
        <v>3.4722222222172139E-5</v>
      </c>
      <c r="K678" s="5">
        <f t="shared" si="83"/>
        <v>3</v>
      </c>
      <c r="L678" s="3">
        <v>2.974537037037045E-2</v>
      </c>
      <c r="N678" s="1" t="s">
        <v>42</v>
      </c>
      <c r="O678" s="1" t="s">
        <v>286</v>
      </c>
      <c r="P678" s="1" t="s">
        <v>227</v>
      </c>
      <c r="Q678" s="1" t="s">
        <v>76</v>
      </c>
      <c r="R678" s="1" t="s">
        <v>76</v>
      </c>
      <c r="S678" s="1" t="s">
        <v>46</v>
      </c>
      <c r="AB678" s="1" t="s">
        <v>93</v>
      </c>
      <c r="AC678" s="1">
        <v>1</v>
      </c>
      <c r="AK678" s="1" t="s">
        <v>61</v>
      </c>
      <c r="AL678" s="1" t="s">
        <v>61</v>
      </c>
      <c r="AN678" s="1">
        <v>1</v>
      </c>
      <c r="AO678" s="1">
        <f t="shared" si="84"/>
        <v>1</v>
      </c>
    </row>
    <row r="679" spans="1:41" x14ac:dyDescent="0.4">
      <c r="A679" s="1">
        <v>1</v>
      </c>
      <c r="B679" s="1">
        <v>3</v>
      </c>
      <c r="C679" s="1" t="s">
        <v>41</v>
      </c>
      <c r="D679" s="2">
        <v>38974</v>
      </c>
      <c r="E679" s="1">
        <v>257</v>
      </c>
      <c r="F679" s="1">
        <v>4.5</v>
      </c>
      <c r="G679" s="3">
        <v>0.46017361111111116</v>
      </c>
      <c r="H679" s="3">
        <v>0.46494212962962966</v>
      </c>
      <c r="I679" s="3">
        <v>4.7685185185185053E-3</v>
      </c>
      <c r="J679" s="3">
        <v>2.6620370370378232E-4</v>
      </c>
      <c r="K679" s="5">
        <f t="shared" si="83"/>
        <v>23</v>
      </c>
      <c r="L679" s="3">
        <v>4.8611111111110383E-3</v>
      </c>
      <c r="N679" s="1" t="s">
        <v>42</v>
      </c>
      <c r="O679" s="1" t="s">
        <v>286</v>
      </c>
      <c r="P679" s="1" t="s">
        <v>227</v>
      </c>
      <c r="Q679" s="1" t="s">
        <v>76</v>
      </c>
      <c r="R679" s="1" t="s">
        <v>76</v>
      </c>
      <c r="S679" s="1" t="s">
        <v>46</v>
      </c>
      <c r="T679" s="1" t="s">
        <v>76</v>
      </c>
      <c r="U679" s="1" t="s">
        <v>66</v>
      </c>
      <c r="AB679" s="1" t="s">
        <v>93</v>
      </c>
      <c r="AC679" s="1">
        <v>1</v>
      </c>
      <c r="AI679" s="1" t="s">
        <v>71</v>
      </c>
      <c r="AK679" s="1" t="s">
        <v>86</v>
      </c>
      <c r="AL679" s="1" t="s">
        <v>87</v>
      </c>
      <c r="AN679" s="1">
        <v>1</v>
      </c>
      <c r="AO679" s="1">
        <f t="shared" si="84"/>
        <v>1</v>
      </c>
    </row>
    <row r="680" spans="1:41" x14ac:dyDescent="0.4">
      <c r="A680" s="1">
        <v>1</v>
      </c>
      <c r="B680" s="1">
        <v>3</v>
      </c>
      <c r="C680" s="1" t="s">
        <v>41</v>
      </c>
      <c r="D680" s="2">
        <v>38974</v>
      </c>
      <c r="E680" s="1">
        <v>257</v>
      </c>
      <c r="F680" s="1">
        <v>4.7</v>
      </c>
      <c r="G680" s="3">
        <v>0.4698032407407407</v>
      </c>
      <c r="H680" s="3">
        <v>0.46993055555555552</v>
      </c>
      <c r="I680" s="3">
        <v>1.2731481481481621E-4</v>
      </c>
      <c r="J680" s="3">
        <v>1.2731481481481621E-4</v>
      </c>
      <c r="K680" s="5">
        <f t="shared" si="83"/>
        <v>11</v>
      </c>
      <c r="L680" s="3">
        <v>1.0648148148148517E-3</v>
      </c>
      <c r="N680" s="1" t="s">
        <v>42</v>
      </c>
      <c r="O680" s="1" t="s">
        <v>286</v>
      </c>
      <c r="P680" s="1" t="s">
        <v>227</v>
      </c>
      <c r="Q680" s="1" t="s">
        <v>132</v>
      </c>
      <c r="R680" s="1" t="s">
        <v>76</v>
      </c>
      <c r="S680" s="1" t="s">
        <v>46</v>
      </c>
      <c r="T680" s="1" t="s">
        <v>45</v>
      </c>
      <c r="U680" s="1" t="s">
        <v>156</v>
      </c>
      <c r="AB680" s="1" t="s">
        <v>93</v>
      </c>
      <c r="AC680" s="1">
        <v>1</v>
      </c>
      <c r="AI680" s="1" t="s">
        <v>75</v>
      </c>
      <c r="AK680" s="1" t="s">
        <v>86</v>
      </c>
      <c r="AL680" s="1" t="s">
        <v>87</v>
      </c>
      <c r="AN680" s="1">
        <v>1</v>
      </c>
      <c r="AO680" s="1">
        <f t="shared" si="84"/>
        <v>1</v>
      </c>
    </row>
    <row r="681" spans="1:41" x14ac:dyDescent="0.4">
      <c r="A681" s="1">
        <v>1</v>
      </c>
      <c r="B681" s="1">
        <v>3</v>
      </c>
      <c r="C681" s="1" t="s">
        <v>41</v>
      </c>
      <c r="D681" s="2">
        <v>38974</v>
      </c>
      <c r="E681" s="1">
        <v>257</v>
      </c>
      <c r="F681" s="1">
        <v>5</v>
      </c>
      <c r="G681" s="3">
        <v>0.47099537037037037</v>
      </c>
      <c r="H681" s="3">
        <v>0.47521990740740744</v>
      </c>
      <c r="I681" s="3">
        <v>4.2245370370370683E-3</v>
      </c>
      <c r="J681" s="3">
        <v>3.2870370370370883E-3</v>
      </c>
      <c r="K681" s="5">
        <f t="shared" si="83"/>
        <v>284</v>
      </c>
      <c r="L681" s="3">
        <v>1.6215277777777759E-2</v>
      </c>
      <c r="N681" s="1" t="s">
        <v>42</v>
      </c>
      <c r="O681" s="1" t="s">
        <v>286</v>
      </c>
      <c r="P681" s="1" t="s">
        <v>227</v>
      </c>
      <c r="Q681" s="1" t="s">
        <v>132</v>
      </c>
      <c r="R681" s="1" t="s">
        <v>76</v>
      </c>
      <c r="S681" s="1" t="s">
        <v>46</v>
      </c>
      <c r="T681" s="1" t="s">
        <v>47</v>
      </c>
      <c r="U681" s="1" t="s">
        <v>156</v>
      </c>
      <c r="V681" s="1" t="s">
        <v>102</v>
      </c>
      <c r="W681" s="1" t="s">
        <v>103</v>
      </c>
      <c r="X681" s="1" t="s">
        <v>96</v>
      </c>
      <c r="AB681" s="1" t="s">
        <v>104</v>
      </c>
      <c r="AC681" s="1">
        <v>0</v>
      </c>
      <c r="AD681" s="1" t="s">
        <v>105</v>
      </c>
      <c r="AE681" s="1" t="s">
        <v>70</v>
      </c>
      <c r="AH681" s="1" t="s">
        <v>157</v>
      </c>
      <c r="AI681" s="1" t="s">
        <v>75</v>
      </c>
      <c r="AK681" s="1" t="s">
        <v>86</v>
      </c>
      <c r="AL681" s="1" t="s">
        <v>87</v>
      </c>
      <c r="AN681" s="1">
        <v>1</v>
      </c>
      <c r="AO681" s="1">
        <f t="shared" si="84"/>
        <v>1</v>
      </c>
    </row>
    <row r="682" spans="1:41" x14ac:dyDescent="0.4">
      <c r="A682" s="1">
        <v>1</v>
      </c>
      <c r="B682" s="1">
        <v>3</v>
      </c>
      <c r="C682" s="1" t="s">
        <v>41</v>
      </c>
      <c r="D682" s="2">
        <v>38974</v>
      </c>
      <c r="E682" s="1">
        <v>257</v>
      </c>
      <c r="F682" s="1">
        <v>7</v>
      </c>
      <c r="G682" s="3">
        <v>0.4914351851851852</v>
      </c>
      <c r="H682" s="3">
        <v>0.49461805555555555</v>
      </c>
      <c r="I682" s="3">
        <v>3.1828703703703498E-3</v>
      </c>
      <c r="J682" s="3">
        <v>3.1828703703703498E-3</v>
      </c>
      <c r="K682" s="5">
        <f t="shared" si="83"/>
        <v>275</v>
      </c>
      <c r="L682" s="3">
        <v>8.4837962962963087E-3</v>
      </c>
      <c r="N682" s="1" t="s">
        <v>42</v>
      </c>
      <c r="O682" s="1" t="s">
        <v>286</v>
      </c>
      <c r="P682" s="1" t="s">
        <v>227</v>
      </c>
      <c r="Q682" s="1" t="s">
        <v>132</v>
      </c>
      <c r="R682" s="1" t="s">
        <v>76</v>
      </c>
      <c r="S682" s="1" t="s">
        <v>46</v>
      </c>
      <c r="T682" s="1" t="s">
        <v>47</v>
      </c>
      <c r="U682" s="1" t="s">
        <v>66</v>
      </c>
      <c r="V682" s="1" t="s">
        <v>49</v>
      </c>
      <c r="W682" s="1" t="s">
        <v>233</v>
      </c>
      <c r="X682" s="1" t="s">
        <v>906</v>
      </c>
      <c r="Y682" s="1" t="s">
        <v>235</v>
      </c>
      <c r="Z682" s="1" t="s">
        <v>236</v>
      </c>
      <c r="AA682" s="1" t="s">
        <v>221</v>
      </c>
      <c r="AB682" s="1" t="s">
        <v>237</v>
      </c>
      <c r="AC682" s="1">
        <v>0</v>
      </c>
      <c r="AD682" s="1" t="s">
        <v>56</v>
      </c>
      <c r="AE682" s="1" t="s">
        <v>57</v>
      </c>
      <c r="AH682" s="1" t="s">
        <v>206</v>
      </c>
      <c r="AI682" s="1" t="s">
        <v>71</v>
      </c>
      <c r="AK682" s="1" t="s">
        <v>86</v>
      </c>
      <c r="AL682" s="1" t="s">
        <v>87</v>
      </c>
      <c r="AN682" s="1">
        <v>1</v>
      </c>
      <c r="AO682" s="1">
        <f t="shared" si="84"/>
        <v>1</v>
      </c>
    </row>
    <row r="683" spans="1:41" x14ac:dyDescent="0.4">
      <c r="A683" s="1">
        <v>1</v>
      </c>
      <c r="B683" s="1">
        <v>3</v>
      </c>
      <c r="C683" s="1" t="s">
        <v>41</v>
      </c>
      <c r="D683" s="2">
        <v>38974</v>
      </c>
      <c r="E683" s="1">
        <v>257</v>
      </c>
      <c r="F683" s="1">
        <v>7.5</v>
      </c>
      <c r="G683" s="3">
        <v>0.50310185185185186</v>
      </c>
      <c r="H683" s="3">
        <v>0.50334490740740734</v>
      </c>
      <c r="I683" s="3">
        <v>2.4305555555548253E-4</v>
      </c>
      <c r="J683" s="3">
        <v>2.4305555555548253E-4</v>
      </c>
      <c r="K683" s="5">
        <f t="shared" si="83"/>
        <v>21</v>
      </c>
      <c r="L683" s="3">
        <v>1.54861111111112E-2</v>
      </c>
      <c r="N683" s="1" t="s">
        <v>42</v>
      </c>
      <c r="O683" s="1" t="s">
        <v>286</v>
      </c>
      <c r="P683" s="1" t="s">
        <v>227</v>
      </c>
      <c r="Q683" s="1" t="s">
        <v>132</v>
      </c>
      <c r="R683" s="1" t="s">
        <v>76</v>
      </c>
      <c r="S683" s="1" t="s">
        <v>46</v>
      </c>
      <c r="T683" s="1" t="s">
        <v>76</v>
      </c>
      <c r="U683" s="1" t="s">
        <v>156</v>
      </c>
      <c r="AB683" s="1" t="s">
        <v>93</v>
      </c>
      <c r="AC683" s="1">
        <v>1</v>
      </c>
      <c r="AI683" s="1" t="s">
        <v>75</v>
      </c>
      <c r="AK683" s="1" t="s">
        <v>86</v>
      </c>
      <c r="AL683" s="1" t="s">
        <v>187</v>
      </c>
      <c r="AN683" s="1">
        <v>1</v>
      </c>
      <c r="AO683" s="1">
        <f t="shared" si="84"/>
        <v>1</v>
      </c>
    </row>
    <row r="684" spans="1:41" x14ac:dyDescent="0.4">
      <c r="A684" s="1">
        <v>1</v>
      </c>
      <c r="B684" s="1">
        <v>3</v>
      </c>
      <c r="C684" s="1" t="s">
        <v>41</v>
      </c>
      <c r="D684" s="2">
        <v>38974</v>
      </c>
      <c r="E684" s="1">
        <v>257</v>
      </c>
      <c r="F684" s="1">
        <v>11</v>
      </c>
      <c r="G684" s="3">
        <v>0.51883101851851854</v>
      </c>
      <c r="H684" s="3">
        <v>0.52246527777777774</v>
      </c>
      <c r="I684" s="3">
        <v>3.6342592592591982E-3</v>
      </c>
      <c r="J684" s="3">
        <v>1.0995370370370239E-3</v>
      </c>
      <c r="K684" s="5">
        <f t="shared" si="83"/>
        <v>95</v>
      </c>
      <c r="L684" s="3">
        <v>6.030092592592684E-3</v>
      </c>
      <c r="N684" s="1" t="s">
        <v>42</v>
      </c>
      <c r="O684" s="1" t="s">
        <v>286</v>
      </c>
      <c r="P684" s="1" t="s">
        <v>227</v>
      </c>
      <c r="Q684" s="1" t="s">
        <v>132</v>
      </c>
      <c r="R684" s="1" t="s">
        <v>76</v>
      </c>
      <c r="S684" s="1" t="s">
        <v>46</v>
      </c>
      <c r="T684" s="1" t="s">
        <v>45</v>
      </c>
      <c r="U684" s="1" t="s">
        <v>156</v>
      </c>
      <c r="V684" s="1" t="s">
        <v>49</v>
      </c>
      <c r="W684" s="1" t="s">
        <v>233</v>
      </c>
      <c r="X684" s="1" t="s">
        <v>906</v>
      </c>
      <c r="Y684" s="1" t="s">
        <v>235</v>
      </c>
      <c r="Z684" s="1" t="s">
        <v>236</v>
      </c>
      <c r="AA684" s="1" t="s">
        <v>221</v>
      </c>
      <c r="AB684" s="1" t="s">
        <v>237</v>
      </c>
      <c r="AC684" s="1">
        <v>0</v>
      </c>
      <c r="AD684" s="1" t="s">
        <v>56</v>
      </c>
      <c r="AE684" s="1" t="s">
        <v>57</v>
      </c>
      <c r="AH684" s="1" t="s">
        <v>206</v>
      </c>
      <c r="AI684" s="1" t="s">
        <v>75</v>
      </c>
      <c r="AK684" s="1" t="s">
        <v>86</v>
      </c>
      <c r="AL684" s="1" t="s">
        <v>87</v>
      </c>
      <c r="AN684" s="1">
        <v>1</v>
      </c>
      <c r="AO684" s="1">
        <f t="shared" si="84"/>
        <v>1</v>
      </c>
    </row>
    <row r="685" spans="1:41" x14ac:dyDescent="0.4">
      <c r="A685" s="1">
        <v>1</v>
      </c>
      <c r="B685" s="1">
        <v>3</v>
      </c>
      <c r="C685" s="1" t="s">
        <v>41</v>
      </c>
      <c r="D685" s="2">
        <v>38974</v>
      </c>
      <c r="E685" s="1">
        <v>257</v>
      </c>
      <c r="F685" s="1">
        <v>11.5</v>
      </c>
      <c r="G685" s="3">
        <v>0.52849537037037042</v>
      </c>
      <c r="H685" s="3">
        <v>0.52905092592592595</v>
      </c>
      <c r="I685" s="3">
        <v>5.5555555555553138E-4</v>
      </c>
      <c r="J685" s="3">
        <v>6.9444444444344278E-5</v>
      </c>
      <c r="K685" s="5">
        <f t="shared" si="83"/>
        <v>6</v>
      </c>
      <c r="L685" s="3">
        <v>2.6967592592591627E-3</v>
      </c>
      <c r="N685" s="1" t="s">
        <v>42</v>
      </c>
      <c r="O685" s="1" t="s">
        <v>286</v>
      </c>
      <c r="P685" s="1" t="s">
        <v>227</v>
      </c>
      <c r="Q685" s="1" t="s">
        <v>132</v>
      </c>
      <c r="R685" s="1" t="s">
        <v>191</v>
      </c>
      <c r="S685" s="1" t="s">
        <v>46</v>
      </c>
      <c r="T685" s="1" t="s">
        <v>76</v>
      </c>
      <c r="U685" s="1" t="s">
        <v>92</v>
      </c>
      <c r="AB685" s="1" t="s">
        <v>93</v>
      </c>
      <c r="AC685" s="1">
        <v>1</v>
      </c>
      <c r="AI685" s="1" t="s">
        <v>75</v>
      </c>
      <c r="AK685" s="1" t="s">
        <v>86</v>
      </c>
      <c r="AL685" s="1" t="s">
        <v>187</v>
      </c>
      <c r="AN685" s="1">
        <v>1</v>
      </c>
      <c r="AO685" s="1">
        <f t="shared" si="84"/>
        <v>1</v>
      </c>
    </row>
    <row r="686" spans="1:41" x14ac:dyDescent="0.4">
      <c r="A686" s="1">
        <v>1</v>
      </c>
      <c r="B686" s="1">
        <v>3</v>
      </c>
      <c r="C686" s="1" t="s">
        <v>41</v>
      </c>
      <c r="D686" s="2">
        <v>38974</v>
      </c>
      <c r="E686" s="1">
        <v>257</v>
      </c>
      <c r="F686" s="1">
        <v>12</v>
      </c>
      <c r="G686" s="3">
        <v>0.53174768518518511</v>
      </c>
      <c r="H686" s="3">
        <v>0.53729166666666661</v>
      </c>
      <c r="I686" s="3">
        <v>5.5439814814814969E-3</v>
      </c>
      <c r="J686" s="3">
        <v>4.849537037037055E-3</v>
      </c>
      <c r="K686" s="5">
        <f t="shared" si="83"/>
        <v>419</v>
      </c>
      <c r="L686" s="3">
        <v>2.1770833333333406E-2</v>
      </c>
      <c r="N686" s="1" t="s">
        <v>42</v>
      </c>
      <c r="O686" s="1" t="s">
        <v>286</v>
      </c>
      <c r="P686" s="1" t="s">
        <v>227</v>
      </c>
      <c r="Q686" s="1" t="s">
        <v>132</v>
      </c>
      <c r="R686" s="1" t="s">
        <v>191</v>
      </c>
      <c r="S686" s="1" t="s">
        <v>46</v>
      </c>
      <c r="T686" s="1" t="s">
        <v>45</v>
      </c>
      <c r="U686" s="1" t="s">
        <v>156</v>
      </c>
      <c r="V686" s="1" t="s">
        <v>49</v>
      </c>
      <c r="W686" s="1" t="s">
        <v>140</v>
      </c>
      <c r="X686" s="1" t="s">
        <v>510</v>
      </c>
      <c r="Y686" s="1" t="s">
        <v>767</v>
      </c>
      <c r="Z686" s="1" t="s">
        <v>768</v>
      </c>
      <c r="AA686" s="1" t="s">
        <v>769</v>
      </c>
      <c r="AB686" s="1" t="s">
        <v>770</v>
      </c>
      <c r="AC686" s="1">
        <v>0</v>
      </c>
      <c r="AD686" s="1" t="s">
        <v>56</v>
      </c>
      <c r="AE686" s="1" t="s">
        <v>181</v>
      </c>
      <c r="AH686" s="1" t="s">
        <v>59</v>
      </c>
      <c r="AI686" s="1" t="s">
        <v>75</v>
      </c>
      <c r="AK686" s="1" t="s">
        <v>86</v>
      </c>
      <c r="AL686" s="1" t="s">
        <v>187</v>
      </c>
      <c r="AN686" s="1">
        <v>1</v>
      </c>
      <c r="AO686" s="1">
        <f t="shared" si="84"/>
        <v>1</v>
      </c>
    </row>
    <row r="687" spans="1:41" x14ac:dyDescent="0.4">
      <c r="A687" s="1">
        <v>1</v>
      </c>
      <c r="B687" s="1">
        <v>3</v>
      </c>
      <c r="C687" s="1" t="s">
        <v>41</v>
      </c>
      <c r="D687" s="2">
        <v>38974</v>
      </c>
      <c r="E687" s="1">
        <v>257</v>
      </c>
      <c r="F687" s="1">
        <v>12.5</v>
      </c>
      <c r="G687" s="3">
        <v>0.55906250000000002</v>
      </c>
      <c r="H687" s="3">
        <v>0.55908564814814821</v>
      </c>
      <c r="I687" s="3">
        <v>2.3148148148188774E-5</v>
      </c>
      <c r="J687" s="3">
        <v>2.3148148148188774E-5</v>
      </c>
      <c r="K687" s="5">
        <f t="shared" si="83"/>
        <v>2</v>
      </c>
      <c r="L687" s="3">
        <v>2.5648148148148087E-2</v>
      </c>
      <c r="N687" s="1" t="s">
        <v>75</v>
      </c>
      <c r="O687" s="1" t="s">
        <v>286</v>
      </c>
      <c r="P687" s="1" t="s">
        <v>227</v>
      </c>
      <c r="Q687" s="1" t="s">
        <v>76</v>
      </c>
      <c r="R687" s="1" t="s">
        <v>191</v>
      </c>
      <c r="S687" s="1" t="s">
        <v>46</v>
      </c>
      <c r="T687" s="1" t="s">
        <v>45</v>
      </c>
      <c r="U687" s="1" t="s">
        <v>66</v>
      </c>
      <c r="AB687" s="1" t="s">
        <v>93</v>
      </c>
      <c r="AC687" s="1">
        <v>1</v>
      </c>
      <c r="AI687" s="1" t="s">
        <v>75</v>
      </c>
      <c r="AK687" s="1" t="s">
        <v>61</v>
      </c>
      <c r="AL687" s="1" t="s">
        <v>61</v>
      </c>
      <c r="AN687" s="1">
        <v>1</v>
      </c>
      <c r="AO687" s="1">
        <f t="shared" si="84"/>
        <v>1</v>
      </c>
    </row>
    <row r="688" spans="1:41" x14ac:dyDescent="0.4">
      <c r="A688" s="1">
        <v>1</v>
      </c>
      <c r="B688" s="1">
        <v>3</v>
      </c>
      <c r="C688" s="1" t="s">
        <v>41</v>
      </c>
      <c r="D688" s="2">
        <v>38974</v>
      </c>
      <c r="E688" s="1">
        <v>257</v>
      </c>
      <c r="F688" s="1">
        <v>13</v>
      </c>
      <c r="G688" s="3">
        <v>0.58473379629629629</v>
      </c>
      <c r="H688" s="3">
        <v>0.58605324074074072</v>
      </c>
      <c r="I688" s="3">
        <v>1.3194444444444287E-3</v>
      </c>
      <c r="J688" s="3">
        <v>1.3194444444444287E-3</v>
      </c>
      <c r="K688" s="5">
        <f t="shared" si="83"/>
        <v>114</v>
      </c>
      <c r="L688" s="3">
        <v>6.2500000000000888E-3</v>
      </c>
      <c r="N688" s="1" t="s">
        <v>42</v>
      </c>
      <c r="O688" s="1" t="s">
        <v>286</v>
      </c>
      <c r="P688" s="1" t="s">
        <v>227</v>
      </c>
      <c r="Q688" s="1" t="s">
        <v>76</v>
      </c>
      <c r="R688" s="1" t="s">
        <v>76</v>
      </c>
      <c r="S688" s="1" t="s">
        <v>46</v>
      </c>
      <c r="T688" s="1" t="s">
        <v>45</v>
      </c>
      <c r="U688" s="1" t="s">
        <v>156</v>
      </c>
      <c r="V688" s="1" t="s">
        <v>49</v>
      </c>
      <c r="W688" s="1" t="s">
        <v>233</v>
      </c>
      <c r="X688" s="1" t="s">
        <v>906</v>
      </c>
      <c r="Y688" s="1" t="s">
        <v>235</v>
      </c>
      <c r="Z688" s="1" t="s">
        <v>236</v>
      </c>
      <c r="AA688" s="1" t="s">
        <v>221</v>
      </c>
      <c r="AB688" s="1" t="s">
        <v>237</v>
      </c>
      <c r="AC688" s="1">
        <v>0</v>
      </c>
      <c r="AD688" s="1" t="s">
        <v>56</v>
      </c>
      <c r="AE688" s="1" t="s">
        <v>57</v>
      </c>
      <c r="AF688" s="1" t="s">
        <v>113</v>
      </c>
      <c r="AG688" s="1" t="s">
        <v>907</v>
      </c>
      <c r="AH688" s="1" t="s">
        <v>206</v>
      </c>
      <c r="AI688" s="1" t="s">
        <v>75</v>
      </c>
      <c r="AK688" s="1" t="s">
        <v>116</v>
      </c>
      <c r="AL688" s="1" t="s">
        <v>117</v>
      </c>
      <c r="AM688" s="1">
        <v>1</v>
      </c>
      <c r="AN688" s="1">
        <v>0</v>
      </c>
      <c r="AO688" s="1">
        <f t="shared" si="84"/>
        <v>1</v>
      </c>
    </row>
    <row r="689" spans="1:41" x14ac:dyDescent="0.4">
      <c r="A689" s="1">
        <v>1</v>
      </c>
      <c r="B689" s="1">
        <v>3</v>
      </c>
      <c r="C689" s="1" t="s">
        <v>41</v>
      </c>
      <c r="D689" s="2">
        <v>38974</v>
      </c>
      <c r="E689" s="1">
        <v>257</v>
      </c>
      <c r="F689" s="1">
        <v>14</v>
      </c>
      <c r="G689" s="3">
        <v>0.59230324074074081</v>
      </c>
      <c r="H689" s="3">
        <v>0.59233796296296293</v>
      </c>
      <c r="I689" s="3">
        <v>3.4722222222116628E-5</v>
      </c>
      <c r="J689" s="3">
        <v>3.4722222222116628E-5</v>
      </c>
      <c r="K689" s="5">
        <f t="shared" si="83"/>
        <v>3</v>
      </c>
      <c r="L689" s="3">
        <v>1.6319444444444775E-3</v>
      </c>
      <c r="N689" s="1" t="s">
        <v>42</v>
      </c>
      <c r="O689" s="1" t="s">
        <v>286</v>
      </c>
      <c r="P689" s="1" t="s">
        <v>227</v>
      </c>
      <c r="Q689" s="1" t="s">
        <v>76</v>
      </c>
      <c r="R689" s="1" t="s">
        <v>76</v>
      </c>
      <c r="S689" s="1" t="s">
        <v>46</v>
      </c>
      <c r="T689" s="1" t="s">
        <v>45</v>
      </c>
      <c r="U689" s="1" t="s">
        <v>66</v>
      </c>
      <c r="AB689" s="1" t="s">
        <v>93</v>
      </c>
      <c r="AC689" s="1">
        <v>1</v>
      </c>
      <c r="AI689" s="1" t="s">
        <v>71</v>
      </c>
      <c r="AK689" s="1" t="s">
        <v>61</v>
      </c>
      <c r="AL689" s="1" t="s">
        <v>133</v>
      </c>
      <c r="AN689" s="1">
        <v>1</v>
      </c>
      <c r="AO689" s="1">
        <f t="shared" si="84"/>
        <v>1</v>
      </c>
    </row>
    <row r="690" spans="1:41" x14ac:dyDescent="0.4">
      <c r="A690" s="1">
        <v>1</v>
      </c>
      <c r="B690" s="1">
        <v>3</v>
      </c>
      <c r="C690" s="1" t="s">
        <v>41</v>
      </c>
      <c r="D690" s="2">
        <v>38974</v>
      </c>
      <c r="E690" s="1">
        <v>257</v>
      </c>
      <c r="F690" s="1">
        <v>15</v>
      </c>
      <c r="G690" s="3">
        <v>0.5939699074074074</v>
      </c>
      <c r="H690" s="3">
        <v>0.60116898148148146</v>
      </c>
      <c r="I690" s="3">
        <v>7.1990740740740522E-3</v>
      </c>
      <c r="J690" s="3">
        <v>7.1990740740740522E-3</v>
      </c>
      <c r="K690" s="5">
        <f t="shared" si="83"/>
        <v>622</v>
      </c>
      <c r="L690" s="3">
        <v>2.2476851851851887E-2</v>
      </c>
      <c r="N690" s="1" t="s">
        <v>42</v>
      </c>
      <c r="O690" s="1" t="s">
        <v>286</v>
      </c>
      <c r="P690" s="1" t="s">
        <v>227</v>
      </c>
      <c r="Q690" s="1" t="s">
        <v>76</v>
      </c>
      <c r="R690" s="1" t="s">
        <v>76</v>
      </c>
      <c r="S690" s="1" t="s">
        <v>46</v>
      </c>
      <c r="T690" s="1" t="s">
        <v>124</v>
      </c>
      <c r="U690" s="1" t="s">
        <v>156</v>
      </c>
      <c r="V690" s="1" t="s">
        <v>49</v>
      </c>
      <c r="W690" s="1" t="s">
        <v>77</v>
      </c>
      <c r="X690" s="1" t="s">
        <v>259</v>
      </c>
      <c r="Y690" s="1" t="s">
        <v>126</v>
      </c>
      <c r="Z690" s="1" t="s">
        <v>618</v>
      </c>
      <c r="AA690" s="1" t="s">
        <v>619</v>
      </c>
      <c r="AB690" s="1" t="s">
        <v>620</v>
      </c>
      <c r="AC690" s="1">
        <v>0</v>
      </c>
      <c r="AD690" s="1" t="s">
        <v>56</v>
      </c>
      <c r="AE690" s="1" t="s">
        <v>83</v>
      </c>
      <c r="AF690" s="1" t="s">
        <v>113</v>
      </c>
      <c r="AG690" s="1" t="s">
        <v>908</v>
      </c>
      <c r="AI690" s="1" t="s">
        <v>75</v>
      </c>
      <c r="AK690" s="1" t="s">
        <v>61</v>
      </c>
      <c r="AL690" s="1" t="s">
        <v>133</v>
      </c>
      <c r="AM690" s="1">
        <v>1</v>
      </c>
      <c r="AN690" s="1">
        <v>0</v>
      </c>
      <c r="AO690" s="1">
        <f t="shared" si="84"/>
        <v>1</v>
      </c>
    </row>
    <row r="691" spans="1:41" x14ac:dyDescent="0.4">
      <c r="A691" s="1">
        <v>1</v>
      </c>
      <c r="B691" s="1">
        <v>3</v>
      </c>
      <c r="C691" s="1" t="s">
        <v>41</v>
      </c>
      <c r="D691" s="2">
        <v>38974</v>
      </c>
      <c r="E691" s="1">
        <v>257</v>
      </c>
      <c r="F691" s="1">
        <v>15.5</v>
      </c>
      <c r="G691" s="3">
        <v>0.62364583333333334</v>
      </c>
      <c r="H691" s="3">
        <v>0.62368055555555557</v>
      </c>
      <c r="I691" s="3">
        <v>3.472222222222765E-5</v>
      </c>
      <c r="J691" s="3">
        <v>3.472222222222765E-5</v>
      </c>
      <c r="K691" s="5">
        <f t="shared" si="83"/>
        <v>3</v>
      </c>
      <c r="L691" s="3">
        <v>3.7951388888888826E-2</v>
      </c>
      <c r="N691" s="1" t="s">
        <v>75</v>
      </c>
      <c r="O691" s="1" t="s">
        <v>286</v>
      </c>
      <c r="P691" s="1" t="s">
        <v>227</v>
      </c>
      <c r="Q691" s="1" t="s">
        <v>45</v>
      </c>
      <c r="R691" s="1" t="s">
        <v>76</v>
      </c>
      <c r="S691" s="1" t="s">
        <v>46</v>
      </c>
      <c r="T691" s="1" t="s">
        <v>76</v>
      </c>
      <c r="U691" s="1" t="s">
        <v>92</v>
      </c>
      <c r="AB691" s="1" t="s">
        <v>93</v>
      </c>
      <c r="AC691" s="1">
        <v>1</v>
      </c>
      <c r="AI691" s="1" t="s">
        <v>75</v>
      </c>
      <c r="AK691" s="1" t="s">
        <v>86</v>
      </c>
      <c r="AL691" s="1" t="s">
        <v>187</v>
      </c>
      <c r="AN691" s="1">
        <v>1</v>
      </c>
      <c r="AO691" s="1">
        <f t="shared" si="84"/>
        <v>1</v>
      </c>
    </row>
    <row r="692" spans="1:41" x14ac:dyDescent="0.4">
      <c r="A692" s="1">
        <v>1</v>
      </c>
      <c r="B692" s="1">
        <v>3</v>
      </c>
      <c r="C692" s="1" t="s">
        <v>41</v>
      </c>
      <c r="D692" s="2">
        <v>38974</v>
      </c>
      <c r="E692" s="1">
        <v>257</v>
      </c>
      <c r="F692" s="1">
        <v>18</v>
      </c>
      <c r="G692" s="3">
        <v>0.6616319444444444</v>
      </c>
      <c r="H692" s="3">
        <v>0.66298611111111116</v>
      </c>
      <c r="I692" s="3">
        <v>1.3541666666667673E-3</v>
      </c>
      <c r="J692" s="3">
        <v>1.3541666666667673E-3</v>
      </c>
      <c r="K692" s="5">
        <f t="shared" si="83"/>
        <v>117</v>
      </c>
      <c r="L692" s="3">
        <v>1.4872685185185031E-2</v>
      </c>
      <c r="N692" s="1" t="s">
        <v>42</v>
      </c>
      <c r="O692" s="1" t="s">
        <v>286</v>
      </c>
      <c r="P692" s="1" t="s">
        <v>227</v>
      </c>
      <c r="Q692" s="1" t="s">
        <v>76</v>
      </c>
      <c r="R692" s="1" t="s">
        <v>76</v>
      </c>
      <c r="S692" s="1" t="s">
        <v>46</v>
      </c>
      <c r="T692" s="1" t="s">
        <v>45</v>
      </c>
      <c r="U692" s="1" t="s">
        <v>66</v>
      </c>
      <c r="V692" s="1" t="s">
        <v>49</v>
      </c>
      <c r="W692" s="1" t="s">
        <v>77</v>
      </c>
      <c r="Y692" s="1" t="s">
        <v>528</v>
      </c>
      <c r="Z692" s="1" t="s">
        <v>529</v>
      </c>
      <c r="AA692" s="1" t="s">
        <v>530</v>
      </c>
      <c r="AB692" s="1" t="s">
        <v>531</v>
      </c>
      <c r="AC692" s="1">
        <v>0</v>
      </c>
      <c r="AD692" s="1" t="s">
        <v>56</v>
      </c>
      <c r="AF692" s="1" t="s">
        <v>213</v>
      </c>
      <c r="AG692" s="1" t="s">
        <v>909</v>
      </c>
      <c r="AH692" s="1" t="s">
        <v>115</v>
      </c>
      <c r="AI692" s="1" t="s">
        <v>71</v>
      </c>
      <c r="AK692" s="1" t="s">
        <v>116</v>
      </c>
      <c r="AL692" s="1" t="s">
        <v>117</v>
      </c>
      <c r="AM692" s="1">
        <v>1</v>
      </c>
      <c r="AN692" s="1">
        <v>0</v>
      </c>
      <c r="AO692" s="1">
        <f t="shared" si="84"/>
        <v>1</v>
      </c>
    </row>
    <row r="693" spans="1:41" x14ac:dyDescent="0.4">
      <c r="A693" s="1">
        <v>1</v>
      </c>
      <c r="B693" s="1">
        <v>3</v>
      </c>
      <c r="C693" s="1" t="s">
        <v>41</v>
      </c>
      <c r="D693" s="2">
        <v>38974</v>
      </c>
      <c r="E693" s="1">
        <v>257</v>
      </c>
      <c r="F693" s="1">
        <v>19</v>
      </c>
      <c r="G693" s="3">
        <v>0.6778587962962962</v>
      </c>
      <c r="H693" s="3">
        <v>0.69437499999999996</v>
      </c>
      <c r="I693" s="3">
        <v>1.6516203703703769E-2</v>
      </c>
      <c r="J693" s="3">
        <v>1.6296296296296364E-2</v>
      </c>
      <c r="K693" s="5">
        <f t="shared" si="83"/>
        <v>1408</v>
      </c>
      <c r="L693" s="3">
        <v>4.4560185185185119E-3</v>
      </c>
      <c r="N693" s="1" t="s">
        <v>42</v>
      </c>
      <c r="O693" s="1" t="s">
        <v>286</v>
      </c>
      <c r="P693" s="1" t="s">
        <v>227</v>
      </c>
      <c r="Q693" s="1" t="s">
        <v>76</v>
      </c>
      <c r="R693" s="1" t="s">
        <v>76</v>
      </c>
      <c r="S693" s="1" t="s">
        <v>46</v>
      </c>
      <c r="T693" s="1" t="s">
        <v>47</v>
      </c>
      <c r="U693" s="1" t="s">
        <v>48</v>
      </c>
      <c r="V693" s="1" t="s">
        <v>49</v>
      </c>
      <c r="W693" s="1" t="s">
        <v>50</v>
      </c>
      <c r="X693" s="1" t="s">
        <v>902</v>
      </c>
      <c r="Y693" s="1" t="s">
        <v>665</v>
      </c>
      <c r="Z693" s="1" t="s">
        <v>666</v>
      </c>
      <c r="AA693" s="1" t="s">
        <v>903</v>
      </c>
      <c r="AB693" s="1" t="s">
        <v>904</v>
      </c>
      <c r="AC693" s="1">
        <v>0</v>
      </c>
      <c r="AD693" s="1" t="s">
        <v>56</v>
      </c>
      <c r="AE693" s="1" t="s">
        <v>181</v>
      </c>
      <c r="AF693" s="1" t="s">
        <v>84</v>
      </c>
      <c r="AG693" s="1" t="s">
        <v>905</v>
      </c>
      <c r="AH693" s="1" t="s">
        <v>59</v>
      </c>
      <c r="AI693" s="1" t="s">
        <v>60</v>
      </c>
      <c r="AK693" s="1" t="s">
        <v>86</v>
      </c>
      <c r="AL693" s="1" t="s">
        <v>133</v>
      </c>
      <c r="AM693" s="1">
        <v>2</v>
      </c>
      <c r="AN693" s="1">
        <v>0</v>
      </c>
      <c r="AO693" s="1">
        <f t="shared" si="84"/>
        <v>2</v>
      </c>
    </row>
    <row r="694" spans="1:41" x14ac:dyDescent="0.4">
      <c r="A694" s="1">
        <v>1</v>
      </c>
      <c r="B694" s="1">
        <v>3</v>
      </c>
      <c r="C694" s="1" t="s">
        <v>41</v>
      </c>
      <c r="D694" s="2">
        <v>38974</v>
      </c>
      <c r="E694" s="1">
        <v>257</v>
      </c>
      <c r="F694" s="1">
        <v>20</v>
      </c>
      <c r="G694" s="3">
        <v>0.69883101851851848</v>
      </c>
      <c r="H694" s="3">
        <v>0.69888888888888889</v>
      </c>
      <c r="I694" s="3">
        <v>5.7870370370416424E-5</v>
      </c>
      <c r="J694" s="3">
        <v>5.7870370370416424E-5</v>
      </c>
      <c r="K694" s="5">
        <f t="shared" si="83"/>
        <v>5</v>
      </c>
      <c r="L694" s="3" t="s">
        <v>120</v>
      </c>
      <c r="N694" s="1" t="s">
        <v>42</v>
      </c>
      <c r="O694" s="1" t="s">
        <v>286</v>
      </c>
      <c r="P694" s="1" t="s">
        <v>227</v>
      </c>
      <c r="Q694" s="1" t="s">
        <v>45</v>
      </c>
      <c r="R694" s="1" t="s">
        <v>45</v>
      </c>
      <c r="S694" s="1" t="s">
        <v>46</v>
      </c>
      <c r="T694" s="1" t="s">
        <v>76</v>
      </c>
      <c r="U694" s="1" t="s">
        <v>92</v>
      </c>
      <c r="AB694" s="1" t="s">
        <v>93</v>
      </c>
      <c r="AC694" s="1">
        <v>1</v>
      </c>
      <c r="AF694" s="1" t="s">
        <v>198</v>
      </c>
      <c r="AI694" s="1" t="s">
        <v>75</v>
      </c>
      <c r="AK694" s="1" t="s">
        <v>381</v>
      </c>
      <c r="AL694" s="1" t="s">
        <v>382</v>
      </c>
      <c r="AN694" s="1">
        <v>1</v>
      </c>
      <c r="AO694" s="1">
        <f t="shared" si="84"/>
        <v>1</v>
      </c>
    </row>
    <row r="695" spans="1:41" x14ac:dyDescent="0.4">
      <c r="A695" s="1">
        <v>1</v>
      </c>
      <c r="B695" s="1">
        <v>3</v>
      </c>
      <c r="C695" s="1" t="s">
        <v>41</v>
      </c>
      <c r="D695" s="2">
        <v>38995</v>
      </c>
      <c r="E695" s="1">
        <v>278</v>
      </c>
      <c r="F695" s="1">
        <v>1</v>
      </c>
      <c r="G695" s="3">
        <v>0.25618055555555558</v>
      </c>
      <c r="H695" s="3">
        <v>0.25765046296296296</v>
      </c>
      <c r="I695" s="3">
        <v>1.4699074074073781E-3</v>
      </c>
      <c r="J695" s="3">
        <v>1.4699074074073781E-3</v>
      </c>
      <c r="K695" s="5">
        <f t="shared" si="83"/>
        <v>127</v>
      </c>
      <c r="L695" s="3">
        <v>7.9861111111111382E-3</v>
      </c>
      <c r="N695" s="1" t="s">
        <v>42</v>
      </c>
      <c r="O695" s="1" t="s">
        <v>286</v>
      </c>
      <c r="P695" s="1" t="s">
        <v>44</v>
      </c>
      <c r="Q695" s="1" t="s">
        <v>76</v>
      </c>
      <c r="R695" s="1" t="s">
        <v>76</v>
      </c>
      <c r="S695" s="1" t="s">
        <v>46</v>
      </c>
      <c r="T695" s="1" t="s">
        <v>124</v>
      </c>
      <c r="V695" s="1" t="s">
        <v>49</v>
      </c>
      <c r="W695" s="1" t="s">
        <v>50</v>
      </c>
      <c r="X695" s="1" t="s">
        <v>405</v>
      </c>
      <c r="Y695" s="1" t="s">
        <v>406</v>
      </c>
      <c r="Z695" s="1" t="s">
        <v>407</v>
      </c>
      <c r="AA695" s="1" t="s">
        <v>408</v>
      </c>
      <c r="AB695" s="1" t="s">
        <v>409</v>
      </c>
      <c r="AC695" s="1">
        <v>0</v>
      </c>
      <c r="AD695" s="1" t="s">
        <v>105</v>
      </c>
      <c r="AE695" s="1" t="s">
        <v>181</v>
      </c>
      <c r="AF695" s="1" t="s">
        <v>113</v>
      </c>
      <c r="AG695" s="1" t="s">
        <v>829</v>
      </c>
      <c r="AH695" s="1" t="s">
        <v>59</v>
      </c>
      <c r="AJ695" s="1" t="s">
        <v>147</v>
      </c>
      <c r="AK695" s="1" t="s">
        <v>116</v>
      </c>
      <c r="AL695" s="1" t="s">
        <v>174</v>
      </c>
      <c r="AM695" s="1">
        <v>4</v>
      </c>
      <c r="AN695" s="1">
        <v>0</v>
      </c>
      <c r="AO695" s="1">
        <f t="shared" si="84"/>
        <v>4</v>
      </c>
    </row>
    <row r="696" spans="1:41" x14ac:dyDescent="0.4">
      <c r="A696" s="1">
        <v>1</v>
      </c>
      <c r="B696" s="1">
        <v>3</v>
      </c>
      <c r="C696" s="1" t="s">
        <v>41</v>
      </c>
      <c r="D696" s="2">
        <v>38995</v>
      </c>
      <c r="E696" s="1">
        <v>278</v>
      </c>
      <c r="F696" s="1">
        <v>2</v>
      </c>
      <c r="G696" s="3">
        <v>0.26563657407407409</v>
      </c>
      <c r="H696" s="3">
        <v>0.27386574074074072</v>
      </c>
      <c r="I696" s="3">
        <v>8.2291666666666208E-3</v>
      </c>
      <c r="J696" s="3">
        <v>7.1064814814814081E-3</v>
      </c>
      <c r="K696" s="5">
        <f t="shared" si="83"/>
        <v>614</v>
      </c>
      <c r="L696" s="3">
        <v>5.5902777777777635E-3</v>
      </c>
      <c r="N696" s="1" t="s">
        <v>42</v>
      </c>
      <c r="O696" s="1" t="s">
        <v>286</v>
      </c>
      <c r="P696" s="1" t="s">
        <v>44</v>
      </c>
      <c r="Q696" s="1" t="s">
        <v>76</v>
      </c>
      <c r="R696" s="1" t="s">
        <v>76</v>
      </c>
      <c r="S696" s="1" t="s">
        <v>46</v>
      </c>
      <c r="T696" s="1" t="s">
        <v>47</v>
      </c>
      <c r="U696" s="1" t="s">
        <v>66</v>
      </c>
      <c r="V696" s="1" t="s">
        <v>49</v>
      </c>
      <c r="W696" s="1" t="s">
        <v>140</v>
      </c>
      <c r="X696" s="1" t="s">
        <v>510</v>
      </c>
      <c r="Y696" s="1" t="s">
        <v>767</v>
      </c>
      <c r="Z696" s="1" t="s">
        <v>768</v>
      </c>
      <c r="AA696" s="1" t="s">
        <v>769</v>
      </c>
      <c r="AB696" s="1" t="s">
        <v>770</v>
      </c>
      <c r="AC696" s="1">
        <v>0</v>
      </c>
      <c r="AD696" s="1" t="s">
        <v>56</v>
      </c>
      <c r="AE696" s="1" t="s">
        <v>181</v>
      </c>
      <c r="AF696" s="1" t="s">
        <v>84</v>
      </c>
      <c r="AG696" s="1" t="s">
        <v>910</v>
      </c>
      <c r="AH696" s="1" t="s">
        <v>59</v>
      </c>
      <c r="AI696" s="1" t="s">
        <v>122</v>
      </c>
      <c r="AK696" s="1" t="s">
        <v>86</v>
      </c>
      <c r="AL696" s="1" t="s">
        <v>87</v>
      </c>
      <c r="AM696" s="1">
        <v>1</v>
      </c>
      <c r="AN696" s="1">
        <v>0</v>
      </c>
      <c r="AO696" s="1">
        <f t="shared" si="84"/>
        <v>1</v>
      </c>
    </row>
    <row r="697" spans="1:41" x14ac:dyDescent="0.4">
      <c r="A697" s="1">
        <v>1</v>
      </c>
      <c r="B697" s="1">
        <v>3</v>
      </c>
      <c r="C697" s="1" t="s">
        <v>41</v>
      </c>
      <c r="D697" s="2">
        <v>38995</v>
      </c>
      <c r="E697" s="1">
        <v>278</v>
      </c>
      <c r="F697" s="1">
        <v>2.1</v>
      </c>
      <c r="G697" s="3">
        <v>0.27945601851851848</v>
      </c>
      <c r="H697" s="3">
        <v>0.27953703703703703</v>
      </c>
      <c r="I697" s="3">
        <v>8.1018518518549687E-5</v>
      </c>
      <c r="J697" s="3">
        <v>8.1018518518549687E-5</v>
      </c>
      <c r="K697" s="5">
        <f t="shared" si="83"/>
        <v>7</v>
      </c>
      <c r="L697" s="3">
        <v>2.2222222222222365E-3</v>
      </c>
      <c r="N697" s="1" t="s">
        <v>42</v>
      </c>
      <c r="O697" s="1" t="s">
        <v>286</v>
      </c>
      <c r="P697" s="1" t="s">
        <v>44</v>
      </c>
      <c r="Q697" s="1" t="s">
        <v>76</v>
      </c>
      <c r="R697" s="1" t="s">
        <v>76</v>
      </c>
      <c r="S697" s="1" t="s">
        <v>46</v>
      </c>
      <c r="T697" s="1" t="s">
        <v>47</v>
      </c>
      <c r="AB697" s="1" t="s">
        <v>93</v>
      </c>
      <c r="AC697" s="1">
        <v>1</v>
      </c>
      <c r="AK697" s="1" t="s">
        <v>61</v>
      </c>
      <c r="AL697" s="1" t="s">
        <v>61</v>
      </c>
      <c r="AN697" s="1">
        <v>1</v>
      </c>
      <c r="AO697" s="1">
        <f t="shared" si="84"/>
        <v>1</v>
      </c>
    </row>
    <row r="698" spans="1:41" x14ac:dyDescent="0.4">
      <c r="A698" s="1">
        <v>1</v>
      </c>
      <c r="B698" s="1">
        <v>3</v>
      </c>
      <c r="C698" s="1" t="s">
        <v>41</v>
      </c>
      <c r="D698" s="2">
        <v>38995</v>
      </c>
      <c r="E698" s="1">
        <v>278</v>
      </c>
      <c r="F698" s="1">
        <v>2.2000000000000002</v>
      </c>
      <c r="G698" s="3">
        <v>0.28175925925925926</v>
      </c>
      <c r="H698" s="3">
        <v>0.28196759259259258</v>
      </c>
      <c r="I698" s="3">
        <v>2.0833333333331039E-4</v>
      </c>
      <c r="J698" s="3">
        <v>2.0833333333331039E-4</v>
      </c>
      <c r="K698" s="5">
        <f t="shared" si="83"/>
        <v>18</v>
      </c>
      <c r="L698" s="3">
        <v>2.9861111111111338E-3</v>
      </c>
      <c r="N698" s="1" t="s">
        <v>42</v>
      </c>
      <c r="O698" s="1" t="s">
        <v>286</v>
      </c>
      <c r="P698" s="1" t="s">
        <v>44</v>
      </c>
      <c r="Q698" s="1" t="s">
        <v>76</v>
      </c>
      <c r="R698" s="1" t="s">
        <v>76</v>
      </c>
      <c r="S698" s="1" t="s">
        <v>46</v>
      </c>
      <c r="T698" s="1" t="s">
        <v>47</v>
      </c>
      <c r="U698" s="1" t="s">
        <v>66</v>
      </c>
      <c r="AB698" s="1" t="s">
        <v>93</v>
      </c>
      <c r="AC698" s="1">
        <v>1</v>
      </c>
      <c r="AI698" s="1" t="s">
        <v>71</v>
      </c>
      <c r="AK698" s="1" t="s">
        <v>86</v>
      </c>
      <c r="AL698" s="1" t="s">
        <v>133</v>
      </c>
      <c r="AN698" s="1">
        <v>1</v>
      </c>
      <c r="AO698" s="1">
        <f t="shared" si="84"/>
        <v>1</v>
      </c>
    </row>
    <row r="699" spans="1:41" x14ac:dyDescent="0.4">
      <c r="A699" s="1">
        <v>1</v>
      </c>
      <c r="B699" s="1">
        <v>3</v>
      </c>
      <c r="C699" s="1" t="s">
        <v>41</v>
      </c>
      <c r="D699" s="2">
        <v>38995</v>
      </c>
      <c r="E699" s="1">
        <v>278</v>
      </c>
      <c r="F699" s="1">
        <v>2.2999999999999998</v>
      </c>
      <c r="G699" s="3">
        <v>0.28495370370370371</v>
      </c>
      <c r="H699" s="3">
        <v>0.28498842592592594</v>
      </c>
      <c r="I699" s="3">
        <v>3.472222222222765E-5</v>
      </c>
      <c r="J699" s="3">
        <v>3.472222222222765E-5</v>
      </c>
      <c r="K699" s="5">
        <f t="shared" si="83"/>
        <v>3</v>
      </c>
      <c r="L699" s="3">
        <v>4.3055555555555625E-3</v>
      </c>
      <c r="N699" s="1" t="s">
        <v>42</v>
      </c>
      <c r="O699" s="1" t="s">
        <v>286</v>
      </c>
      <c r="P699" s="1" t="s">
        <v>44</v>
      </c>
      <c r="Q699" s="1" t="s">
        <v>76</v>
      </c>
      <c r="R699" s="1" t="s">
        <v>76</v>
      </c>
      <c r="S699" s="1" t="s">
        <v>46</v>
      </c>
      <c r="T699" s="1" t="s">
        <v>47</v>
      </c>
      <c r="U699" s="1" t="s">
        <v>156</v>
      </c>
      <c r="AB699" s="1" t="s">
        <v>93</v>
      </c>
      <c r="AC699" s="1">
        <v>1</v>
      </c>
      <c r="AI699" s="1" t="s">
        <v>75</v>
      </c>
      <c r="AK699" s="1" t="s">
        <v>86</v>
      </c>
      <c r="AL699" s="1" t="s">
        <v>133</v>
      </c>
      <c r="AN699" s="1">
        <v>1</v>
      </c>
      <c r="AO699" s="1">
        <f t="shared" si="84"/>
        <v>1</v>
      </c>
    </row>
    <row r="700" spans="1:41" x14ac:dyDescent="0.4">
      <c r="A700" s="1">
        <v>1</v>
      </c>
      <c r="B700" s="1">
        <v>3</v>
      </c>
      <c r="C700" s="1" t="s">
        <v>41</v>
      </c>
      <c r="D700" s="2">
        <v>38995</v>
      </c>
      <c r="E700" s="1">
        <v>278</v>
      </c>
      <c r="F700" s="1">
        <v>2.4</v>
      </c>
      <c r="G700" s="3">
        <v>0.2892939814814815</v>
      </c>
      <c r="H700" s="3">
        <v>0.29031249999999997</v>
      </c>
      <c r="I700" s="3">
        <v>1.0185185185184742E-3</v>
      </c>
      <c r="J700" s="3">
        <v>2.0833333333331039E-4</v>
      </c>
      <c r="K700" s="5">
        <f t="shared" si="83"/>
        <v>18</v>
      </c>
      <c r="L700" s="3">
        <v>5.486111111111136E-3</v>
      </c>
      <c r="N700" s="1" t="s">
        <v>42</v>
      </c>
      <c r="O700" s="1" t="s">
        <v>286</v>
      </c>
      <c r="P700" s="1" t="s">
        <v>44</v>
      </c>
      <c r="Q700" s="1" t="s">
        <v>45</v>
      </c>
      <c r="R700" s="1" t="s">
        <v>76</v>
      </c>
      <c r="S700" s="1" t="s">
        <v>46</v>
      </c>
      <c r="T700" s="1" t="s">
        <v>47</v>
      </c>
      <c r="U700" s="1" t="s">
        <v>66</v>
      </c>
      <c r="AB700" s="1" t="s">
        <v>93</v>
      </c>
      <c r="AC700" s="1">
        <v>1</v>
      </c>
      <c r="AI700" s="1" t="s">
        <v>71</v>
      </c>
      <c r="AK700" s="1" t="s">
        <v>86</v>
      </c>
      <c r="AL700" s="1" t="s">
        <v>133</v>
      </c>
      <c r="AN700" s="1">
        <v>1</v>
      </c>
      <c r="AO700" s="1">
        <f t="shared" si="84"/>
        <v>1</v>
      </c>
    </row>
    <row r="701" spans="1:41" x14ac:dyDescent="0.4">
      <c r="A701" s="1">
        <v>1</v>
      </c>
      <c r="B701" s="1">
        <v>3</v>
      </c>
      <c r="C701" s="1" t="s">
        <v>41</v>
      </c>
      <c r="D701" s="2">
        <v>38995</v>
      </c>
      <c r="E701" s="1">
        <v>278</v>
      </c>
      <c r="F701" s="1">
        <v>2.5</v>
      </c>
      <c r="G701" s="3">
        <v>0.29579861111111111</v>
      </c>
      <c r="H701" s="3">
        <v>0.29690972222222223</v>
      </c>
      <c r="I701" s="3">
        <v>1.1111111111111183E-3</v>
      </c>
      <c r="J701" s="3">
        <v>4.8611111111102057E-4</v>
      </c>
      <c r="K701" s="5">
        <f t="shared" si="83"/>
        <v>42</v>
      </c>
      <c r="L701" s="3">
        <v>3.0439814814814947E-3</v>
      </c>
      <c r="N701" s="1" t="s">
        <v>42</v>
      </c>
      <c r="O701" s="1" t="s">
        <v>286</v>
      </c>
      <c r="P701" s="1" t="s">
        <v>44</v>
      </c>
      <c r="Q701" s="1" t="s">
        <v>132</v>
      </c>
      <c r="R701" s="1" t="s">
        <v>76</v>
      </c>
      <c r="S701" s="1" t="s">
        <v>46</v>
      </c>
      <c r="T701" s="1" t="s">
        <v>45</v>
      </c>
      <c r="U701" s="1" t="s">
        <v>156</v>
      </c>
      <c r="AB701" s="1" t="s">
        <v>93</v>
      </c>
      <c r="AC701" s="1">
        <v>1</v>
      </c>
      <c r="AI701" s="1" t="s">
        <v>75</v>
      </c>
      <c r="AK701" s="1" t="s">
        <v>61</v>
      </c>
      <c r="AL701" s="1" t="s">
        <v>133</v>
      </c>
      <c r="AN701" s="1">
        <v>1</v>
      </c>
      <c r="AO701" s="1">
        <f t="shared" si="84"/>
        <v>1</v>
      </c>
    </row>
    <row r="702" spans="1:41" x14ac:dyDescent="0.4">
      <c r="A702" s="1">
        <v>1</v>
      </c>
      <c r="B702" s="1">
        <v>3</v>
      </c>
      <c r="C702" s="1" t="s">
        <v>41</v>
      </c>
      <c r="D702" s="2">
        <v>38995</v>
      </c>
      <c r="E702" s="1">
        <v>278</v>
      </c>
      <c r="F702" s="1">
        <v>2.6</v>
      </c>
      <c r="G702" s="3">
        <v>0.29995370370370372</v>
      </c>
      <c r="H702" s="3">
        <v>0.30026620370370372</v>
      </c>
      <c r="I702" s="3">
        <v>3.1249999999999334E-4</v>
      </c>
      <c r="J702" s="3">
        <v>1.0416666666668295E-4</v>
      </c>
      <c r="K702" s="5">
        <f t="shared" si="83"/>
        <v>9</v>
      </c>
      <c r="L702" s="3">
        <v>4.1365740740740731E-2</v>
      </c>
      <c r="N702" s="1" t="s">
        <v>42</v>
      </c>
      <c r="O702" s="1" t="s">
        <v>286</v>
      </c>
      <c r="P702" s="1" t="s">
        <v>44</v>
      </c>
      <c r="Q702" s="1" t="s">
        <v>132</v>
      </c>
      <c r="R702" s="1" t="s">
        <v>132</v>
      </c>
      <c r="S702" s="1" t="s">
        <v>46</v>
      </c>
      <c r="T702" s="1" t="s">
        <v>76</v>
      </c>
      <c r="U702" s="1" t="s">
        <v>92</v>
      </c>
      <c r="AB702" s="1" t="s">
        <v>93</v>
      </c>
      <c r="AC702" s="1">
        <v>1</v>
      </c>
      <c r="AI702" s="1" t="s">
        <v>75</v>
      </c>
      <c r="AK702" s="1" t="s">
        <v>86</v>
      </c>
      <c r="AL702" s="1" t="s">
        <v>133</v>
      </c>
      <c r="AN702" s="1">
        <v>1</v>
      </c>
      <c r="AO702" s="1">
        <f t="shared" si="84"/>
        <v>1</v>
      </c>
    </row>
    <row r="703" spans="1:41" x14ac:dyDescent="0.4">
      <c r="A703" s="1">
        <v>1</v>
      </c>
      <c r="B703" s="1">
        <v>3</v>
      </c>
      <c r="C703" s="1" t="s">
        <v>41</v>
      </c>
      <c r="D703" s="2">
        <v>38995</v>
      </c>
      <c r="E703" s="1">
        <v>278</v>
      </c>
      <c r="F703" s="1">
        <v>6</v>
      </c>
      <c r="G703" s="3">
        <v>0.34163194444444445</v>
      </c>
      <c r="H703" s="3">
        <v>0.34437499999999999</v>
      </c>
      <c r="I703" s="3">
        <v>2.7430555555555403E-3</v>
      </c>
      <c r="J703" s="3">
        <v>1.0300925925925131E-3</v>
      </c>
      <c r="K703" s="5">
        <f t="shared" si="83"/>
        <v>89</v>
      </c>
      <c r="L703" s="3">
        <v>8.2175925925925819E-4</v>
      </c>
      <c r="N703" s="1" t="s">
        <v>42</v>
      </c>
      <c r="O703" s="1" t="s">
        <v>286</v>
      </c>
      <c r="P703" s="1" t="s">
        <v>44</v>
      </c>
      <c r="Q703" s="1" t="s">
        <v>76</v>
      </c>
      <c r="R703" s="1" t="s">
        <v>76</v>
      </c>
      <c r="S703" s="1" t="s">
        <v>46</v>
      </c>
      <c r="T703" s="1" t="s">
        <v>45</v>
      </c>
      <c r="V703" s="1" t="s">
        <v>49</v>
      </c>
      <c r="W703" s="1" t="s">
        <v>50</v>
      </c>
      <c r="X703" s="1" t="s">
        <v>405</v>
      </c>
      <c r="Y703" s="1" t="s">
        <v>406</v>
      </c>
      <c r="Z703" s="1" t="s">
        <v>407</v>
      </c>
      <c r="AA703" s="1" t="s">
        <v>408</v>
      </c>
      <c r="AB703" s="1" t="s">
        <v>409</v>
      </c>
      <c r="AC703" s="1">
        <v>0</v>
      </c>
      <c r="AD703" s="1" t="s">
        <v>105</v>
      </c>
      <c r="AE703" s="1" t="s">
        <v>181</v>
      </c>
      <c r="AH703" s="1" t="s">
        <v>59</v>
      </c>
      <c r="AK703" s="1" t="s">
        <v>86</v>
      </c>
      <c r="AL703" s="1" t="s">
        <v>87</v>
      </c>
      <c r="AN703" s="1">
        <v>1</v>
      </c>
      <c r="AO703" s="1">
        <f t="shared" si="84"/>
        <v>1</v>
      </c>
    </row>
    <row r="704" spans="1:41" x14ac:dyDescent="0.4">
      <c r="A704" s="1">
        <v>1</v>
      </c>
      <c r="B704" s="1">
        <v>3</v>
      </c>
      <c r="C704" s="1" t="s">
        <v>41</v>
      </c>
      <c r="D704" s="2">
        <v>38995</v>
      </c>
      <c r="E704" s="1">
        <v>278</v>
      </c>
      <c r="F704" s="1">
        <v>7</v>
      </c>
      <c r="G704" s="3">
        <v>0.34519675925925924</v>
      </c>
      <c r="H704" s="3">
        <v>0.34689814814814812</v>
      </c>
      <c r="I704" s="3">
        <v>1.7013888888888773E-3</v>
      </c>
      <c r="J704" s="3">
        <v>1.7013888888888773E-3</v>
      </c>
      <c r="K704" s="5">
        <f t="shared" si="83"/>
        <v>147</v>
      </c>
      <c r="L704" s="3">
        <v>1.134259259259307E-3</v>
      </c>
      <c r="N704" s="1" t="s">
        <v>42</v>
      </c>
      <c r="O704" s="1" t="s">
        <v>286</v>
      </c>
      <c r="P704" s="1" t="s">
        <v>44</v>
      </c>
      <c r="Q704" s="1" t="s">
        <v>76</v>
      </c>
      <c r="R704" s="1" t="s">
        <v>76</v>
      </c>
      <c r="S704" s="1" t="s">
        <v>46</v>
      </c>
      <c r="T704" s="1" t="s">
        <v>45</v>
      </c>
      <c r="V704" s="1" t="s">
        <v>49</v>
      </c>
      <c r="W704" s="1" t="s">
        <v>140</v>
      </c>
      <c r="X704" s="1" t="s">
        <v>510</v>
      </c>
      <c r="Y704" s="1" t="s">
        <v>767</v>
      </c>
      <c r="Z704" s="1" t="s">
        <v>768</v>
      </c>
      <c r="AA704" s="1" t="s">
        <v>769</v>
      </c>
      <c r="AB704" s="1" t="s">
        <v>770</v>
      </c>
      <c r="AC704" s="1">
        <v>0</v>
      </c>
      <c r="AD704" s="1" t="s">
        <v>56</v>
      </c>
      <c r="AE704" s="1" t="s">
        <v>181</v>
      </c>
      <c r="AG704" s="1" t="s">
        <v>911</v>
      </c>
      <c r="AH704" s="1" t="s">
        <v>59</v>
      </c>
      <c r="AK704" s="1" t="s">
        <v>86</v>
      </c>
      <c r="AL704" s="1" t="s">
        <v>87</v>
      </c>
      <c r="AM704" s="1">
        <v>2</v>
      </c>
      <c r="AN704" s="1">
        <v>0</v>
      </c>
      <c r="AO704" s="1">
        <f t="shared" si="84"/>
        <v>2</v>
      </c>
    </row>
    <row r="705" spans="1:41" x14ac:dyDescent="0.4">
      <c r="A705" s="1">
        <v>1</v>
      </c>
      <c r="B705" s="1">
        <v>3</v>
      </c>
      <c r="C705" s="1" t="s">
        <v>41</v>
      </c>
      <c r="D705" s="2">
        <v>38995</v>
      </c>
      <c r="E705" s="1">
        <v>278</v>
      </c>
      <c r="F705" s="1">
        <v>7.5</v>
      </c>
      <c r="G705" s="3">
        <v>0.34803240740740743</v>
      </c>
      <c r="H705" s="3">
        <v>0.3480787037037037</v>
      </c>
      <c r="I705" s="3">
        <v>4.6296296296266526E-5</v>
      </c>
      <c r="J705" s="3">
        <v>4.6296296296266526E-5</v>
      </c>
      <c r="K705" s="5">
        <f t="shared" si="83"/>
        <v>4</v>
      </c>
      <c r="L705" s="3">
        <v>9.1203703703703898E-3</v>
      </c>
      <c r="N705" s="1" t="s">
        <v>42</v>
      </c>
      <c r="O705" s="1" t="s">
        <v>286</v>
      </c>
      <c r="P705" s="1" t="s">
        <v>44</v>
      </c>
      <c r="Q705" s="1" t="s">
        <v>76</v>
      </c>
      <c r="R705" s="1" t="s">
        <v>76</v>
      </c>
      <c r="S705" s="1" t="s">
        <v>46</v>
      </c>
      <c r="T705" s="1" t="s">
        <v>47</v>
      </c>
      <c r="U705" s="1" t="s">
        <v>156</v>
      </c>
      <c r="AB705" s="1" t="s">
        <v>93</v>
      </c>
      <c r="AC705" s="1">
        <v>1</v>
      </c>
      <c r="AG705" s="1" t="s">
        <v>911</v>
      </c>
      <c r="AI705" s="1" t="s">
        <v>75</v>
      </c>
      <c r="AK705" s="1" t="s">
        <v>86</v>
      </c>
      <c r="AL705" s="1" t="s">
        <v>87</v>
      </c>
      <c r="AM705" s="1">
        <v>2</v>
      </c>
      <c r="AN705" s="1">
        <v>0</v>
      </c>
      <c r="AO705" s="1">
        <f t="shared" si="84"/>
        <v>2</v>
      </c>
    </row>
    <row r="706" spans="1:41" x14ac:dyDescent="0.4">
      <c r="A706" s="1">
        <v>1</v>
      </c>
      <c r="B706" s="1">
        <v>3</v>
      </c>
      <c r="C706" s="1" t="s">
        <v>41</v>
      </c>
      <c r="D706" s="2">
        <v>38995</v>
      </c>
      <c r="E706" s="1">
        <v>278</v>
      </c>
      <c r="F706" s="1">
        <v>8</v>
      </c>
      <c r="G706" s="3">
        <v>0.35719907407407409</v>
      </c>
      <c r="H706" s="3">
        <v>0.35782407407407407</v>
      </c>
      <c r="I706" s="3">
        <v>6.2499999999998668E-4</v>
      </c>
      <c r="J706" s="3">
        <v>6.2499999999998668E-4</v>
      </c>
      <c r="K706" s="5">
        <f t="shared" ref="K706:K769" si="85">HOUR(J706)*60*60+MINUTE(J706)*60+SECOND(J706)</f>
        <v>54</v>
      </c>
      <c r="L706" s="3">
        <v>1.3969907407407389E-2</v>
      </c>
      <c r="N706" s="1" t="s">
        <v>42</v>
      </c>
      <c r="O706" s="1" t="s">
        <v>286</v>
      </c>
      <c r="P706" s="1" t="s">
        <v>44</v>
      </c>
      <c r="Q706" s="1" t="s">
        <v>76</v>
      </c>
      <c r="R706" s="1" t="s">
        <v>76</v>
      </c>
      <c r="S706" s="1" t="s">
        <v>46</v>
      </c>
      <c r="T706" s="1" t="s">
        <v>47</v>
      </c>
      <c r="U706" s="1" t="s">
        <v>156</v>
      </c>
      <c r="V706" s="1" t="s">
        <v>49</v>
      </c>
      <c r="W706" s="1" t="s">
        <v>168</v>
      </c>
      <c r="X706" s="1" t="s">
        <v>96</v>
      </c>
      <c r="Y706" s="1">
        <v>68</v>
      </c>
      <c r="AB706" s="1" t="s">
        <v>912</v>
      </c>
      <c r="AC706" s="1">
        <v>0</v>
      </c>
      <c r="AD706" s="1" t="s">
        <v>56</v>
      </c>
      <c r="AE706" s="1" t="s">
        <v>70</v>
      </c>
      <c r="AG706" s="1" t="s">
        <v>913</v>
      </c>
      <c r="AH706" s="1" t="s">
        <v>59</v>
      </c>
      <c r="AI706" s="1" t="s">
        <v>75</v>
      </c>
      <c r="AK706" s="1" t="s">
        <v>86</v>
      </c>
      <c r="AL706" s="1" t="s">
        <v>133</v>
      </c>
      <c r="AM706" s="1">
        <v>1</v>
      </c>
      <c r="AN706" s="1">
        <v>0</v>
      </c>
      <c r="AO706" s="1">
        <f t="shared" si="84"/>
        <v>1</v>
      </c>
    </row>
    <row r="707" spans="1:41" x14ac:dyDescent="0.4">
      <c r="A707" s="1">
        <v>1</v>
      </c>
      <c r="B707" s="1">
        <v>3</v>
      </c>
      <c r="C707" s="1" t="s">
        <v>41</v>
      </c>
      <c r="D707" s="2">
        <v>38995</v>
      </c>
      <c r="E707" s="1">
        <v>278</v>
      </c>
      <c r="F707" s="1">
        <v>9</v>
      </c>
      <c r="G707" s="3">
        <v>0.37179398148148146</v>
      </c>
      <c r="H707" s="3">
        <v>0.38072916666666662</v>
      </c>
      <c r="I707" s="3">
        <v>8.9351851851851571E-3</v>
      </c>
      <c r="J707" s="3">
        <v>8.6226851851851638E-3</v>
      </c>
      <c r="K707" s="5">
        <f t="shared" si="85"/>
        <v>745</v>
      </c>
      <c r="L707" s="3">
        <v>1.25231481481482E-2</v>
      </c>
      <c r="N707" s="1" t="s">
        <v>251</v>
      </c>
      <c r="O707" s="1" t="s">
        <v>286</v>
      </c>
      <c r="P707" s="1" t="s">
        <v>44</v>
      </c>
      <c r="Q707" s="1" t="s">
        <v>45</v>
      </c>
      <c r="R707" s="1" t="s">
        <v>76</v>
      </c>
      <c r="S707" s="1" t="s">
        <v>46</v>
      </c>
      <c r="T707" s="1" t="s">
        <v>47</v>
      </c>
      <c r="U707" s="1" t="s">
        <v>156</v>
      </c>
      <c r="V707" s="1" t="s">
        <v>49</v>
      </c>
      <c r="W707" s="1" t="s">
        <v>77</v>
      </c>
      <c r="X707" s="1" t="s">
        <v>309</v>
      </c>
      <c r="Y707" s="1" t="s">
        <v>79</v>
      </c>
      <c r="Z707" s="1" t="s">
        <v>656</v>
      </c>
      <c r="AA707" s="1" t="s">
        <v>657</v>
      </c>
      <c r="AB707" s="1" t="s">
        <v>658</v>
      </c>
      <c r="AC707" s="1">
        <v>0</v>
      </c>
      <c r="AD707" s="1" t="s">
        <v>56</v>
      </c>
      <c r="AE707" s="1" t="s">
        <v>83</v>
      </c>
      <c r="AF707" s="1" t="s">
        <v>84</v>
      </c>
      <c r="AG707" s="1" t="s">
        <v>914</v>
      </c>
      <c r="AH707" s="1" t="s">
        <v>115</v>
      </c>
      <c r="AI707" s="1" t="s">
        <v>255</v>
      </c>
      <c r="AK707" s="1" t="s">
        <v>116</v>
      </c>
      <c r="AL707" s="1" t="s">
        <v>155</v>
      </c>
      <c r="AM707" s="1">
        <v>1</v>
      </c>
      <c r="AN707" s="1">
        <v>0</v>
      </c>
      <c r="AO707" s="1">
        <f t="shared" ref="AO707:AO770" si="86">SUM(AM707:AN707)</f>
        <v>1</v>
      </c>
    </row>
    <row r="708" spans="1:41" x14ac:dyDescent="0.4">
      <c r="A708" s="1">
        <v>1</v>
      </c>
      <c r="B708" s="1">
        <v>3</v>
      </c>
      <c r="C708" s="1" t="s">
        <v>41</v>
      </c>
      <c r="D708" s="2">
        <v>38995</v>
      </c>
      <c r="E708" s="1">
        <v>278</v>
      </c>
      <c r="F708" s="1">
        <v>9.5</v>
      </c>
      <c r="G708" s="3">
        <v>0.39325231481481482</v>
      </c>
      <c r="H708" s="3">
        <v>0.39328703703703699</v>
      </c>
      <c r="I708" s="3">
        <v>3.4722222222172139E-5</v>
      </c>
      <c r="J708" s="3">
        <v>3.4722222222172139E-5</v>
      </c>
      <c r="K708" s="5">
        <f t="shared" si="85"/>
        <v>3</v>
      </c>
      <c r="L708" s="3">
        <v>1.5740740740741166E-3</v>
      </c>
      <c r="N708" s="1" t="s">
        <v>251</v>
      </c>
      <c r="O708" s="1" t="s">
        <v>286</v>
      </c>
      <c r="P708" s="1" t="s">
        <v>44</v>
      </c>
      <c r="Q708" s="1" t="s">
        <v>76</v>
      </c>
      <c r="R708" s="1" t="s">
        <v>76</v>
      </c>
      <c r="S708" s="1" t="s">
        <v>46</v>
      </c>
      <c r="T708" s="1" t="s">
        <v>76</v>
      </c>
      <c r="U708" s="1" t="s">
        <v>156</v>
      </c>
      <c r="AB708" s="1" t="s">
        <v>93</v>
      </c>
      <c r="AC708" s="1">
        <v>1</v>
      </c>
      <c r="AI708" s="1" t="s">
        <v>255</v>
      </c>
      <c r="AK708" s="1" t="s">
        <v>86</v>
      </c>
      <c r="AL708" s="1" t="s">
        <v>133</v>
      </c>
      <c r="AN708" s="1">
        <v>1</v>
      </c>
      <c r="AO708" s="1">
        <f t="shared" si="86"/>
        <v>1</v>
      </c>
    </row>
    <row r="709" spans="1:41" x14ac:dyDescent="0.4">
      <c r="A709" s="1">
        <v>1</v>
      </c>
      <c r="B709" s="1">
        <v>3</v>
      </c>
      <c r="C709" s="1" t="s">
        <v>41</v>
      </c>
      <c r="D709" s="2">
        <v>38995</v>
      </c>
      <c r="E709" s="1">
        <v>278</v>
      </c>
      <c r="F709" s="1">
        <v>10</v>
      </c>
      <c r="G709" s="3">
        <v>0.39486111111111111</v>
      </c>
      <c r="H709" s="3">
        <v>0.39630208333333328</v>
      </c>
      <c r="I709" s="3">
        <v>1.4409722222221699E-3</v>
      </c>
      <c r="J709" s="3">
        <v>1.4409722222221699E-3</v>
      </c>
      <c r="K709" s="5">
        <f t="shared" si="85"/>
        <v>124</v>
      </c>
      <c r="L709" s="3">
        <v>8.3350694444444484E-2</v>
      </c>
      <c r="N709" s="1" t="s">
        <v>251</v>
      </c>
      <c r="O709" s="1" t="s">
        <v>286</v>
      </c>
      <c r="P709" s="1" t="s">
        <v>44</v>
      </c>
      <c r="Q709" s="1" t="s">
        <v>76</v>
      </c>
      <c r="R709" s="1" t="s">
        <v>76</v>
      </c>
      <c r="S709" s="1" t="s">
        <v>46</v>
      </c>
      <c r="T709" s="1" t="s">
        <v>45</v>
      </c>
      <c r="U709" s="1" t="s">
        <v>66</v>
      </c>
      <c r="V709" s="1" t="s">
        <v>49</v>
      </c>
      <c r="W709" s="1" t="s">
        <v>268</v>
      </c>
      <c r="X709" s="1" t="s">
        <v>915</v>
      </c>
      <c r="Y709" s="1" t="s">
        <v>878</v>
      </c>
      <c r="Z709" s="1" t="s">
        <v>879</v>
      </c>
      <c r="AA709" s="1" t="s">
        <v>775</v>
      </c>
      <c r="AB709" s="1" t="s">
        <v>916</v>
      </c>
      <c r="AC709" s="1">
        <v>0</v>
      </c>
      <c r="AD709" s="1" t="s">
        <v>56</v>
      </c>
      <c r="AE709" s="1" t="s">
        <v>181</v>
      </c>
      <c r="AG709" s="1" t="s">
        <v>917</v>
      </c>
      <c r="AH709" s="1" t="s">
        <v>115</v>
      </c>
      <c r="AI709" s="1" t="s">
        <v>257</v>
      </c>
      <c r="AK709" s="1" t="s">
        <v>61</v>
      </c>
      <c r="AL709" s="1" t="s">
        <v>133</v>
      </c>
      <c r="AM709" s="1">
        <v>1</v>
      </c>
      <c r="AN709" s="1">
        <v>0</v>
      </c>
      <c r="AO709" s="1">
        <f t="shared" si="86"/>
        <v>1</v>
      </c>
    </row>
    <row r="710" spans="1:41" x14ac:dyDescent="0.4">
      <c r="A710" s="1">
        <v>1</v>
      </c>
      <c r="B710" s="1">
        <v>3</v>
      </c>
      <c r="C710" s="1" t="s">
        <v>41</v>
      </c>
      <c r="D710" s="2">
        <v>38995</v>
      </c>
      <c r="E710" s="1">
        <v>278</v>
      </c>
      <c r="F710" s="1">
        <v>19</v>
      </c>
      <c r="G710" s="3">
        <v>0.47965277777777776</v>
      </c>
      <c r="H710" s="3">
        <v>0.47978009259259258</v>
      </c>
      <c r="I710" s="3">
        <v>1.2731481481481621E-4</v>
      </c>
      <c r="J710" s="3">
        <v>1.2731481481481621E-4</v>
      </c>
      <c r="K710" s="5">
        <f t="shared" si="85"/>
        <v>11</v>
      </c>
      <c r="L710" s="3" t="s">
        <v>120</v>
      </c>
      <c r="N710" s="1" t="s">
        <v>42</v>
      </c>
      <c r="O710" s="1" t="s">
        <v>286</v>
      </c>
      <c r="P710" s="1" t="s">
        <v>44</v>
      </c>
      <c r="R710" s="1" t="s">
        <v>91</v>
      </c>
      <c r="S710" s="1" t="s">
        <v>46</v>
      </c>
      <c r="T710" s="1" t="s">
        <v>45</v>
      </c>
      <c r="U710" s="1" t="s">
        <v>92</v>
      </c>
      <c r="AB710" s="1" t="s">
        <v>93</v>
      </c>
      <c r="AC710" s="1">
        <v>1</v>
      </c>
      <c r="AG710" s="1" t="s">
        <v>918</v>
      </c>
      <c r="AI710" s="1" t="s">
        <v>75</v>
      </c>
      <c r="AK710" s="1" t="s">
        <v>329</v>
      </c>
      <c r="AL710" s="1" t="s">
        <v>919</v>
      </c>
      <c r="AM710" s="1">
        <v>1</v>
      </c>
      <c r="AN710" s="1">
        <v>0</v>
      </c>
      <c r="AO710" s="1">
        <f t="shared" si="86"/>
        <v>1</v>
      </c>
    </row>
    <row r="711" spans="1:41" x14ac:dyDescent="0.4">
      <c r="A711" s="1">
        <v>1</v>
      </c>
      <c r="B711" s="1">
        <v>3</v>
      </c>
      <c r="C711" s="1" t="s">
        <v>119</v>
      </c>
      <c r="D711" s="2">
        <v>38751</v>
      </c>
      <c r="E711" s="1">
        <v>34</v>
      </c>
      <c r="F711" s="1">
        <v>1.6</v>
      </c>
      <c r="G711" s="3">
        <v>0.4395486111111111</v>
      </c>
      <c r="H711" s="3">
        <v>0.43971064814814814</v>
      </c>
      <c r="I711" s="3">
        <v>1.6203703703704386E-4</v>
      </c>
      <c r="J711" s="3">
        <v>1.6203703703704386E-4</v>
      </c>
      <c r="K711" s="5">
        <f t="shared" si="85"/>
        <v>14</v>
      </c>
      <c r="L711" s="3">
        <v>3.6736111111111081E-2</v>
      </c>
      <c r="N711" s="1" t="s">
        <v>42</v>
      </c>
      <c r="O711" s="1" t="s">
        <v>43</v>
      </c>
      <c r="P711" s="1" t="s">
        <v>44</v>
      </c>
      <c r="Q711" s="1" t="s">
        <v>45</v>
      </c>
      <c r="S711" s="1" t="s">
        <v>46</v>
      </c>
      <c r="T711" s="1" t="s">
        <v>76</v>
      </c>
      <c r="U711" s="1" t="s">
        <v>66</v>
      </c>
      <c r="V711" s="1" t="s">
        <v>102</v>
      </c>
      <c r="W711" s="1" t="s">
        <v>231</v>
      </c>
      <c r="X711" s="1" t="s">
        <v>121</v>
      </c>
      <c r="AB711" s="1" t="s">
        <v>104</v>
      </c>
      <c r="AC711" s="1">
        <v>0</v>
      </c>
      <c r="AE711" s="1" t="s">
        <v>70</v>
      </c>
      <c r="AI711" s="1" t="s">
        <v>71</v>
      </c>
      <c r="AK711" s="1" t="s">
        <v>86</v>
      </c>
      <c r="AL711" s="1" t="s">
        <v>87</v>
      </c>
      <c r="AN711" s="1">
        <v>1</v>
      </c>
      <c r="AO711" s="1">
        <f t="shared" si="86"/>
        <v>1</v>
      </c>
    </row>
    <row r="712" spans="1:41" x14ac:dyDescent="0.4">
      <c r="A712" s="1">
        <v>1</v>
      </c>
      <c r="B712" s="1">
        <v>3</v>
      </c>
      <c r="C712" s="1" t="s">
        <v>119</v>
      </c>
      <c r="D712" s="2">
        <v>38751</v>
      </c>
      <c r="E712" s="1">
        <v>34</v>
      </c>
      <c r="F712" s="1">
        <v>2.2999999999999998</v>
      </c>
      <c r="G712" s="3">
        <v>0.47644675925925922</v>
      </c>
      <c r="H712" s="3">
        <v>0.47650462962962964</v>
      </c>
      <c r="I712" s="3">
        <v>5.7870370370416424E-5</v>
      </c>
      <c r="J712" s="3">
        <v>5.7870370370416424E-5</v>
      </c>
      <c r="K712" s="5">
        <f t="shared" si="85"/>
        <v>5</v>
      </c>
      <c r="L712" s="3">
        <v>1.5138888888888924E-2</v>
      </c>
      <c r="N712" s="1" t="s">
        <v>42</v>
      </c>
      <c r="O712" s="1" t="s">
        <v>43</v>
      </c>
      <c r="P712" s="1" t="s">
        <v>44</v>
      </c>
      <c r="Q712" s="1" t="s">
        <v>76</v>
      </c>
      <c r="R712" s="1" t="s">
        <v>191</v>
      </c>
      <c r="AB712" s="1" t="s">
        <v>93</v>
      </c>
      <c r="AC712" s="1">
        <v>1</v>
      </c>
      <c r="AK712" s="1" t="s">
        <v>61</v>
      </c>
      <c r="AL712" s="1" t="s">
        <v>72</v>
      </c>
      <c r="AN712" s="1">
        <v>1</v>
      </c>
      <c r="AO712" s="1">
        <f t="shared" si="86"/>
        <v>1</v>
      </c>
    </row>
    <row r="713" spans="1:41" x14ac:dyDescent="0.4">
      <c r="A713" s="1">
        <v>1</v>
      </c>
      <c r="B713" s="1">
        <v>3</v>
      </c>
      <c r="C713" s="1" t="s">
        <v>119</v>
      </c>
      <c r="D713" s="2">
        <v>38758</v>
      </c>
      <c r="E713" s="1">
        <v>41</v>
      </c>
      <c r="F713" s="1">
        <v>0.5</v>
      </c>
      <c r="G713" s="3">
        <v>0.29332175925925924</v>
      </c>
      <c r="H713" s="3">
        <v>0.29341435185185188</v>
      </c>
      <c r="I713" s="3">
        <v>9.2592592592644074E-5</v>
      </c>
      <c r="J713" s="3">
        <v>9.2592592592644074E-5</v>
      </c>
      <c r="K713" s="5">
        <f t="shared" si="85"/>
        <v>8</v>
      </c>
      <c r="L713" s="3">
        <v>3.3958333333333313E-2</v>
      </c>
      <c r="N713" s="1" t="s">
        <v>75</v>
      </c>
      <c r="O713" s="1" t="s">
        <v>43</v>
      </c>
      <c r="P713" s="1" t="s">
        <v>44</v>
      </c>
      <c r="Q713" s="1" t="s">
        <v>76</v>
      </c>
      <c r="S713" s="1" t="s">
        <v>451</v>
      </c>
      <c r="T713" s="1" t="s">
        <v>45</v>
      </c>
      <c r="U713" s="1" t="s">
        <v>66</v>
      </c>
      <c r="AB713" s="1" t="s">
        <v>93</v>
      </c>
      <c r="AC713" s="1">
        <v>1</v>
      </c>
      <c r="AG713" s="1" t="s">
        <v>920</v>
      </c>
      <c r="AI713" s="1" t="s">
        <v>75</v>
      </c>
      <c r="AK713" s="1" t="s">
        <v>86</v>
      </c>
      <c r="AL713" s="1" t="s">
        <v>87</v>
      </c>
      <c r="AM713" s="1">
        <v>2</v>
      </c>
      <c r="AN713" s="1">
        <v>0</v>
      </c>
      <c r="AO713" s="1">
        <f t="shared" si="86"/>
        <v>2</v>
      </c>
    </row>
    <row r="714" spans="1:41" x14ac:dyDescent="0.4">
      <c r="A714" s="1">
        <v>1</v>
      </c>
      <c r="B714" s="1">
        <v>3</v>
      </c>
      <c r="C714" s="1" t="s">
        <v>119</v>
      </c>
      <c r="D714" s="2">
        <v>38758</v>
      </c>
      <c r="E714" s="1">
        <v>41</v>
      </c>
      <c r="F714" s="1">
        <v>1.2</v>
      </c>
      <c r="G714" s="3">
        <v>0.43675925925925929</v>
      </c>
      <c r="H714" s="3">
        <v>0.44043981481481481</v>
      </c>
      <c r="I714" s="3">
        <v>3.6805555555555203E-3</v>
      </c>
      <c r="J714" s="3">
        <v>6.0185185185190893E-4</v>
      </c>
      <c r="K714" s="5">
        <f t="shared" si="85"/>
        <v>52</v>
      </c>
      <c r="L714" s="3">
        <v>1.5972222222221943E-3</v>
      </c>
      <c r="N714" s="1" t="s">
        <v>42</v>
      </c>
      <c r="O714" s="1" t="s">
        <v>43</v>
      </c>
      <c r="P714" s="1" t="s">
        <v>44</v>
      </c>
      <c r="Q714" s="1" t="s">
        <v>76</v>
      </c>
      <c r="R714" s="1" t="s">
        <v>191</v>
      </c>
      <c r="S714" s="1" t="s">
        <v>46</v>
      </c>
      <c r="T714" s="1" t="s">
        <v>76</v>
      </c>
      <c r="U714" s="1" t="s">
        <v>156</v>
      </c>
      <c r="V714" s="1" t="s">
        <v>67</v>
      </c>
      <c r="W714" s="1" t="s">
        <v>68</v>
      </c>
      <c r="Y714" s="1" t="s">
        <v>68</v>
      </c>
      <c r="AB714" s="1" t="s">
        <v>69</v>
      </c>
      <c r="AC714" s="1">
        <v>0</v>
      </c>
      <c r="AD714" s="1" t="s">
        <v>68</v>
      </c>
      <c r="AE714" s="1" t="s">
        <v>70</v>
      </c>
      <c r="AG714" s="1" t="s">
        <v>921</v>
      </c>
      <c r="AI714" s="1" t="s">
        <v>75</v>
      </c>
      <c r="AK714" s="1" t="s">
        <v>86</v>
      </c>
      <c r="AL714" s="1" t="s">
        <v>87</v>
      </c>
      <c r="AM714" s="1">
        <v>1</v>
      </c>
      <c r="AN714" s="1">
        <v>0</v>
      </c>
      <c r="AO714" s="1">
        <f t="shared" si="86"/>
        <v>1</v>
      </c>
    </row>
    <row r="715" spans="1:41" x14ac:dyDescent="0.4">
      <c r="A715" s="1">
        <v>1</v>
      </c>
      <c r="B715" s="1">
        <v>3</v>
      </c>
      <c r="C715" s="1" t="s">
        <v>119</v>
      </c>
      <c r="D715" s="2">
        <v>38758</v>
      </c>
      <c r="E715" s="1">
        <v>41</v>
      </c>
      <c r="F715" s="1">
        <v>1.5</v>
      </c>
      <c r="G715" s="3">
        <v>0.44203703703703701</v>
      </c>
      <c r="H715" s="3">
        <v>0.44591435185185185</v>
      </c>
      <c r="I715" s="3">
        <v>3.8773148148148473E-3</v>
      </c>
      <c r="J715" s="3">
        <v>2.9513888888887951E-3</v>
      </c>
      <c r="K715" s="5">
        <f t="shared" si="85"/>
        <v>255</v>
      </c>
      <c r="L715" s="3">
        <v>1.402777777777775E-2</v>
      </c>
      <c r="N715" s="1" t="s">
        <v>42</v>
      </c>
      <c r="O715" s="1" t="s">
        <v>43</v>
      </c>
      <c r="P715" s="1" t="s">
        <v>44</v>
      </c>
      <c r="Q715" s="1" t="s">
        <v>45</v>
      </c>
      <c r="R715" s="1" t="s">
        <v>191</v>
      </c>
      <c r="S715" s="1" t="s">
        <v>46</v>
      </c>
      <c r="T715" s="1" t="s">
        <v>76</v>
      </c>
      <c r="U715" s="1" t="s">
        <v>92</v>
      </c>
      <c r="AB715" s="1" t="s">
        <v>93</v>
      </c>
      <c r="AC715" s="1">
        <v>1</v>
      </c>
      <c r="AG715" s="1" t="s">
        <v>922</v>
      </c>
      <c r="AI715" s="1" t="s">
        <v>75</v>
      </c>
      <c r="AK715" s="1" t="s">
        <v>86</v>
      </c>
      <c r="AL715" s="1" t="s">
        <v>87</v>
      </c>
      <c r="AM715" s="1">
        <v>3</v>
      </c>
      <c r="AN715" s="1">
        <v>0</v>
      </c>
      <c r="AO715" s="1">
        <f t="shared" si="86"/>
        <v>3</v>
      </c>
    </row>
    <row r="716" spans="1:41" x14ac:dyDescent="0.4">
      <c r="A716" s="1">
        <v>1</v>
      </c>
      <c r="B716" s="1">
        <v>3</v>
      </c>
      <c r="C716" s="1" t="s">
        <v>119</v>
      </c>
      <c r="D716" s="2">
        <v>38758</v>
      </c>
      <c r="E716" s="1">
        <v>41</v>
      </c>
      <c r="F716" s="1">
        <v>1.7</v>
      </c>
      <c r="G716" s="3">
        <v>0.4599421296296296</v>
      </c>
      <c r="H716" s="3">
        <v>0.46011574074074074</v>
      </c>
      <c r="I716" s="3">
        <v>1.7361111111113825E-4</v>
      </c>
      <c r="J716" s="3">
        <v>1.7361111111113825E-4</v>
      </c>
      <c r="K716" s="5">
        <f t="shared" si="85"/>
        <v>15</v>
      </c>
      <c r="L716" s="3">
        <v>2.1886574074074128E-2</v>
      </c>
      <c r="N716" s="1" t="s">
        <v>42</v>
      </c>
      <c r="O716" s="1" t="s">
        <v>43</v>
      </c>
      <c r="P716" s="1" t="s">
        <v>44</v>
      </c>
      <c r="Q716" s="1" t="s">
        <v>45</v>
      </c>
      <c r="R716" s="1" t="s">
        <v>91</v>
      </c>
      <c r="S716" s="1" t="s">
        <v>46</v>
      </c>
      <c r="T716" s="1" t="s">
        <v>76</v>
      </c>
      <c r="U716" s="1" t="s">
        <v>66</v>
      </c>
      <c r="AB716" s="1" t="s">
        <v>93</v>
      </c>
      <c r="AC716" s="1">
        <v>1</v>
      </c>
      <c r="AG716" s="1" t="s">
        <v>922</v>
      </c>
      <c r="AI716" s="1" t="s">
        <v>71</v>
      </c>
      <c r="AK716" s="1" t="s">
        <v>86</v>
      </c>
      <c r="AL716" s="1" t="s">
        <v>133</v>
      </c>
      <c r="AM716" s="1">
        <v>3</v>
      </c>
      <c r="AN716" s="1">
        <v>0</v>
      </c>
      <c r="AO716" s="1">
        <f t="shared" si="86"/>
        <v>3</v>
      </c>
    </row>
    <row r="717" spans="1:41" x14ac:dyDescent="0.4">
      <c r="A717" s="1">
        <v>1</v>
      </c>
      <c r="B717" s="1">
        <v>3</v>
      </c>
      <c r="C717" s="1" t="s">
        <v>119</v>
      </c>
      <c r="D717" s="2">
        <v>38758</v>
      </c>
      <c r="E717" s="1">
        <v>41</v>
      </c>
      <c r="F717" s="1">
        <v>1.8</v>
      </c>
      <c r="G717" s="3">
        <v>0.48200231481481487</v>
      </c>
      <c r="H717" s="3">
        <v>0.48207175925925921</v>
      </c>
      <c r="I717" s="3">
        <v>6.9444444444344278E-5</v>
      </c>
      <c r="J717" s="3">
        <v>6.9444444444344278E-5</v>
      </c>
      <c r="K717" s="5">
        <f t="shared" si="85"/>
        <v>6</v>
      </c>
      <c r="L717" s="3">
        <v>6.7106481481481517E-2</v>
      </c>
      <c r="N717" s="1" t="s">
        <v>42</v>
      </c>
      <c r="O717" s="1" t="s">
        <v>43</v>
      </c>
      <c r="P717" s="1" t="s">
        <v>44</v>
      </c>
      <c r="Q717" s="1" t="s">
        <v>76</v>
      </c>
      <c r="R717" s="1" t="s">
        <v>91</v>
      </c>
      <c r="S717" s="1" t="s">
        <v>451</v>
      </c>
      <c r="T717" s="1" t="s">
        <v>76</v>
      </c>
      <c r="U717" s="1" t="s">
        <v>92</v>
      </c>
      <c r="AB717" s="1" t="s">
        <v>93</v>
      </c>
      <c r="AC717" s="1">
        <v>1</v>
      </c>
      <c r="AG717" s="1" t="s">
        <v>922</v>
      </c>
      <c r="AI717" s="1" t="s">
        <v>75</v>
      </c>
      <c r="AK717" s="1" t="s">
        <v>86</v>
      </c>
      <c r="AL717" s="1" t="s">
        <v>87</v>
      </c>
      <c r="AM717" s="1">
        <v>3</v>
      </c>
      <c r="AN717" s="1">
        <v>0</v>
      </c>
      <c r="AO717" s="1">
        <f t="shared" si="86"/>
        <v>3</v>
      </c>
    </row>
    <row r="718" spans="1:41" x14ac:dyDescent="0.4">
      <c r="A718" s="1">
        <v>1</v>
      </c>
      <c r="B718" s="1">
        <v>3</v>
      </c>
      <c r="C718" s="1" t="s">
        <v>119</v>
      </c>
      <c r="D718" s="2">
        <v>38758</v>
      </c>
      <c r="E718" s="1">
        <v>41</v>
      </c>
      <c r="F718" s="1">
        <v>3</v>
      </c>
      <c r="G718" s="3">
        <v>0.54917824074074073</v>
      </c>
      <c r="H718" s="3">
        <v>0.55016203703703703</v>
      </c>
      <c r="I718" s="3">
        <v>9.8379629629630205E-4</v>
      </c>
      <c r="J718" s="3">
        <v>9.8379629629630205E-4</v>
      </c>
      <c r="K718" s="5">
        <f t="shared" si="85"/>
        <v>85</v>
      </c>
      <c r="L718" s="3">
        <v>6.9675925925926085E-3</v>
      </c>
      <c r="N718" s="1" t="s">
        <v>42</v>
      </c>
      <c r="O718" s="1" t="s">
        <v>43</v>
      </c>
      <c r="P718" s="1" t="s">
        <v>44</v>
      </c>
      <c r="Q718" s="1" t="s">
        <v>45</v>
      </c>
      <c r="R718" s="1" t="s">
        <v>191</v>
      </c>
      <c r="S718" s="1" t="s">
        <v>46</v>
      </c>
      <c r="T718" s="1" t="s">
        <v>76</v>
      </c>
      <c r="U718" s="1" t="s">
        <v>92</v>
      </c>
      <c r="V718" s="1" t="s">
        <v>49</v>
      </c>
      <c r="W718" s="1" t="s">
        <v>168</v>
      </c>
      <c r="X718" s="1" t="s">
        <v>96</v>
      </c>
      <c r="Y718" s="1" t="s">
        <v>52</v>
      </c>
      <c r="AB718" s="1" t="s">
        <v>923</v>
      </c>
      <c r="AC718" s="1">
        <v>0</v>
      </c>
      <c r="AD718" s="1" t="s">
        <v>56</v>
      </c>
      <c r="AE718" s="1" t="s">
        <v>70</v>
      </c>
      <c r="AG718" s="1" t="s">
        <v>924</v>
      </c>
      <c r="AI718" s="1" t="s">
        <v>75</v>
      </c>
      <c r="AK718" s="1" t="s">
        <v>86</v>
      </c>
      <c r="AL718" s="1" t="s">
        <v>87</v>
      </c>
      <c r="AM718" s="1">
        <v>2</v>
      </c>
      <c r="AN718" s="1">
        <v>0</v>
      </c>
      <c r="AO718" s="1">
        <f t="shared" si="86"/>
        <v>2</v>
      </c>
    </row>
    <row r="719" spans="1:41" x14ac:dyDescent="0.4">
      <c r="A719" s="1">
        <v>1</v>
      </c>
      <c r="B719" s="1">
        <v>3</v>
      </c>
      <c r="C719" s="1" t="s">
        <v>119</v>
      </c>
      <c r="D719" s="2">
        <v>38758</v>
      </c>
      <c r="E719" s="1">
        <v>41</v>
      </c>
      <c r="F719" s="1">
        <v>5.0999999999999996</v>
      </c>
      <c r="G719" s="3">
        <v>0.55712962962962964</v>
      </c>
      <c r="H719" s="3">
        <v>0.55815972222222221</v>
      </c>
      <c r="I719" s="3">
        <v>1.0300925925925686E-3</v>
      </c>
      <c r="J719" s="3">
        <v>1.0300925925925686E-3</v>
      </c>
      <c r="K719" s="5">
        <f t="shared" si="85"/>
        <v>89</v>
      </c>
      <c r="L719" s="3">
        <v>6.8518518518518867E-3</v>
      </c>
      <c r="N719" s="1" t="s">
        <v>42</v>
      </c>
      <c r="O719" s="1" t="s">
        <v>43</v>
      </c>
      <c r="P719" s="1" t="s">
        <v>44</v>
      </c>
      <c r="Q719" s="1" t="s">
        <v>695</v>
      </c>
      <c r="R719" s="1" t="s">
        <v>191</v>
      </c>
      <c r="S719" s="1" t="s">
        <v>46</v>
      </c>
      <c r="T719" s="1" t="s">
        <v>76</v>
      </c>
      <c r="U719" s="1" t="s">
        <v>66</v>
      </c>
      <c r="V719" s="1" t="s">
        <v>102</v>
      </c>
      <c r="W719" s="1" t="s">
        <v>231</v>
      </c>
      <c r="X719" s="1" t="s">
        <v>121</v>
      </c>
      <c r="AB719" s="1" t="s">
        <v>104</v>
      </c>
      <c r="AC719" s="1">
        <v>0</v>
      </c>
      <c r="AE719" s="1" t="s">
        <v>70</v>
      </c>
      <c r="AG719" s="1" t="s">
        <v>924</v>
      </c>
      <c r="AI719" s="1" t="s">
        <v>71</v>
      </c>
      <c r="AK719" s="1" t="s">
        <v>86</v>
      </c>
      <c r="AL719" s="1" t="s">
        <v>87</v>
      </c>
      <c r="AM719" s="1">
        <v>2</v>
      </c>
      <c r="AN719" s="1">
        <v>0</v>
      </c>
      <c r="AO719" s="1">
        <f t="shared" si="86"/>
        <v>2</v>
      </c>
    </row>
    <row r="720" spans="1:41" x14ac:dyDescent="0.4">
      <c r="A720" s="1">
        <v>1</v>
      </c>
      <c r="B720" s="1">
        <v>3</v>
      </c>
      <c r="C720" s="1" t="s">
        <v>119</v>
      </c>
      <c r="D720" s="2">
        <v>38758</v>
      </c>
      <c r="E720" s="1">
        <v>41</v>
      </c>
      <c r="F720" s="1">
        <v>5.2</v>
      </c>
      <c r="G720" s="3">
        <v>0.5650115740740741</v>
      </c>
      <c r="H720" s="3">
        <v>0.5650115740740741</v>
      </c>
      <c r="I720" s="3">
        <v>0</v>
      </c>
      <c r="J720" s="3">
        <v>0</v>
      </c>
      <c r="K720" s="5">
        <f t="shared" si="85"/>
        <v>0</v>
      </c>
      <c r="L720" s="3">
        <v>7.222222222222241E-3</v>
      </c>
      <c r="N720" s="1" t="s">
        <v>42</v>
      </c>
      <c r="O720" s="1" t="s">
        <v>43</v>
      </c>
      <c r="P720" s="1" t="s">
        <v>44</v>
      </c>
      <c r="Q720" s="1" t="s">
        <v>695</v>
      </c>
      <c r="R720" s="1" t="s">
        <v>191</v>
      </c>
      <c r="S720" s="1" t="s">
        <v>46</v>
      </c>
      <c r="T720" s="1" t="s">
        <v>76</v>
      </c>
      <c r="U720" s="1" t="s">
        <v>66</v>
      </c>
      <c r="AB720" s="1" t="s">
        <v>93</v>
      </c>
      <c r="AC720" s="1">
        <v>1</v>
      </c>
      <c r="AG720" s="1" t="s">
        <v>925</v>
      </c>
      <c r="AI720" s="1" t="s">
        <v>71</v>
      </c>
      <c r="AK720" s="1" t="s">
        <v>61</v>
      </c>
      <c r="AL720" s="1" t="s">
        <v>61</v>
      </c>
      <c r="AM720" s="1">
        <v>1</v>
      </c>
      <c r="AN720" s="1">
        <v>0</v>
      </c>
      <c r="AO720" s="1">
        <f t="shared" si="86"/>
        <v>1</v>
      </c>
    </row>
    <row r="721" spans="1:41" x14ac:dyDescent="0.4">
      <c r="A721" s="1">
        <v>1</v>
      </c>
      <c r="B721" s="1">
        <v>3</v>
      </c>
      <c r="C721" s="1" t="s">
        <v>119</v>
      </c>
      <c r="D721" s="2">
        <v>38758</v>
      </c>
      <c r="E721" s="1">
        <v>41</v>
      </c>
      <c r="F721" s="1">
        <v>5.3</v>
      </c>
      <c r="G721" s="3">
        <v>0.57223379629629634</v>
      </c>
      <c r="H721" s="3">
        <v>0.5740277777777778</v>
      </c>
      <c r="I721" s="3">
        <v>1.7939814814814659E-3</v>
      </c>
      <c r="J721" s="3">
        <v>2.199074074075158E-4</v>
      </c>
      <c r="K721" s="5">
        <f t="shared" si="85"/>
        <v>19</v>
      </c>
      <c r="L721" s="3">
        <v>4.4560185185185119E-3</v>
      </c>
      <c r="N721" s="1" t="s">
        <v>42</v>
      </c>
      <c r="O721" s="1" t="s">
        <v>43</v>
      </c>
      <c r="P721" s="1" t="s">
        <v>44</v>
      </c>
      <c r="Q721" s="1" t="s">
        <v>695</v>
      </c>
      <c r="R721" s="1" t="s">
        <v>91</v>
      </c>
      <c r="S721" s="1" t="s">
        <v>46</v>
      </c>
      <c r="T721" s="1" t="s">
        <v>76</v>
      </c>
      <c r="U721" s="1" t="s">
        <v>66</v>
      </c>
      <c r="AB721" s="1" t="s">
        <v>93</v>
      </c>
      <c r="AC721" s="1">
        <v>1</v>
      </c>
      <c r="AI721" s="1" t="s">
        <v>71</v>
      </c>
      <c r="AK721" s="1" t="s">
        <v>61</v>
      </c>
      <c r="AL721" s="1" t="s">
        <v>61</v>
      </c>
      <c r="AN721" s="1">
        <v>1</v>
      </c>
      <c r="AO721" s="1">
        <f t="shared" si="86"/>
        <v>1</v>
      </c>
    </row>
    <row r="722" spans="1:41" x14ac:dyDescent="0.4">
      <c r="A722" s="1">
        <v>1</v>
      </c>
      <c r="B722" s="1">
        <v>3</v>
      </c>
      <c r="C722" s="1" t="s">
        <v>119</v>
      </c>
      <c r="D722" s="2">
        <v>38758</v>
      </c>
      <c r="E722" s="1">
        <v>41</v>
      </c>
      <c r="F722" s="1">
        <v>5.4</v>
      </c>
      <c r="G722" s="3">
        <v>0.57848379629629632</v>
      </c>
      <c r="H722" s="3">
        <v>0.57876157407407403</v>
      </c>
      <c r="I722" s="3">
        <v>2.7777777777771018E-4</v>
      </c>
      <c r="J722" s="3">
        <v>1.1574074074072183E-4</v>
      </c>
      <c r="K722" s="5">
        <f t="shared" si="85"/>
        <v>10</v>
      </c>
      <c r="L722" s="3">
        <v>6.1620370370370381E-2</v>
      </c>
      <c r="N722" s="1" t="s">
        <v>42</v>
      </c>
      <c r="O722" s="1" t="s">
        <v>43</v>
      </c>
      <c r="P722" s="1" t="s">
        <v>44</v>
      </c>
      <c r="Q722" s="1" t="s">
        <v>76</v>
      </c>
      <c r="R722" s="1" t="s">
        <v>76</v>
      </c>
      <c r="S722" s="1" t="s">
        <v>46</v>
      </c>
      <c r="AB722" s="1" t="s">
        <v>93</v>
      </c>
      <c r="AC722" s="1">
        <v>1</v>
      </c>
      <c r="AK722" s="1" t="s">
        <v>61</v>
      </c>
      <c r="AL722" s="1" t="s">
        <v>72</v>
      </c>
      <c r="AN722" s="1">
        <v>1</v>
      </c>
      <c r="AO722" s="1">
        <f t="shared" si="86"/>
        <v>1</v>
      </c>
    </row>
    <row r="723" spans="1:41" x14ac:dyDescent="0.4">
      <c r="A723" s="1">
        <v>1</v>
      </c>
      <c r="B723" s="1">
        <v>3</v>
      </c>
      <c r="C723" s="1" t="s">
        <v>119</v>
      </c>
      <c r="D723" s="2">
        <v>38758</v>
      </c>
      <c r="E723" s="1">
        <v>41</v>
      </c>
      <c r="F723" s="1">
        <v>5.7</v>
      </c>
      <c r="G723" s="3">
        <v>0.64038194444444441</v>
      </c>
      <c r="H723" s="3">
        <v>0.64097222222222217</v>
      </c>
      <c r="I723" s="3">
        <v>5.9027777777775903E-4</v>
      </c>
      <c r="J723" s="3">
        <v>5.9027777777775903E-4</v>
      </c>
      <c r="K723" s="5">
        <f t="shared" si="85"/>
        <v>51</v>
      </c>
      <c r="L723" s="3">
        <v>2.6180555555555651E-2</v>
      </c>
      <c r="N723" s="1" t="s">
        <v>42</v>
      </c>
      <c r="O723" s="1" t="s">
        <v>43</v>
      </c>
      <c r="P723" s="1" t="s">
        <v>44</v>
      </c>
      <c r="Q723" s="1" t="s">
        <v>45</v>
      </c>
      <c r="R723" s="1" t="s">
        <v>191</v>
      </c>
      <c r="S723" s="1" t="s">
        <v>46</v>
      </c>
      <c r="T723" s="1" t="s">
        <v>45</v>
      </c>
      <c r="U723" s="1" t="s">
        <v>156</v>
      </c>
      <c r="AB723" s="1" t="s">
        <v>93</v>
      </c>
      <c r="AC723" s="1">
        <v>1</v>
      </c>
      <c r="AG723" s="1" t="s">
        <v>847</v>
      </c>
      <c r="AI723" s="1" t="s">
        <v>75</v>
      </c>
      <c r="AK723" s="1" t="s">
        <v>86</v>
      </c>
      <c r="AL723" s="1" t="s">
        <v>187</v>
      </c>
      <c r="AM723" s="1">
        <v>2</v>
      </c>
      <c r="AN723" s="1">
        <v>0</v>
      </c>
      <c r="AO723" s="1">
        <f t="shared" si="86"/>
        <v>2</v>
      </c>
    </row>
    <row r="724" spans="1:41" x14ac:dyDescent="0.4">
      <c r="A724" s="1">
        <v>1</v>
      </c>
      <c r="B724" s="1">
        <v>3</v>
      </c>
      <c r="C724" s="1" t="s">
        <v>119</v>
      </c>
      <c r="D724" s="2">
        <v>38758</v>
      </c>
      <c r="E724" s="1">
        <v>41</v>
      </c>
      <c r="F724" s="1">
        <v>7.5</v>
      </c>
      <c r="G724" s="3">
        <v>0.70304398148148151</v>
      </c>
      <c r="H724" s="3">
        <v>0.70348379629629632</v>
      </c>
      <c r="I724" s="3">
        <v>4.3981481481480955E-4</v>
      </c>
      <c r="J724" s="3">
        <v>4.3981481481480955E-4</v>
      </c>
      <c r="K724" s="5">
        <f t="shared" si="85"/>
        <v>38</v>
      </c>
      <c r="L724" s="3">
        <v>1.2037037037037068E-3</v>
      </c>
      <c r="N724" s="1" t="s">
        <v>42</v>
      </c>
      <c r="O724" s="1" t="s">
        <v>43</v>
      </c>
      <c r="P724" s="1" t="s">
        <v>44</v>
      </c>
      <c r="S724" s="1" t="s">
        <v>46</v>
      </c>
      <c r="T724" s="1" t="s">
        <v>45</v>
      </c>
      <c r="U724" s="1" t="s">
        <v>66</v>
      </c>
      <c r="AB724" s="1" t="s">
        <v>93</v>
      </c>
      <c r="AC724" s="1">
        <v>1</v>
      </c>
      <c r="AI724" s="1" t="s">
        <v>71</v>
      </c>
      <c r="AK724" s="1" t="s">
        <v>61</v>
      </c>
      <c r="AL724" s="1" t="s">
        <v>61</v>
      </c>
      <c r="AN724" s="1">
        <v>1</v>
      </c>
      <c r="AO724" s="1">
        <f t="shared" si="86"/>
        <v>1</v>
      </c>
    </row>
    <row r="725" spans="1:41" x14ac:dyDescent="0.4">
      <c r="A725" s="1">
        <v>1</v>
      </c>
      <c r="B725" s="1">
        <v>3</v>
      </c>
      <c r="C725" s="1" t="s">
        <v>119</v>
      </c>
      <c r="D725" s="2">
        <v>38764</v>
      </c>
      <c r="E725" s="1">
        <v>47</v>
      </c>
      <c r="F725" s="1">
        <v>1.8</v>
      </c>
      <c r="G725" s="3">
        <v>0.57374999999999998</v>
      </c>
      <c r="H725" s="3">
        <v>0.57398148148148154</v>
      </c>
      <c r="I725" s="3">
        <v>2.3148148148155467E-4</v>
      </c>
      <c r="J725" s="3">
        <v>2.3148148148155467E-4</v>
      </c>
      <c r="K725" s="5">
        <f t="shared" si="85"/>
        <v>20</v>
      </c>
      <c r="L725" s="3">
        <v>1.2592592592592489E-2</v>
      </c>
      <c r="N725" s="1" t="s">
        <v>42</v>
      </c>
      <c r="O725" s="1" t="s">
        <v>43</v>
      </c>
      <c r="P725" s="1" t="s">
        <v>44</v>
      </c>
      <c r="Q725" s="1" t="s">
        <v>76</v>
      </c>
      <c r="R725" s="1" t="s">
        <v>76</v>
      </c>
      <c r="S725" s="1" t="s">
        <v>46</v>
      </c>
      <c r="T725" s="1" t="s">
        <v>45</v>
      </c>
      <c r="U725" s="1" t="s">
        <v>66</v>
      </c>
      <c r="V725" s="1" t="s">
        <v>102</v>
      </c>
      <c r="W725" s="1" t="s">
        <v>231</v>
      </c>
      <c r="X725" s="1" t="s">
        <v>121</v>
      </c>
      <c r="AB725" s="1" t="s">
        <v>104</v>
      </c>
      <c r="AC725" s="1">
        <v>0</v>
      </c>
      <c r="AE725" s="1" t="s">
        <v>70</v>
      </c>
      <c r="AI725" s="1" t="s">
        <v>71</v>
      </c>
      <c r="AK725" s="1" t="s">
        <v>61</v>
      </c>
      <c r="AL725" s="1" t="s">
        <v>133</v>
      </c>
      <c r="AN725" s="1">
        <v>1</v>
      </c>
      <c r="AO725" s="1">
        <f t="shared" si="86"/>
        <v>1</v>
      </c>
    </row>
    <row r="726" spans="1:41" x14ac:dyDescent="0.4">
      <c r="A726" s="1">
        <v>1</v>
      </c>
      <c r="B726" s="1">
        <v>3</v>
      </c>
      <c r="C726" s="1" t="s">
        <v>119</v>
      </c>
      <c r="D726" s="2">
        <v>38764</v>
      </c>
      <c r="E726" s="1">
        <v>47</v>
      </c>
      <c r="F726" s="1">
        <v>3</v>
      </c>
      <c r="G726" s="3">
        <v>0.61859953703703707</v>
      </c>
      <c r="H726" s="3">
        <v>0.61958333333333326</v>
      </c>
      <c r="I726" s="3">
        <v>9.8379629629619103E-4</v>
      </c>
      <c r="J726" s="3">
        <v>9.8379629629619103E-4</v>
      </c>
      <c r="K726" s="5">
        <f t="shared" si="85"/>
        <v>85</v>
      </c>
      <c r="L726" s="3">
        <v>1.6851851851851896E-2</v>
      </c>
      <c r="N726" s="1" t="s">
        <v>42</v>
      </c>
      <c r="O726" s="1" t="s">
        <v>43</v>
      </c>
      <c r="P726" s="1" t="s">
        <v>44</v>
      </c>
      <c r="Q726" s="1" t="s">
        <v>76</v>
      </c>
      <c r="R726" s="1" t="s">
        <v>76</v>
      </c>
      <c r="S726" s="1" t="s">
        <v>46</v>
      </c>
      <c r="T726" s="1" t="s">
        <v>45</v>
      </c>
      <c r="U726" s="1" t="s">
        <v>66</v>
      </c>
      <c r="X726" s="1" t="s">
        <v>926</v>
      </c>
      <c r="AB726" s="1" t="s">
        <v>93</v>
      </c>
      <c r="AC726" s="1">
        <v>1</v>
      </c>
      <c r="AD726" s="1" t="s">
        <v>56</v>
      </c>
      <c r="AE726" s="1" t="s">
        <v>181</v>
      </c>
      <c r="AG726" s="1" t="s">
        <v>927</v>
      </c>
      <c r="AI726" s="1" t="s">
        <v>71</v>
      </c>
      <c r="AK726" s="1" t="s">
        <v>61</v>
      </c>
      <c r="AL726" s="1" t="s">
        <v>72</v>
      </c>
      <c r="AM726" s="1">
        <v>1</v>
      </c>
      <c r="AN726" s="1">
        <v>0</v>
      </c>
      <c r="AO726" s="1">
        <f t="shared" si="86"/>
        <v>1</v>
      </c>
    </row>
    <row r="727" spans="1:41" x14ac:dyDescent="0.4">
      <c r="A727" s="1">
        <v>1</v>
      </c>
      <c r="B727" s="1">
        <v>3</v>
      </c>
      <c r="C727" s="1" t="s">
        <v>119</v>
      </c>
      <c r="D727" s="2">
        <v>38764</v>
      </c>
      <c r="E727" s="1">
        <v>47</v>
      </c>
      <c r="F727" s="1">
        <v>5.5</v>
      </c>
      <c r="G727" s="3">
        <v>0.65914351851851849</v>
      </c>
      <c r="H727" s="3">
        <v>0.66137731481481488</v>
      </c>
      <c r="I727" s="3">
        <v>2.2337962962963864E-3</v>
      </c>
      <c r="J727" s="3">
        <v>2.2337962962963864E-3</v>
      </c>
      <c r="K727" s="5">
        <f t="shared" si="85"/>
        <v>193</v>
      </c>
      <c r="L727" s="3">
        <v>2.7233796296296298E-2</v>
      </c>
      <c r="N727" s="1" t="s">
        <v>42</v>
      </c>
      <c r="O727" s="1" t="s">
        <v>43</v>
      </c>
      <c r="P727" s="1" t="s">
        <v>44</v>
      </c>
      <c r="Q727" s="1" t="s">
        <v>45</v>
      </c>
      <c r="R727" s="1" t="s">
        <v>191</v>
      </c>
      <c r="S727" s="1" t="s">
        <v>46</v>
      </c>
      <c r="T727" s="1" t="s">
        <v>45</v>
      </c>
      <c r="U727" s="1" t="s">
        <v>66</v>
      </c>
      <c r="V727" s="1" t="s">
        <v>49</v>
      </c>
      <c r="W727" s="1" t="s">
        <v>439</v>
      </c>
      <c r="X727" s="1" t="s">
        <v>928</v>
      </c>
      <c r="Y727" s="1" t="s">
        <v>376</v>
      </c>
      <c r="Z727" s="1" t="s">
        <v>929</v>
      </c>
      <c r="AB727" s="1" t="s">
        <v>930</v>
      </c>
      <c r="AC727" s="1">
        <v>0</v>
      </c>
      <c r="AD727" s="1" t="s">
        <v>56</v>
      </c>
      <c r="AE727" s="1" t="s">
        <v>181</v>
      </c>
      <c r="AH727" s="1" t="s">
        <v>59</v>
      </c>
      <c r="AI727" s="1" t="s">
        <v>71</v>
      </c>
      <c r="AK727" s="1" t="s">
        <v>86</v>
      </c>
      <c r="AL727" s="1" t="s">
        <v>187</v>
      </c>
      <c r="AN727" s="1">
        <v>1</v>
      </c>
      <c r="AO727" s="1">
        <f t="shared" si="86"/>
        <v>1</v>
      </c>
    </row>
    <row r="728" spans="1:41" x14ac:dyDescent="0.4">
      <c r="A728" s="1">
        <v>1</v>
      </c>
      <c r="B728" s="1">
        <v>3</v>
      </c>
      <c r="C728" s="1" t="s">
        <v>119</v>
      </c>
      <c r="D728" s="2">
        <v>38768</v>
      </c>
      <c r="E728" s="1">
        <v>51</v>
      </c>
      <c r="F728" s="1">
        <v>2.5</v>
      </c>
      <c r="G728" s="3">
        <v>0.4123148148148148</v>
      </c>
      <c r="H728" s="3">
        <v>0.41516203703703702</v>
      </c>
      <c r="I728" s="3">
        <v>2.8472222222222232E-3</v>
      </c>
      <c r="J728" s="3">
        <v>2.8472222222222232E-3</v>
      </c>
      <c r="K728" s="5">
        <f t="shared" si="85"/>
        <v>246</v>
      </c>
      <c r="L728" s="3">
        <v>2.8530092592592593E-2</v>
      </c>
      <c r="N728" s="1" t="s">
        <v>42</v>
      </c>
      <c r="O728" s="1" t="s">
        <v>43</v>
      </c>
      <c r="P728" s="1" t="s">
        <v>44</v>
      </c>
      <c r="Q728" s="1" t="s">
        <v>76</v>
      </c>
      <c r="R728" s="1" t="s">
        <v>91</v>
      </c>
      <c r="S728" s="1" t="s">
        <v>451</v>
      </c>
      <c r="T728" s="1" t="s">
        <v>76</v>
      </c>
      <c r="AB728" s="1" t="s">
        <v>93</v>
      </c>
      <c r="AC728" s="1">
        <v>1</v>
      </c>
      <c r="AG728" s="1" t="s">
        <v>931</v>
      </c>
      <c r="AK728" s="1" t="s">
        <v>86</v>
      </c>
      <c r="AL728" s="1" t="s">
        <v>87</v>
      </c>
      <c r="AM728" s="1">
        <v>1</v>
      </c>
      <c r="AN728" s="1">
        <v>0</v>
      </c>
      <c r="AO728" s="1">
        <f t="shared" si="86"/>
        <v>1</v>
      </c>
    </row>
    <row r="729" spans="1:41" x14ac:dyDescent="0.4">
      <c r="A729" s="1">
        <v>1</v>
      </c>
      <c r="B729" s="1">
        <v>3</v>
      </c>
      <c r="C729" s="1" t="s">
        <v>119</v>
      </c>
      <c r="D729" s="2">
        <v>38768</v>
      </c>
      <c r="E729" s="1">
        <v>51</v>
      </c>
      <c r="F729" s="1">
        <v>2.8</v>
      </c>
      <c r="G729" s="3">
        <v>0.44369212962962962</v>
      </c>
      <c r="H729" s="3">
        <v>0.44392361111111112</v>
      </c>
      <c r="I729" s="3">
        <v>2.3148148148149916E-4</v>
      </c>
      <c r="J729" s="3">
        <v>9.2592592592588563E-5</v>
      </c>
      <c r="K729" s="5">
        <f t="shared" si="85"/>
        <v>8</v>
      </c>
      <c r="L729" s="3">
        <v>4.4907407407407396E-2</v>
      </c>
      <c r="N729" s="1" t="s">
        <v>75</v>
      </c>
      <c r="O729" s="1" t="s">
        <v>43</v>
      </c>
      <c r="P729" s="1" t="s">
        <v>44</v>
      </c>
      <c r="Q729" s="1" t="s">
        <v>45</v>
      </c>
      <c r="R729" s="1" t="s">
        <v>45</v>
      </c>
      <c r="S729" s="1" t="s">
        <v>46</v>
      </c>
      <c r="T729" s="1" t="s">
        <v>45</v>
      </c>
      <c r="U729" s="1" t="s">
        <v>92</v>
      </c>
      <c r="AB729" s="1" t="s">
        <v>93</v>
      </c>
      <c r="AC729" s="1">
        <v>1</v>
      </c>
      <c r="AI729" s="1" t="s">
        <v>75</v>
      </c>
      <c r="AK729" s="1" t="s">
        <v>61</v>
      </c>
      <c r="AL729" s="1" t="s">
        <v>72</v>
      </c>
      <c r="AN729" s="1">
        <v>1</v>
      </c>
      <c r="AO729" s="1">
        <f t="shared" si="86"/>
        <v>1</v>
      </c>
    </row>
    <row r="730" spans="1:41" x14ac:dyDescent="0.4">
      <c r="A730" s="1">
        <v>1</v>
      </c>
      <c r="B730" s="1">
        <v>3</v>
      </c>
      <c r="C730" s="1" t="s">
        <v>119</v>
      </c>
      <c r="D730" s="2">
        <v>38768</v>
      </c>
      <c r="E730" s="1">
        <v>51</v>
      </c>
      <c r="F730" s="1">
        <v>4.0999999999999996</v>
      </c>
      <c r="G730" s="3">
        <v>0.53736111111111107</v>
      </c>
      <c r="H730" s="3">
        <v>0.53831018518518514</v>
      </c>
      <c r="I730" s="3">
        <v>9.490740740740744E-4</v>
      </c>
      <c r="J730" s="3">
        <v>9.490740740740744E-4</v>
      </c>
      <c r="K730" s="5">
        <f t="shared" si="85"/>
        <v>82</v>
      </c>
      <c r="L730" s="3">
        <v>9.6643518518518823E-3</v>
      </c>
      <c r="N730" s="1" t="s">
        <v>42</v>
      </c>
      <c r="O730" s="1" t="s">
        <v>43</v>
      </c>
      <c r="P730" s="1" t="s">
        <v>44</v>
      </c>
      <c r="Q730" s="1" t="s">
        <v>45</v>
      </c>
      <c r="R730" s="1" t="s">
        <v>76</v>
      </c>
      <c r="S730" s="1" t="s">
        <v>46</v>
      </c>
      <c r="T730" s="1" t="s">
        <v>45</v>
      </c>
      <c r="U730" s="1" t="s">
        <v>66</v>
      </c>
      <c r="V730" s="1" t="s">
        <v>49</v>
      </c>
      <c r="W730" s="1" t="s">
        <v>168</v>
      </c>
      <c r="X730" s="1" t="s">
        <v>121</v>
      </c>
      <c r="AB730" s="1" t="s">
        <v>258</v>
      </c>
      <c r="AC730" s="1">
        <v>0</v>
      </c>
      <c r="AE730" s="1" t="s">
        <v>70</v>
      </c>
      <c r="AI730" s="1" t="s">
        <v>71</v>
      </c>
      <c r="AK730" s="1" t="s">
        <v>86</v>
      </c>
      <c r="AL730" s="1" t="s">
        <v>133</v>
      </c>
      <c r="AN730" s="1">
        <v>1</v>
      </c>
      <c r="AO730" s="1">
        <f t="shared" si="86"/>
        <v>1</v>
      </c>
    </row>
    <row r="731" spans="1:41" x14ac:dyDescent="0.4">
      <c r="A731" s="1">
        <v>1</v>
      </c>
      <c r="B731" s="1">
        <v>3</v>
      </c>
      <c r="C731" s="1" t="s">
        <v>119</v>
      </c>
      <c r="D731" s="2">
        <v>38768</v>
      </c>
      <c r="E731" s="1">
        <v>51</v>
      </c>
      <c r="F731" s="1">
        <v>4.3</v>
      </c>
      <c r="G731" s="3">
        <v>0.54797453703703702</v>
      </c>
      <c r="H731" s="3">
        <v>0.54799768518518521</v>
      </c>
      <c r="I731" s="3">
        <v>2.3148148148188774E-5</v>
      </c>
      <c r="J731" s="3">
        <v>2.3148148148188774E-5</v>
      </c>
      <c r="K731" s="5">
        <f t="shared" si="85"/>
        <v>2</v>
      </c>
      <c r="L731" s="3">
        <v>5.2662037037036757E-3</v>
      </c>
      <c r="N731" s="1" t="s">
        <v>42</v>
      </c>
      <c r="O731" s="1" t="s">
        <v>43</v>
      </c>
      <c r="P731" s="1" t="s">
        <v>44</v>
      </c>
      <c r="Q731" s="1" t="s">
        <v>45</v>
      </c>
      <c r="R731" s="1" t="s">
        <v>132</v>
      </c>
      <c r="S731" s="1" t="s">
        <v>46</v>
      </c>
      <c r="T731" s="1" t="s">
        <v>45</v>
      </c>
      <c r="AB731" s="1" t="s">
        <v>93</v>
      </c>
      <c r="AC731" s="1">
        <v>1</v>
      </c>
      <c r="AK731" s="1" t="s">
        <v>61</v>
      </c>
      <c r="AL731" s="1" t="s">
        <v>72</v>
      </c>
      <c r="AN731" s="1">
        <v>1</v>
      </c>
      <c r="AO731" s="1">
        <f t="shared" si="86"/>
        <v>1</v>
      </c>
    </row>
    <row r="732" spans="1:41" x14ac:dyDescent="0.4">
      <c r="A732" s="1">
        <v>1</v>
      </c>
      <c r="B732" s="1">
        <v>3</v>
      </c>
      <c r="C732" s="1" t="s">
        <v>119</v>
      </c>
      <c r="D732" s="2">
        <v>38768</v>
      </c>
      <c r="E732" s="1">
        <v>51</v>
      </c>
      <c r="F732" s="1">
        <v>4.95</v>
      </c>
      <c r="G732" s="3">
        <v>0.55618055555555557</v>
      </c>
      <c r="H732" s="3">
        <v>0.55678240740740736</v>
      </c>
      <c r="I732" s="3">
        <v>6.018518518517979E-4</v>
      </c>
      <c r="J732" s="3">
        <v>6.018518518517979E-4</v>
      </c>
      <c r="K732" s="5">
        <f t="shared" si="85"/>
        <v>52</v>
      </c>
      <c r="L732" s="3">
        <v>6.4814814814815325E-3</v>
      </c>
      <c r="N732" s="1" t="s">
        <v>42</v>
      </c>
      <c r="O732" s="1" t="s">
        <v>43</v>
      </c>
      <c r="P732" s="1" t="s">
        <v>44</v>
      </c>
      <c r="Q732" s="1" t="s">
        <v>45</v>
      </c>
      <c r="R732" s="1" t="s">
        <v>76</v>
      </c>
      <c r="S732" s="1" t="s">
        <v>46</v>
      </c>
      <c r="T732" s="1" t="s">
        <v>45</v>
      </c>
      <c r="U732" s="1" t="s">
        <v>66</v>
      </c>
      <c r="V732" s="1" t="s">
        <v>67</v>
      </c>
      <c r="W732" s="1" t="s">
        <v>68</v>
      </c>
      <c r="Y732" s="1" t="s">
        <v>68</v>
      </c>
      <c r="AB732" s="1" t="s">
        <v>69</v>
      </c>
      <c r="AC732" s="1">
        <v>0</v>
      </c>
      <c r="AD732" s="1" t="s">
        <v>68</v>
      </c>
      <c r="AE732" s="1" t="s">
        <v>70</v>
      </c>
      <c r="AI732" s="1" t="s">
        <v>71</v>
      </c>
      <c r="AK732" s="1" t="s">
        <v>86</v>
      </c>
      <c r="AL732" s="1" t="s">
        <v>133</v>
      </c>
      <c r="AN732" s="1">
        <v>1</v>
      </c>
      <c r="AO732" s="1">
        <f t="shared" si="86"/>
        <v>1</v>
      </c>
    </row>
    <row r="733" spans="1:41" x14ac:dyDescent="0.4">
      <c r="A733" s="1">
        <v>1</v>
      </c>
      <c r="B733" s="1">
        <v>3</v>
      </c>
      <c r="C733" s="1" t="s">
        <v>119</v>
      </c>
      <c r="D733" s="2">
        <v>38768</v>
      </c>
      <c r="E733" s="1">
        <v>51</v>
      </c>
      <c r="F733" s="1">
        <v>4.97</v>
      </c>
      <c r="G733" s="3">
        <v>0.5632638888888889</v>
      </c>
      <c r="H733" s="3">
        <v>0.56342592592592589</v>
      </c>
      <c r="I733" s="3">
        <v>1.6203703703698835E-4</v>
      </c>
      <c r="J733" s="3">
        <v>1.6203703703698835E-4</v>
      </c>
      <c r="K733" s="5">
        <f t="shared" si="85"/>
        <v>14</v>
      </c>
      <c r="L733" s="3">
        <v>3.386574074074078E-2</v>
      </c>
      <c r="N733" s="1" t="s">
        <v>42</v>
      </c>
      <c r="O733" s="1" t="s">
        <v>43</v>
      </c>
      <c r="P733" s="1" t="s">
        <v>44</v>
      </c>
      <c r="Q733" s="1" t="s">
        <v>76</v>
      </c>
      <c r="R733" s="1" t="s">
        <v>191</v>
      </c>
      <c r="S733" s="1" t="s">
        <v>46</v>
      </c>
      <c r="T733" s="1" t="s">
        <v>45</v>
      </c>
      <c r="U733" s="1" t="s">
        <v>66</v>
      </c>
      <c r="V733" s="1" t="s">
        <v>67</v>
      </c>
      <c r="W733" s="1" t="s">
        <v>68</v>
      </c>
      <c r="Y733" s="1" t="s">
        <v>68</v>
      </c>
      <c r="AB733" s="1" t="s">
        <v>69</v>
      </c>
      <c r="AC733" s="1">
        <v>0</v>
      </c>
      <c r="AD733" s="1" t="s">
        <v>68</v>
      </c>
      <c r="AE733" s="1" t="s">
        <v>70</v>
      </c>
      <c r="AI733" s="1" t="s">
        <v>71</v>
      </c>
      <c r="AK733" s="1" t="s">
        <v>381</v>
      </c>
      <c r="AL733" s="1" t="s">
        <v>133</v>
      </c>
      <c r="AN733" s="1">
        <v>1</v>
      </c>
      <c r="AO733" s="1">
        <f t="shared" si="86"/>
        <v>1</v>
      </c>
    </row>
    <row r="734" spans="1:41" x14ac:dyDescent="0.4">
      <c r="A734" s="1">
        <v>1</v>
      </c>
      <c r="B734" s="1">
        <v>3</v>
      </c>
      <c r="C734" s="1" t="s">
        <v>119</v>
      </c>
      <c r="D734" s="2">
        <v>38841</v>
      </c>
      <c r="E734" s="1">
        <v>124</v>
      </c>
      <c r="F734" s="1">
        <v>1.5</v>
      </c>
      <c r="G734" s="3">
        <v>0.34973379629629631</v>
      </c>
      <c r="H734" s="3">
        <v>0.34989583333333335</v>
      </c>
      <c r="I734" s="3">
        <v>1.6203703703704386E-4</v>
      </c>
      <c r="J734" s="3">
        <v>1.6203703703704386E-4</v>
      </c>
      <c r="K734" s="5">
        <f t="shared" si="85"/>
        <v>14</v>
      </c>
      <c r="L734" s="3">
        <v>2.2974537037037002E-2</v>
      </c>
      <c r="N734" s="1" t="s">
        <v>75</v>
      </c>
      <c r="O734" s="1" t="s">
        <v>286</v>
      </c>
      <c r="P734" s="1" t="s">
        <v>44</v>
      </c>
      <c r="Q734" s="1" t="s">
        <v>191</v>
      </c>
      <c r="R734" s="1" t="s">
        <v>191</v>
      </c>
      <c r="S734" s="1" t="s">
        <v>46</v>
      </c>
      <c r="T734" s="1" t="s">
        <v>45</v>
      </c>
      <c r="U734" s="1" t="s">
        <v>66</v>
      </c>
      <c r="V734" s="1" t="s">
        <v>102</v>
      </c>
      <c r="W734" s="1" t="s">
        <v>103</v>
      </c>
      <c r="X734" s="1" t="s">
        <v>692</v>
      </c>
      <c r="AB734" s="1" t="s">
        <v>104</v>
      </c>
      <c r="AC734" s="1">
        <v>0</v>
      </c>
      <c r="AE734" s="1" t="s">
        <v>57</v>
      </c>
      <c r="AG734" s="1" t="s">
        <v>932</v>
      </c>
      <c r="AI734" s="1" t="s">
        <v>75</v>
      </c>
      <c r="AK734" s="1" t="s">
        <v>86</v>
      </c>
      <c r="AL734" s="1" t="s">
        <v>87</v>
      </c>
      <c r="AM734" s="1">
        <v>1</v>
      </c>
      <c r="AN734" s="1">
        <v>0</v>
      </c>
      <c r="AO734" s="1">
        <f t="shared" si="86"/>
        <v>1</v>
      </c>
    </row>
    <row r="735" spans="1:41" x14ac:dyDescent="0.4">
      <c r="A735" s="1">
        <v>1</v>
      </c>
      <c r="B735" s="1">
        <v>3</v>
      </c>
      <c r="C735" s="1" t="s">
        <v>119</v>
      </c>
      <c r="D735" s="2">
        <v>38841</v>
      </c>
      <c r="E735" s="1">
        <v>124</v>
      </c>
      <c r="F735" s="1">
        <v>3.5</v>
      </c>
      <c r="G735" s="3">
        <v>0.41478009259259258</v>
      </c>
      <c r="H735" s="3">
        <v>0.41479166666666667</v>
      </c>
      <c r="I735" s="3">
        <v>1.1574074074094387E-5</v>
      </c>
      <c r="J735" s="3">
        <v>1.1574074074094387E-5</v>
      </c>
      <c r="K735" s="5">
        <f t="shared" si="85"/>
        <v>1</v>
      </c>
      <c r="L735" s="3">
        <v>1.3935185185185217E-2</v>
      </c>
      <c r="N735" s="1" t="s">
        <v>42</v>
      </c>
      <c r="O735" s="1" t="s">
        <v>286</v>
      </c>
      <c r="P735" s="1" t="s">
        <v>44</v>
      </c>
      <c r="S735" s="1" t="s">
        <v>46</v>
      </c>
      <c r="AB735" s="1" t="s">
        <v>93</v>
      </c>
      <c r="AC735" s="1">
        <v>1</v>
      </c>
      <c r="AK735" s="1" t="s">
        <v>86</v>
      </c>
      <c r="AL735" s="1" t="s">
        <v>86</v>
      </c>
      <c r="AN735" s="1">
        <v>1</v>
      </c>
      <c r="AO735" s="1">
        <f t="shared" si="86"/>
        <v>1</v>
      </c>
    </row>
    <row r="736" spans="1:41" x14ac:dyDescent="0.4">
      <c r="A736" s="1">
        <v>1</v>
      </c>
      <c r="B736" s="1">
        <v>3</v>
      </c>
      <c r="C736" s="1" t="s">
        <v>119</v>
      </c>
      <c r="D736" s="2">
        <v>38871</v>
      </c>
      <c r="E736" s="1">
        <v>154</v>
      </c>
      <c r="F736" s="1">
        <v>7.5</v>
      </c>
      <c r="G736" s="3">
        <v>0.63762731481481483</v>
      </c>
      <c r="H736" s="3">
        <v>0.63766203703703705</v>
      </c>
      <c r="I736" s="3">
        <v>3.472222222222765E-5</v>
      </c>
      <c r="J736" s="3">
        <v>3.472222222222765E-5</v>
      </c>
      <c r="K736" s="5">
        <f t="shared" si="85"/>
        <v>3</v>
      </c>
      <c r="L736" s="3">
        <v>9.097222222222201E-3</v>
      </c>
      <c r="N736" s="1" t="s">
        <v>75</v>
      </c>
      <c r="O736" s="1" t="s">
        <v>286</v>
      </c>
      <c r="P736" s="1" t="s">
        <v>227</v>
      </c>
      <c r="Q736" s="1" t="s">
        <v>76</v>
      </c>
      <c r="R736" s="1" t="s">
        <v>76</v>
      </c>
      <c r="S736" s="1" t="s">
        <v>46</v>
      </c>
      <c r="T736" s="1" t="s">
        <v>47</v>
      </c>
      <c r="U736" s="1" t="s">
        <v>66</v>
      </c>
      <c r="AB736" s="1" t="s">
        <v>93</v>
      </c>
      <c r="AC736" s="1">
        <v>1</v>
      </c>
      <c r="AG736" s="1" t="s">
        <v>933</v>
      </c>
      <c r="AI736" s="1" t="s">
        <v>75</v>
      </c>
      <c r="AK736" s="1" t="s">
        <v>86</v>
      </c>
      <c r="AL736" s="1" t="s">
        <v>133</v>
      </c>
      <c r="AM736" s="1">
        <v>3</v>
      </c>
      <c r="AN736" s="1">
        <v>0</v>
      </c>
      <c r="AO736" s="1">
        <f t="shared" si="86"/>
        <v>3</v>
      </c>
    </row>
    <row r="737" spans="1:41" x14ac:dyDescent="0.4">
      <c r="A737" s="1">
        <v>1</v>
      </c>
      <c r="B737" s="1">
        <v>3</v>
      </c>
      <c r="C737" s="1" t="s">
        <v>119</v>
      </c>
      <c r="D737" s="2">
        <v>38871</v>
      </c>
      <c r="E737" s="1">
        <v>154</v>
      </c>
      <c r="F737" s="1">
        <v>8</v>
      </c>
      <c r="G737" s="3">
        <v>0.64675925925925926</v>
      </c>
      <c r="H737" s="3">
        <v>0.64703703703703697</v>
      </c>
      <c r="I737" s="3">
        <v>2.7777777777771018E-4</v>
      </c>
      <c r="J737" s="3">
        <v>2.7777777777771018E-4</v>
      </c>
      <c r="K737" s="5">
        <f t="shared" si="85"/>
        <v>24</v>
      </c>
      <c r="L737" s="3">
        <v>8.217592592593137E-4</v>
      </c>
      <c r="N737" s="1" t="s">
        <v>42</v>
      </c>
      <c r="O737" s="1" t="s">
        <v>286</v>
      </c>
      <c r="P737" s="1" t="s">
        <v>227</v>
      </c>
      <c r="Q737" s="1" t="s">
        <v>76</v>
      </c>
      <c r="R737" s="1" t="s">
        <v>76</v>
      </c>
      <c r="S737" s="1" t="s">
        <v>46</v>
      </c>
      <c r="T737" s="1" t="s">
        <v>47</v>
      </c>
      <c r="U737" s="1" t="s">
        <v>66</v>
      </c>
      <c r="V737" s="1" t="s">
        <v>102</v>
      </c>
      <c r="W737" s="1" t="s">
        <v>103</v>
      </c>
      <c r="X737" s="1" t="s">
        <v>96</v>
      </c>
      <c r="AB737" s="1" t="s">
        <v>104</v>
      </c>
      <c r="AC737" s="1">
        <v>0</v>
      </c>
      <c r="AD737" s="1" t="s">
        <v>105</v>
      </c>
      <c r="AE737" s="1" t="s">
        <v>70</v>
      </c>
      <c r="AG737" s="1" t="s">
        <v>933</v>
      </c>
      <c r="AH737" s="1" t="s">
        <v>157</v>
      </c>
      <c r="AI737" s="1" t="s">
        <v>71</v>
      </c>
      <c r="AK737" s="1" t="s">
        <v>86</v>
      </c>
      <c r="AL737" s="1" t="s">
        <v>133</v>
      </c>
      <c r="AM737" s="1">
        <v>3</v>
      </c>
      <c r="AN737" s="1">
        <v>0</v>
      </c>
      <c r="AO737" s="1">
        <f t="shared" si="86"/>
        <v>3</v>
      </c>
    </row>
    <row r="738" spans="1:41" x14ac:dyDescent="0.4">
      <c r="A738" s="1">
        <v>1</v>
      </c>
      <c r="B738" s="1">
        <v>3</v>
      </c>
      <c r="C738" s="1" t="s">
        <v>119</v>
      </c>
      <c r="D738" s="2">
        <v>38871</v>
      </c>
      <c r="E738" s="1">
        <v>154</v>
      </c>
      <c r="F738" s="1">
        <v>9</v>
      </c>
      <c r="G738" s="3">
        <v>0.64785879629629628</v>
      </c>
      <c r="H738" s="3">
        <v>0.64954861111111117</v>
      </c>
      <c r="I738" s="3">
        <v>1.6898148148148939E-3</v>
      </c>
      <c r="J738" s="3">
        <v>1.6898148148148939E-3</v>
      </c>
      <c r="K738" s="5">
        <f t="shared" si="85"/>
        <v>146</v>
      </c>
      <c r="L738" s="3" t="s">
        <v>120</v>
      </c>
      <c r="N738" s="1" t="s">
        <v>42</v>
      </c>
      <c r="O738" s="1" t="s">
        <v>286</v>
      </c>
      <c r="P738" s="1" t="s">
        <v>227</v>
      </c>
      <c r="Q738" s="1" t="s">
        <v>45</v>
      </c>
      <c r="R738" s="1" t="s">
        <v>45</v>
      </c>
      <c r="S738" s="1" t="s">
        <v>46</v>
      </c>
      <c r="T738" s="1" t="s">
        <v>47</v>
      </c>
      <c r="U738" s="1" t="s">
        <v>92</v>
      </c>
      <c r="V738" s="1" t="s">
        <v>49</v>
      </c>
      <c r="W738" s="1" t="s">
        <v>140</v>
      </c>
      <c r="X738" s="1" t="s">
        <v>320</v>
      </c>
      <c r="Y738" s="1" t="s">
        <v>321</v>
      </c>
      <c r="Z738" s="1" t="s">
        <v>322</v>
      </c>
      <c r="AB738" s="1" t="s">
        <v>323</v>
      </c>
      <c r="AC738" s="1">
        <v>0</v>
      </c>
      <c r="AD738" s="1" t="s">
        <v>105</v>
      </c>
      <c r="AE738" s="1" t="s">
        <v>181</v>
      </c>
      <c r="AG738" s="1" t="s">
        <v>933</v>
      </c>
      <c r="AH738" s="1" t="s">
        <v>206</v>
      </c>
      <c r="AI738" s="1" t="s">
        <v>75</v>
      </c>
      <c r="AK738" s="1" t="s">
        <v>86</v>
      </c>
      <c r="AL738" s="1" t="s">
        <v>133</v>
      </c>
      <c r="AM738" s="1">
        <v>3</v>
      </c>
      <c r="AN738" s="1">
        <v>0</v>
      </c>
      <c r="AO738" s="1">
        <f t="shared" si="86"/>
        <v>3</v>
      </c>
    </row>
    <row r="739" spans="1:41" x14ac:dyDescent="0.4">
      <c r="A739" s="1">
        <v>1</v>
      </c>
      <c r="B739" s="1">
        <v>3</v>
      </c>
      <c r="C739" s="1" t="s">
        <v>119</v>
      </c>
      <c r="D739" s="2">
        <v>38903</v>
      </c>
      <c r="E739" s="1">
        <v>186</v>
      </c>
      <c r="F739" s="1">
        <v>11</v>
      </c>
      <c r="G739" s="3">
        <v>0.4472800925925926</v>
      </c>
      <c r="H739" s="3">
        <v>0.4490277777777778</v>
      </c>
      <c r="I739" s="3">
        <v>1.7476851851851993E-3</v>
      </c>
      <c r="J739" s="3">
        <v>1.7476851851851993E-3</v>
      </c>
      <c r="K739" s="5">
        <f t="shared" si="85"/>
        <v>151</v>
      </c>
      <c r="L739" s="3" t="s">
        <v>120</v>
      </c>
      <c r="N739" s="1" t="s">
        <v>42</v>
      </c>
      <c r="O739" s="1" t="s">
        <v>286</v>
      </c>
      <c r="P739" s="1" t="s">
        <v>227</v>
      </c>
      <c r="Q739" s="1" t="s">
        <v>132</v>
      </c>
      <c r="R739" s="1" t="s">
        <v>45</v>
      </c>
      <c r="S739" s="1" t="s">
        <v>46</v>
      </c>
      <c r="T739" s="1" t="s">
        <v>47</v>
      </c>
      <c r="V739" s="1" t="s">
        <v>49</v>
      </c>
      <c r="W739" s="1" t="s">
        <v>50</v>
      </c>
      <c r="X739" s="1" t="s">
        <v>405</v>
      </c>
      <c r="Y739" s="1" t="s">
        <v>406</v>
      </c>
      <c r="Z739" s="1" t="s">
        <v>407</v>
      </c>
      <c r="AA739" s="1" t="s">
        <v>408</v>
      </c>
      <c r="AB739" s="1" t="s">
        <v>409</v>
      </c>
      <c r="AC739" s="1">
        <v>0</v>
      </c>
      <c r="AD739" s="1" t="s">
        <v>56</v>
      </c>
      <c r="AE739" s="1" t="s">
        <v>181</v>
      </c>
      <c r="AG739" s="1" t="s">
        <v>836</v>
      </c>
      <c r="AH739" s="1" t="s">
        <v>59</v>
      </c>
      <c r="AK739" s="1" t="s">
        <v>61</v>
      </c>
      <c r="AL739" s="1" t="s">
        <v>72</v>
      </c>
      <c r="AM739" s="1">
        <v>3</v>
      </c>
      <c r="AN739" s="1">
        <v>0</v>
      </c>
      <c r="AO739" s="1">
        <f t="shared" si="86"/>
        <v>3</v>
      </c>
    </row>
    <row r="740" spans="1:41" x14ac:dyDescent="0.4">
      <c r="A740" s="1">
        <v>1</v>
      </c>
      <c r="B740" s="1">
        <v>3</v>
      </c>
      <c r="C740" s="1" t="s">
        <v>119</v>
      </c>
      <c r="D740" s="2">
        <v>38905</v>
      </c>
      <c r="E740" s="1">
        <v>188</v>
      </c>
      <c r="F740" s="1">
        <v>18</v>
      </c>
      <c r="G740" s="3">
        <v>0.62436342592592597</v>
      </c>
      <c r="H740" s="3">
        <v>0.62540509259259258</v>
      </c>
      <c r="I740" s="3">
        <v>1.0416666666666075E-3</v>
      </c>
      <c r="J740" s="3">
        <v>1.0416666666666075E-3</v>
      </c>
      <c r="K740" s="5">
        <f t="shared" si="85"/>
        <v>90</v>
      </c>
      <c r="L740" s="3">
        <v>7.6504629629630116E-3</v>
      </c>
      <c r="N740" s="1" t="s">
        <v>42</v>
      </c>
      <c r="O740" s="1" t="s">
        <v>286</v>
      </c>
      <c r="P740" s="1" t="s">
        <v>227</v>
      </c>
      <c r="Q740" s="1" t="s">
        <v>45</v>
      </c>
      <c r="R740" s="1" t="s">
        <v>45</v>
      </c>
      <c r="S740" s="1" t="s">
        <v>46</v>
      </c>
      <c r="T740" s="1" t="s">
        <v>47</v>
      </c>
      <c r="U740" s="1" t="s">
        <v>66</v>
      </c>
      <c r="V740" s="1" t="s">
        <v>102</v>
      </c>
      <c r="W740" s="1" t="s">
        <v>788</v>
      </c>
      <c r="X740" s="1" t="s">
        <v>96</v>
      </c>
      <c r="AB740" s="1" t="s">
        <v>504</v>
      </c>
      <c r="AC740" s="1">
        <v>0</v>
      </c>
      <c r="AD740" s="1" t="s">
        <v>105</v>
      </c>
      <c r="AE740" s="1" t="s">
        <v>70</v>
      </c>
      <c r="AH740" s="1" t="s">
        <v>157</v>
      </c>
      <c r="AI740" s="1" t="s">
        <v>71</v>
      </c>
      <c r="AK740" s="1" t="s">
        <v>86</v>
      </c>
      <c r="AL740" s="1" t="s">
        <v>87</v>
      </c>
      <c r="AN740" s="1">
        <v>1</v>
      </c>
      <c r="AO740" s="1">
        <f t="shared" si="86"/>
        <v>1</v>
      </c>
    </row>
    <row r="741" spans="1:41" x14ac:dyDescent="0.4">
      <c r="A741" s="1">
        <v>1</v>
      </c>
      <c r="B741" s="1">
        <v>3</v>
      </c>
      <c r="C741" s="1" t="s">
        <v>119</v>
      </c>
      <c r="D741" s="2">
        <v>38912</v>
      </c>
      <c r="E741" s="1">
        <v>195</v>
      </c>
      <c r="F741" s="1">
        <v>1</v>
      </c>
      <c r="G741" s="3">
        <v>0.28502314814814816</v>
      </c>
      <c r="H741" s="3">
        <v>0.28613425925925923</v>
      </c>
      <c r="I741" s="3">
        <v>1.1111111111110628E-3</v>
      </c>
      <c r="J741" s="3">
        <v>1.1111111111110628E-3</v>
      </c>
      <c r="K741" s="5">
        <f t="shared" si="85"/>
        <v>96</v>
      </c>
      <c r="L741" s="3">
        <v>8.9699074074074403E-3</v>
      </c>
      <c r="N741" s="1" t="s">
        <v>75</v>
      </c>
      <c r="O741" s="1" t="s">
        <v>286</v>
      </c>
      <c r="P741" s="1" t="s">
        <v>227</v>
      </c>
      <c r="Q741" s="1" t="s">
        <v>45</v>
      </c>
      <c r="R741" s="1" t="s">
        <v>45</v>
      </c>
      <c r="S741" s="1" t="s">
        <v>46</v>
      </c>
      <c r="T741" s="1" t="s">
        <v>47</v>
      </c>
      <c r="U741" s="1" t="s">
        <v>66</v>
      </c>
      <c r="V741" s="1" t="s">
        <v>49</v>
      </c>
      <c r="W741" s="1" t="s">
        <v>50</v>
      </c>
      <c r="X741" s="1" t="s">
        <v>405</v>
      </c>
      <c r="Y741" s="1" t="s">
        <v>406</v>
      </c>
      <c r="Z741" s="1" t="s">
        <v>407</v>
      </c>
      <c r="AA741" s="1" t="s">
        <v>408</v>
      </c>
      <c r="AB741" s="1" t="s">
        <v>409</v>
      </c>
      <c r="AC741" s="1">
        <v>0</v>
      </c>
      <c r="AD741" s="1" t="s">
        <v>105</v>
      </c>
      <c r="AE741" s="1" t="s">
        <v>181</v>
      </c>
      <c r="AG741" s="1" t="s">
        <v>934</v>
      </c>
      <c r="AH741" s="1" t="s">
        <v>59</v>
      </c>
      <c r="AI741" s="1" t="s">
        <v>75</v>
      </c>
      <c r="AK741" s="1" t="s">
        <v>86</v>
      </c>
      <c r="AL741" s="1" t="s">
        <v>87</v>
      </c>
      <c r="AM741" s="1">
        <v>2</v>
      </c>
      <c r="AN741" s="1">
        <v>0</v>
      </c>
      <c r="AO741" s="1">
        <f t="shared" si="86"/>
        <v>2</v>
      </c>
    </row>
    <row r="742" spans="1:41" x14ac:dyDescent="0.4">
      <c r="A742" s="1">
        <v>1</v>
      </c>
      <c r="B742" s="1">
        <v>3</v>
      </c>
      <c r="C742" s="1" t="s">
        <v>119</v>
      </c>
      <c r="D742" s="2">
        <v>38912</v>
      </c>
      <c r="E742" s="1">
        <v>195</v>
      </c>
      <c r="F742" s="1">
        <v>2</v>
      </c>
      <c r="G742" s="3">
        <v>0.29510416666666667</v>
      </c>
      <c r="H742" s="3">
        <v>0.29574074074074075</v>
      </c>
      <c r="I742" s="3">
        <v>6.3657407407408106E-4</v>
      </c>
      <c r="J742" s="3">
        <v>6.3657407407408106E-4</v>
      </c>
      <c r="K742" s="5">
        <f t="shared" si="85"/>
        <v>55</v>
      </c>
      <c r="L742" s="3">
        <v>6.1446759259259243E-2</v>
      </c>
      <c r="N742" s="1" t="s">
        <v>75</v>
      </c>
      <c r="O742" s="1" t="s">
        <v>286</v>
      </c>
      <c r="P742" s="1" t="s">
        <v>227</v>
      </c>
      <c r="Q742" s="1" t="s">
        <v>45</v>
      </c>
      <c r="R742" s="1" t="s">
        <v>45</v>
      </c>
      <c r="S742" s="1" t="s">
        <v>46</v>
      </c>
      <c r="T742" s="1" t="s">
        <v>47</v>
      </c>
      <c r="U742" s="1" t="s">
        <v>66</v>
      </c>
      <c r="V742" s="1" t="s">
        <v>49</v>
      </c>
      <c r="W742" s="1" t="s">
        <v>50</v>
      </c>
      <c r="X742" s="1" t="s">
        <v>405</v>
      </c>
      <c r="Y742" s="1" t="s">
        <v>406</v>
      </c>
      <c r="Z742" s="1" t="s">
        <v>407</v>
      </c>
      <c r="AA742" s="1" t="s">
        <v>408</v>
      </c>
      <c r="AB742" s="1" t="s">
        <v>409</v>
      </c>
      <c r="AC742" s="1">
        <v>0</v>
      </c>
      <c r="AD742" s="1" t="s">
        <v>105</v>
      </c>
      <c r="AE742" s="1" t="s">
        <v>181</v>
      </c>
      <c r="AG742" s="1" t="s">
        <v>738</v>
      </c>
      <c r="AH742" s="1" t="s">
        <v>59</v>
      </c>
      <c r="AI742" s="1" t="s">
        <v>75</v>
      </c>
      <c r="AK742" s="1" t="s">
        <v>86</v>
      </c>
      <c r="AL742" s="1" t="s">
        <v>133</v>
      </c>
      <c r="AM742" s="1">
        <v>4</v>
      </c>
      <c r="AN742" s="1">
        <v>0</v>
      </c>
      <c r="AO742" s="1">
        <f t="shared" si="86"/>
        <v>4</v>
      </c>
    </row>
    <row r="743" spans="1:41" x14ac:dyDescent="0.4">
      <c r="A743" s="1">
        <v>1</v>
      </c>
      <c r="B743" s="1">
        <v>3</v>
      </c>
      <c r="C743" s="1" t="s">
        <v>119</v>
      </c>
      <c r="D743" s="2">
        <v>38912</v>
      </c>
      <c r="E743" s="1">
        <v>195</v>
      </c>
      <c r="F743" s="1">
        <v>5</v>
      </c>
      <c r="G743" s="3">
        <v>0.3835648148148148</v>
      </c>
      <c r="H743" s="3">
        <v>0.38581018518518517</v>
      </c>
      <c r="I743" s="3">
        <v>2.2453703703703698E-3</v>
      </c>
      <c r="J743" s="3">
        <v>1.9328703703703765E-3</v>
      </c>
      <c r="K743" s="5">
        <f t="shared" si="85"/>
        <v>167</v>
      </c>
      <c r="L743" s="3">
        <v>7.465277777777779E-3</v>
      </c>
      <c r="N743" s="1" t="s">
        <v>42</v>
      </c>
      <c r="O743" s="1" t="s">
        <v>286</v>
      </c>
      <c r="P743" s="1" t="s">
        <v>227</v>
      </c>
      <c r="Q743" s="1" t="s">
        <v>76</v>
      </c>
      <c r="R743" s="1" t="s">
        <v>191</v>
      </c>
      <c r="S743" s="1" t="s">
        <v>46</v>
      </c>
      <c r="T743" s="1" t="s">
        <v>45</v>
      </c>
      <c r="U743" s="1" t="s">
        <v>156</v>
      </c>
      <c r="V743" s="1" t="s">
        <v>49</v>
      </c>
      <c r="W743" s="1" t="s">
        <v>233</v>
      </c>
      <c r="X743" s="1" t="s">
        <v>783</v>
      </c>
      <c r="Y743" s="1" t="s">
        <v>725</v>
      </c>
      <c r="Z743" s="1" t="s">
        <v>726</v>
      </c>
      <c r="AA743" s="1" t="s">
        <v>784</v>
      </c>
      <c r="AB743" s="1" t="s">
        <v>785</v>
      </c>
      <c r="AC743" s="1">
        <v>0</v>
      </c>
      <c r="AD743" s="1" t="s">
        <v>56</v>
      </c>
      <c r="AE743" s="1" t="s">
        <v>83</v>
      </c>
      <c r="AG743" s="1" t="s">
        <v>854</v>
      </c>
      <c r="AH743" s="1" t="s">
        <v>206</v>
      </c>
      <c r="AI743" s="1" t="s">
        <v>75</v>
      </c>
      <c r="AK743" s="1" t="s">
        <v>86</v>
      </c>
      <c r="AL743" s="1" t="s">
        <v>87</v>
      </c>
      <c r="AM743" s="1">
        <v>2</v>
      </c>
      <c r="AN743" s="1">
        <v>0</v>
      </c>
      <c r="AO743" s="1">
        <f t="shared" si="86"/>
        <v>2</v>
      </c>
    </row>
    <row r="744" spans="1:41" x14ac:dyDescent="0.4">
      <c r="A744" s="1">
        <v>1</v>
      </c>
      <c r="B744" s="1">
        <v>3</v>
      </c>
      <c r="C744" s="1" t="s">
        <v>119</v>
      </c>
      <c r="D744" s="2">
        <v>38912</v>
      </c>
      <c r="E744" s="1">
        <v>195</v>
      </c>
      <c r="F744" s="1">
        <v>15</v>
      </c>
      <c r="G744" s="3">
        <v>0.5367939814814815</v>
      </c>
      <c r="H744" s="3">
        <v>0.54023148148148148</v>
      </c>
      <c r="I744" s="3">
        <v>3.4374999999999822E-3</v>
      </c>
      <c r="J744" s="3">
        <v>3.4374999999999822E-3</v>
      </c>
      <c r="K744" s="5">
        <f t="shared" si="85"/>
        <v>297</v>
      </c>
      <c r="L744" s="3">
        <v>6.030092592592573E-3</v>
      </c>
      <c r="N744" s="1" t="s">
        <v>42</v>
      </c>
      <c r="O744" s="1" t="s">
        <v>286</v>
      </c>
      <c r="P744" s="1" t="s">
        <v>227</v>
      </c>
      <c r="Q744" s="1" t="s">
        <v>45</v>
      </c>
      <c r="R744" s="1" t="s">
        <v>45</v>
      </c>
      <c r="S744" s="1" t="s">
        <v>46</v>
      </c>
      <c r="T744" s="1" t="s">
        <v>45</v>
      </c>
      <c r="U744" s="1" t="s">
        <v>156</v>
      </c>
      <c r="V744" s="1" t="s">
        <v>49</v>
      </c>
      <c r="W744" s="1" t="s">
        <v>168</v>
      </c>
      <c r="X744" s="1" t="s">
        <v>313</v>
      </c>
      <c r="AB744" s="1" t="s">
        <v>258</v>
      </c>
      <c r="AC744" s="1">
        <v>0</v>
      </c>
      <c r="AD744" s="1" t="s">
        <v>56</v>
      </c>
      <c r="AG744" s="1" t="s">
        <v>935</v>
      </c>
      <c r="AH744" s="1" t="s">
        <v>157</v>
      </c>
      <c r="AI744" s="1" t="s">
        <v>75</v>
      </c>
      <c r="AK744" s="1" t="s">
        <v>86</v>
      </c>
      <c r="AL744" s="1" t="s">
        <v>133</v>
      </c>
      <c r="AM744" s="1">
        <v>1</v>
      </c>
      <c r="AN744" s="1">
        <v>0</v>
      </c>
      <c r="AO744" s="1">
        <f t="shared" si="86"/>
        <v>1</v>
      </c>
    </row>
    <row r="745" spans="1:41" x14ac:dyDescent="0.4">
      <c r="A745" s="1">
        <v>1</v>
      </c>
      <c r="B745" s="1">
        <v>3</v>
      </c>
      <c r="C745" s="1" t="s">
        <v>119</v>
      </c>
      <c r="D745" s="2">
        <v>38912</v>
      </c>
      <c r="E745" s="1">
        <v>195</v>
      </c>
      <c r="F745" s="1">
        <v>20.5</v>
      </c>
      <c r="G745" s="3">
        <v>0.63565972222222222</v>
      </c>
      <c r="H745" s="3">
        <v>0.63569444444444445</v>
      </c>
      <c r="I745" s="3">
        <v>3.472222222222765E-5</v>
      </c>
      <c r="J745" s="3">
        <v>3.472222222222765E-5</v>
      </c>
      <c r="K745" s="5">
        <f t="shared" si="85"/>
        <v>3</v>
      </c>
      <c r="L745" s="3">
        <v>3.5914351851851878E-2</v>
      </c>
      <c r="N745" s="1" t="s">
        <v>42</v>
      </c>
      <c r="O745" s="1" t="s">
        <v>286</v>
      </c>
      <c r="P745" s="1" t="s">
        <v>227</v>
      </c>
      <c r="Q745" s="1" t="s">
        <v>76</v>
      </c>
      <c r="R745" s="1" t="s">
        <v>76</v>
      </c>
      <c r="S745" s="1" t="s">
        <v>46</v>
      </c>
      <c r="AB745" s="1" t="s">
        <v>93</v>
      </c>
      <c r="AC745" s="1">
        <v>1</v>
      </c>
      <c r="AK745" s="1" t="s">
        <v>86</v>
      </c>
      <c r="AL745" s="1" t="s">
        <v>133</v>
      </c>
      <c r="AN745" s="1">
        <v>1</v>
      </c>
      <c r="AO745" s="1">
        <f t="shared" si="86"/>
        <v>1</v>
      </c>
    </row>
    <row r="746" spans="1:41" x14ac:dyDescent="0.4">
      <c r="A746" s="1">
        <v>1</v>
      </c>
      <c r="B746" s="1">
        <v>3</v>
      </c>
      <c r="C746" s="1" t="s">
        <v>119</v>
      </c>
      <c r="D746" s="2">
        <v>38912</v>
      </c>
      <c r="E746" s="1">
        <v>195</v>
      </c>
      <c r="F746" s="1">
        <v>22.5</v>
      </c>
      <c r="G746" s="3">
        <v>0.67160879629629633</v>
      </c>
      <c r="H746" s="3">
        <v>0.67216435185185175</v>
      </c>
      <c r="I746" s="3">
        <v>5.5555555555542036E-4</v>
      </c>
      <c r="J746" s="3">
        <v>5.5555555555542036E-4</v>
      </c>
      <c r="K746" s="5">
        <f t="shared" si="85"/>
        <v>48</v>
      </c>
      <c r="L746" s="3">
        <v>8.1018518518527483E-4</v>
      </c>
      <c r="N746" s="1" t="s">
        <v>42</v>
      </c>
      <c r="O746" s="1" t="s">
        <v>286</v>
      </c>
      <c r="P746" s="1" t="s">
        <v>227</v>
      </c>
      <c r="Q746" s="1" t="s">
        <v>45</v>
      </c>
      <c r="R746" s="1" t="s">
        <v>76</v>
      </c>
      <c r="S746" s="1" t="s">
        <v>46</v>
      </c>
      <c r="T746" s="1" t="s">
        <v>45</v>
      </c>
      <c r="U746" s="1" t="s">
        <v>156</v>
      </c>
      <c r="AB746" s="1" t="s">
        <v>93</v>
      </c>
      <c r="AC746" s="1">
        <v>1</v>
      </c>
      <c r="AI746" s="1" t="s">
        <v>75</v>
      </c>
      <c r="AK746" s="1" t="s">
        <v>61</v>
      </c>
      <c r="AL746" s="1" t="s">
        <v>61</v>
      </c>
      <c r="AN746" s="1">
        <v>1</v>
      </c>
      <c r="AO746" s="1">
        <f t="shared" si="86"/>
        <v>1</v>
      </c>
    </row>
    <row r="747" spans="1:41" x14ac:dyDescent="0.4">
      <c r="A747" s="1">
        <v>1</v>
      </c>
      <c r="B747" s="1">
        <v>3</v>
      </c>
      <c r="C747" s="1" t="s">
        <v>119</v>
      </c>
      <c r="D747" s="2">
        <v>38912</v>
      </c>
      <c r="E747" s="1">
        <v>195</v>
      </c>
      <c r="F747" s="1">
        <v>23</v>
      </c>
      <c r="G747" s="3">
        <v>0.67297453703703702</v>
      </c>
      <c r="H747" s="3">
        <v>0.67423611111111115</v>
      </c>
      <c r="I747" s="3">
        <v>1.2615740740741233E-3</v>
      </c>
      <c r="J747" s="3">
        <v>1.2615740740741233E-3</v>
      </c>
      <c r="K747" s="5">
        <f t="shared" si="85"/>
        <v>109</v>
      </c>
      <c r="L747" s="3" t="s">
        <v>120</v>
      </c>
      <c r="N747" s="1" t="s">
        <v>42</v>
      </c>
      <c r="O747" s="1" t="s">
        <v>286</v>
      </c>
      <c r="P747" s="1" t="s">
        <v>227</v>
      </c>
      <c r="Q747" s="1" t="s">
        <v>45</v>
      </c>
      <c r="R747" s="1" t="s">
        <v>76</v>
      </c>
      <c r="S747" s="1" t="s">
        <v>46</v>
      </c>
      <c r="T747" s="1" t="s">
        <v>45</v>
      </c>
      <c r="U747" s="1" t="s">
        <v>156</v>
      </c>
      <c r="V747" s="1" t="s">
        <v>49</v>
      </c>
      <c r="W747" s="1" t="s">
        <v>140</v>
      </c>
      <c r="X747" s="1" t="s">
        <v>246</v>
      </c>
      <c r="Y747" s="1" t="s">
        <v>247</v>
      </c>
      <c r="Z747" s="1" t="s">
        <v>248</v>
      </c>
      <c r="AA747" s="1">
        <v>28</v>
      </c>
      <c r="AB747" s="1" t="s">
        <v>249</v>
      </c>
      <c r="AC747" s="1">
        <v>0</v>
      </c>
      <c r="AD747" s="1" t="s">
        <v>56</v>
      </c>
      <c r="AE747" s="1" t="s">
        <v>83</v>
      </c>
      <c r="AG747" s="1" t="s">
        <v>936</v>
      </c>
      <c r="AH747" s="1" t="s">
        <v>59</v>
      </c>
      <c r="AI747" s="1" t="s">
        <v>75</v>
      </c>
      <c r="AK747" s="1" t="s">
        <v>86</v>
      </c>
      <c r="AL747" s="1" t="s">
        <v>87</v>
      </c>
      <c r="AM747" s="1">
        <v>1</v>
      </c>
      <c r="AN747" s="1">
        <v>0</v>
      </c>
      <c r="AO747" s="1">
        <f t="shared" si="86"/>
        <v>1</v>
      </c>
    </row>
    <row r="748" spans="1:41" x14ac:dyDescent="0.4">
      <c r="A748" s="1">
        <v>1</v>
      </c>
      <c r="B748" s="1">
        <v>3</v>
      </c>
      <c r="C748" s="1" t="s">
        <v>119</v>
      </c>
      <c r="D748" s="2">
        <v>38916</v>
      </c>
      <c r="E748" s="1">
        <v>199</v>
      </c>
      <c r="F748" s="1">
        <v>3</v>
      </c>
      <c r="G748" s="3">
        <v>0.42982638888888891</v>
      </c>
      <c r="H748" s="3">
        <v>0.4377314814814815</v>
      </c>
      <c r="I748" s="3">
        <v>7.9050925925925886E-3</v>
      </c>
      <c r="J748" s="3">
        <v>4.0277777777777968E-3</v>
      </c>
      <c r="K748" s="5">
        <f t="shared" si="85"/>
        <v>348</v>
      </c>
      <c r="L748" s="3">
        <v>0.18491898148148139</v>
      </c>
      <c r="N748" s="1" t="s">
        <v>251</v>
      </c>
      <c r="O748" s="1" t="s">
        <v>286</v>
      </c>
      <c r="P748" s="1" t="s">
        <v>227</v>
      </c>
      <c r="Q748" s="1" t="s">
        <v>76</v>
      </c>
      <c r="R748" s="1" t="s">
        <v>76</v>
      </c>
      <c r="S748" s="1" t="s">
        <v>46</v>
      </c>
      <c r="T748" s="1" t="s">
        <v>45</v>
      </c>
      <c r="U748" s="1" t="s">
        <v>92</v>
      </c>
      <c r="V748" s="1" t="s">
        <v>49</v>
      </c>
      <c r="W748" s="1" t="s">
        <v>50</v>
      </c>
      <c r="X748" s="1" t="s">
        <v>887</v>
      </c>
      <c r="Y748" s="1" t="s">
        <v>52</v>
      </c>
      <c r="Z748" s="1" t="s">
        <v>888</v>
      </c>
      <c r="AA748" s="1" t="s">
        <v>889</v>
      </c>
      <c r="AB748" s="1" t="s">
        <v>890</v>
      </c>
      <c r="AC748" s="1">
        <v>0</v>
      </c>
      <c r="AD748" s="1" t="s">
        <v>56</v>
      </c>
      <c r="AE748" s="1" t="s">
        <v>83</v>
      </c>
      <c r="AG748" s="1" t="s">
        <v>755</v>
      </c>
      <c r="AH748" s="1" t="s">
        <v>59</v>
      </c>
      <c r="AI748" s="1" t="s">
        <v>253</v>
      </c>
      <c r="AK748" s="1" t="s">
        <v>86</v>
      </c>
      <c r="AL748" s="1" t="s">
        <v>87</v>
      </c>
      <c r="AM748" s="1">
        <v>2</v>
      </c>
      <c r="AN748" s="1">
        <v>0</v>
      </c>
      <c r="AO748" s="1">
        <f t="shared" si="86"/>
        <v>2</v>
      </c>
    </row>
    <row r="749" spans="1:41" x14ac:dyDescent="0.4">
      <c r="A749" s="1">
        <v>1</v>
      </c>
      <c r="B749" s="1">
        <v>3</v>
      </c>
      <c r="C749" s="1" t="s">
        <v>119</v>
      </c>
      <c r="D749" s="2">
        <v>38918</v>
      </c>
      <c r="E749" s="1">
        <v>201</v>
      </c>
      <c r="F749" s="1">
        <v>1.3</v>
      </c>
      <c r="G749" s="3">
        <v>0.30701388888888886</v>
      </c>
      <c r="H749" s="3">
        <v>0.30737268518518518</v>
      </c>
      <c r="I749" s="3">
        <v>3.5879629629631538E-4</v>
      </c>
      <c r="J749" s="3">
        <v>3.5879629629631538E-4</v>
      </c>
      <c r="K749" s="5">
        <f t="shared" si="85"/>
        <v>31</v>
      </c>
      <c r="L749" s="3">
        <v>8.557870370370374E-2</v>
      </c>
      <c r="N749" s="1" t="s">
        <v>75</v>
      </c>
      <c r="O749" s="1" t="s">
        <v>286</v>
      </c>
      <c r="P749" s="1" t="s">
        <v>227</v>
      </c>
      <c r="Q749" s="1" t="s">
        <v>45</v>
      </c>
      <c r="R749" s="1" t="s">
        <v>76</v>
      </c>
      <c r="S749" s="1" t="s">
        <v>46</v>
      </c>
      <c r="T749" s="1" t="s">
        <v>47</v>
      </c>
      <c r="U749" s="1" t="s">
        <v>92</v>
      </c>
      <c r="AB749" s="1" t="s">
        <v>93</v>
      </c>
      <c r="AC749" s="1">
        <v>1</v>
      </c>
      <c r="AG749" s="1" t="s">
        <v>920</v>
      </c>
      <c r="AI749" s="1" t="s">
        <v>75</v>
      </c>
      <c r="AK749" s="1" t="s">
        <v>86</v>
      </c>
      <c r="AL749" s="1" t="s">
        <v>133</v>
      </c>
      <c r="AM749" s="1">
        <v>2</v>
      </c>
      <c r="AN749" s="1">
        <v>0</v>
      </c>
      <c r="AO749" s="1">
        <f t="shared" si="86"/>
        <v>2</v>
      </c>
    </row>
    <row r="750" spans="1:41" x14ac:dyDescent="0.4">
      <c r="A750" s="1">
        <v>1</v>
      </c>
      <c r="B750" s="1">
        <v>3</v>
      </c>
      <c r="C750" s="1" t="s">
        <v>119</v>
      </c>
      <c r="D750" s="2">
        <v>38918</v>
      </c>
      <c r="E750" s="1">
        <v>201</v>
      </c>
      <c r="F750" s="1">
        <v>3</v>
      </c>
      <c r="G750" s="3">
        <v>0.39295138888888892</v>
      </c>
      <c r="H750" s="3">
        <v>0.39385416666666667</v>
      </c>
      <c r="I750" s="3">
        <v>9.0277777777775237E-4</v>
      </c>
      <c r="J750" s="3">
        <v>9.0277777777775237E-4</v>
      </c>
      <c r="K750" s="5">
        <f t="shared" si="85"/>
        <v>78</v>
      </c>
      <c r="L750" s="3">
        <v>0.10806712962962967</v>
      </c>
      <c r="N750" s="1" t="s">
        <v>251</v>
      </c>
      <c r="O750" s="1" t="s">
        <v>286</v>
      </c>
      <c r="P750" s="1" t="s">
        <v>227</v>
      </c>
      <c r="Q750" s="1" t="s">
        <v>132</v>
      </c>
      <c r="R750" s="1" t="s">
        <v>132</v>
      </c>
      <c r="S750" s="1" t="s">
        <v>46</v>
      </c>
      <c r="T750" s="1" t="s">
        <v>47</v>
      </c>
      <c r="U750" s="1" t="s">
        <v>156</v>
      </c>
      <c r="V750" s="1" t="s">
        <v>49</v>
      </c>
      <c r="W750" s="1" t="s">
        <v>50</v>
      </c>
      <c r="X750" s="1" t="s">
        <v>405</v>
      </c>
      <c r="Y750" s="1" t="s">
        <v>406</v>
      </c>
      <c r="Z750" s="1" t="s">
        <v>407</v>
      </c>
      <c r="AA750" s="1" t="s">
        <v>408</v>
      </c>
      <c r="AB750" s="1" t="s">
        <v>409</v>
      </c>
      <c r="AC750" s="1">
        <v>0</v>
      </c>
      <c r="AD750" s="1" t="s">
        <v>105</v>
      </c>
      <c r="AE750" s="1" t="s">
        <v>181</v>
      </c>
      <c r="AG750" s="1" t="s">
        <v>937</v>
      </c>
      <c r="AH750" s="1" t="s">
        <v>59</v>
      </c>
      <c r="AI750" s="1" t="s">
        <v>255</v>
      </c>
      <c r="AK750" s="1" t="s">
        <v>116</v>
      </c>
      <c r="AL750" s="1" t="s">
        <v>117</v>
      </c>
      <c r="AM750" s="1">
        <v>1</v>
      </c>
      <c r="AN750" s="1">
        <v>0</v>
      </c>
      <c r="AO750" s="1">
        <f t="shared" si="86"/>
        <v>1</v>
      </c>
    </row>
    <row r="751" spans="1:41" x14ac:dyDescent="0.4">
      <c r="A751" s="1">
        <v>1</v>
      </c>
      <c r="B751" s="1">
        <v>3</v>
      </c>
      <c r="C751" s="1" t="s">
        <v>119</v>
      </c>
      <c r="D751" s="2">
        <v>38918</v>
      </c>
      <c r="E751" s="1">
        <v>201</v>
      </c>
      <c r="F751" s="1">
        <v>8.5</v>
      </c>
      <c r="G751" s="3">
        <v>0.56956018518518514</v>
      </c>
      <c r="H751" s="3">
        <v>0.56958333333333333</v>
      </c>
      <c r="I751" s="3">
        <v>2.3148148148188774E-5</v>
      </c>
      <c r="J751" s="3">
        <v>2.3148148148188774E-5</v>
      </c>
      <c r="K751" s="5">
        <f t="shared" si="85"/>
        <v>2</v>
      </c>
      <c r="L751" s="3">
        <v>4.5798611111111165E-2</v>
      </c>
      <c r="N751" s="1" t="s">
        <v>251</v>
      </c>
      <c r="O751" s="1" t="s">
        <v>286</v>
      </c>
      <c r="P751" s="1" t="s">
        <v>227</v>
      </c>
      <c r="Q751" s="1" t="s">
        <v>132</v>
      </c>
      <c r="R751" s="1" t="s">
        <v>132</v>
      </c>
      <c r="S751" s="1" t="s">
        <v>46</v>
      </c>
      <c r="T751" s="1" t="s">
        <v>45</v>
      </c>
      <c r="U751" s="1" t="s">
        <v>156</v>
      </c>
      <c r="AB751" s="1" t="s">
        <v>93</v>
      </c>
      <c r="AC751" s="1">
        <v>1</v>
      </c>
      <c r="AI751" s="1" t="s">
        <v>255</v>
      </c>
      <c r="AK751" s="1" t="s">
        <v>86</v>
      </c>
      <c r="AL751" s="1" t="s">
        <v>133</v>
      </c>
      <c r="AN751" s="1">
        <v>1</v>
      </c>
      <c r="AO751" s="1">
        <f t="shared" si="86"/>
        <v>1</v>
      </c>
    </row>
    <row r="752" spans="1:41" x14ac:dyDescent="0.4">
      <c r="A752" s="1">
        <v>1</v>
      </c>
      <c r="B752" s="1">
        <v>3</v>
      </c>
      <c r="C752" s="1" t="s">
        <v>119</v>
      </c>
      <c r="D752" s="2">
        <v>38918</v>
      </c>
      <c r="E752" s="1">
        <v>201</v>
      </c>
      <c r="F752" s="1">
        <v>13</v>
      </c>
      <c r="G752" s="3">
        <v>0.63805555555555549</v>
      </c>
      <c r="H752" s="3">
        <v>0.63991898148148152</v>
      </c>
      <c r="I752" s="3">
        <v>1.8634259259260322E-3</v>
      </c>
      <c r="J752" s="3">
        <v>1.8634259259260322E-3</v>
      </c>
      <c r="K752" s="5">
        <f t="shared" si="85"/>
        <v>161</v>
      </c>
      <c r="L752" s="3">
        <v>7.9398148148147607E-3</v>
      </c>
      <c r="N752" s="1" t="s">
        <v>42</v>
      </c>
      <c r="O752" s="1" t="s">
        <v>286</v>
      </c>
      <c r="P752" s="1" t="s">
        <v>227</v>
      </c>
      <c r="Q752" s="1" t="s">
        <v>132</v>
      </c>
      <c r="R752" s="1" t="s">
        <v>132</v>
      </c>
      <c r="S752" s="1" t="s">
        <v>46</v>
      </c>
      <c r="T752" s="1" t="s">
        <v>47</v>
      </c>
      <c r="U752" s="1" t="s">
        <v>92</v>
      </c>
      <c r="V752" s="1" t="s">
        <v>49</v>
      </c>
      <c r="W752" s="1" t="s">
        <v>50</v>
      </c>
      <c r="X752" s="1" t="s">
        <v>405</v>
      </c>
      <c r="Y752" s="1" t="s">
        <v>406</v>
      </c>
      <c r="Z752" s="1" t="s">
        <v>407</v>
      </c>
      <c r="AA752" s="1" t="s">
        <v>408</v>
      </c>
      <c r="AB752" s="1" t="s">
        <v>409</v>
      </c>
      <c r="AC752" s="1">
        <v>0</v>
      </c>
      <c r="AD752" s="1" t="s">
        <v>105</v>
      </c>
      <c r="AE752" s="1" t="s">
        <v>181</v>
      </c>
      <c r="AG752" s="1" t="s">
        <v>864</v>
      </c>
      <c r="AH752" s="1" t="s">
        <v>59</v>
      </c>
      <c r="AI752" s="1" t="s">
        <v>75</v>
      </c>
      <c r="AK752" s="1" t="s">
        <v>86</v>
      </c>
      <c r="AL752" s="1" t="s">
        <v>133</v>
      </c>
      <c r="AM752" s="1">
        <v>5</v>
      </c>
      <c r="AN752" s="1">
        <v>0</v>
      </c>
      <c r="AO752" s="1">
        <f t="shared" si="86"/>
        <v>5</v>
      </c>
    </row>
    <row r="753" spans="1:41" x14ac:dyDescent="0.4">
      <c r="A753" s="1">
        <v>1</v>
      </c>
      <c r="B753" s="1">
        <v>3</v>
      </c>
      <c r="C753" s="1" t="s">
        <v>119</v>
      </c>
      <c r="D753" s="2">
        <v>38918</v>
      </c>
      <c r="E753" s="1">
        <v>201</v>
      </c>
      <c r="F753" s="1">
        <v>15</v>
      </c>
      <c r="G753" s="3">
        <v>0.65688657407407403</v>
      </c>
      <c r="H753" s="3">
        <v>0.65711805555555558</v>
      </c>
      <c r="I753" s="3">
        <v>2.3148148148155467E-4</v>
      </c>
      <c r="J753" s="3">
        <v>2.3148148148155467E-4</v>
      </c>
      <c r="K753" s="5">
        <f t="shared" si="85"/>
        <v>20</v>
      </c>
      <c r="L753" s="3">
        <v>6.3773148148148495E-3</v>
      </c>
      <c r="N753" s="1" t="s">
        <v>42</v>
      </c>
      <c r="O753" s="1" t="s">
        <v>286</v>
      </c>
      <c r="P753" s="1" t="s">
        <v>227</v>
      </c>
      <c r="Q753" s="1" t="s">
        <v>132</v>
      </c>
      <c r="R753" s="1" t="s">
        <v>45</v>
      </c>
      <c r="S753" s="1" t="s">
        <v>46</v>
      </c>
      <c r="T753" s="1" t="s">
        <v>47</v>
      </c>
      <c r="U753" s="1" t="s">
        <v>156</v>
      </c>
      <c r="V753" s="1" t="s">
        <v>49</v>
      </c>
      <c r="W753" s="1" t="s">
        <v>50</v>
      </c>
      <c r="X753" s="1" t="s">
        <v>405</v>
      </c>
      <c r="Y753" s="1" t="s">
        <v>406</v>
      </c>
      <c r="Z753" s="1" t="s">
        <v>407</v>
      </c>
      <c r="AA753" s="1" t="s">
        <v>408</v>
      </c>
      <c r="AB753" s="1" t="s">
        <v>409</v>
      </c>
      <c r="AC753" s="1">
        <v>0</v>
      </c>
      <c r="AD753" s="1" t="s">
        <v>105</v>
      </c>
      <c r="AE753" s="1" t="s">
        <v>181</v>
      </c>
      <c r="AG753" s="1" t="s">
        <v>864</v>
      </c>
      <c r="AH753" s="1" t="s">
        <v>59</v>
      </c>
      <c r="AI753" s="1" t="s">
        <v>75</v>
      </c>
      <c r="AK753" s="1" t="s">
        <v>86</v>
      </c>
      <c r="AL753" s="1" t="s">
        <v>87</v>
      </c>
      <c r="AM753" s="1">
        <v>5</v>
      </c>
      <c r="AN753" s="1">
        <v>0</v>
      </c>
      <c r="AO753" s="1">
        <f t="shared" si="86"/>
        <v>5</v>
      </c>
    </row>
    <row r="754" spans="1:41" x14ac:dyDescent="0.4">
      <c r="A754" s="1">
        <v>1</v>
      </c>
      <c r="B754" s="1">
        <v>3</v>
      </c>
      <c r="C754" s="1" t="s">
        <v>119</v>
      </c>
      <c r="D754" s="2">
        <v>38918</v>
      </c>
      <c r="E754" s="1">
        <v>201</v>
      </c>
      <c r="F754" s="1">
        <v>15.3</v>
      </c>
      <c r="G754" s="3">
        <v>0.66349537037037043</v>
      </c>
      <c r="H754" s="3">
        <v>0.66361111111111104</v>
      </c>
      <c r="I754" s="3">
        <v>1.157407407406108E-4</v>
      </c>
      <c r="J754" s="3">
        <v>1.157407407406108E-4</v>
      </c>
      <c r="K754" s="5">
        <f t="shared" si="85"/>
        <v>10</v>
      </c>
      <c r="L754" s="3">
        <v>9.490740740740744E-4</v>
      </c>
      <c r="N754" s="1" t="s">
        <v>42</v>
      </c>
      <c r="O754" s="1" t="s">
        <v>286</v>
      </c>
      <c r="P754" s="1" t="s">
        <v>227</v>
      </c>
      <c r="Q754" s="1" t="s">
        <v>132</v>
      </c>
      <c r="R754" s="1" t="s">
        <v>132</v>
      </c>
      <c r="S754" s="1" t="s">
        <v>46</v>
      </c>
      <c r="T754" s="1" t="s">
        <v>47</v>
      </c>
      <c r="U754" s="1" t="s">
        <v>66</v>
      </c>
      <c r="AB754" s="1" t="s">
        <v>93</v>
      </c>
      <c r="AC754" s="1">
        <v>1</v>
      </c>
      <c r="AG754" s="1" t="s">
        <v>789</v>
      </c>
      <c r="AI754" s="1" t="s">
        <v>71</v>
      </c>
      <c r="AK754" s="1" t="s">
        <v>61</v>
      </c>
      <c r="AL754" s="1" t="s">
        <v>61</v>
      </c>
      <c r="AM754" s="1">
        <v>2</v>
      </c>
      <c r="AN754" s="1">
        <v>0</v>
      </c>
      <c r="AO754" s="1">
        <f t="shared" si="86"/>
        <v>2</v>
      </c>
    </row>
    <row r="755" spans="1:41" x14ac:dyDescent="0.4">
      <c r="A755" s="1">
        <v>1</v>
      </c>
      <c r="B755" s="1">
        <v>3</v>
      </c>
      <c r="C755" s="1" t="s">
        <v>119</v>
      </c>
      <c r="D755" s="2">
        <v>38930</v>
      </c>
      <c r="E755" s="1">
        <v>213</v>
      </c>
      <c r="F755" s="1">
        <v>2</v>
      </c>
      <c r="G755" s="3">
        <v>0.29148148148148151</v>
      </c>
      <c r="H755" s="3">
        <v>0.29234953703703703</v>
      </c>
      <c r="I755" s="3">
        <v>8.6805555555552472E-4</v>
      </c>
      <c r="J755" s="3">
        <v>8.6805555555552472E-4</v>
      </c>
      <c r="K755" s="5">
        <f t="shared" si="85"/>
        <v>75</v>
      </c>
      <c r="L755" s="3">
        <v>9.3171296296296613E-3</v>
      </c>
      <c r="N755" s="1" t="s">
        <v>75</v>
      </c>
      <c r="O755" s="1" t="s">
        <v>286</v>
      </c>
      <c r="P755" s="1" t="s">
        <v>227</v>
      </c>
      <c r="Q755" s="1" t="s">
        <v>45</v>
      </c>
      <c r="R755" s="1" t="s">
        <v>76</v>
      </c>
      <c r="S755" s="1" t="s">
        <v>46</v>
      </c>
      <c r="T755" s="1" t="s">
        <v>47</v>
      </c>
      <c r="V755" s="1" t="s">
        <v>49</v>
      </c>
      <c r="W755" s="1" t="s">
        <v>50</v>
      </c>
      <c r="X755" s="1" t="s">
        <v>405</v>
      </c>
      <c r="Y755" s="1" t="s">
        <v>406</v>
      </c>
      <c r="Z755" s="1" t="s">
        <v>407</v>
      </c>
      <c r="AA755" s="1" t="s">
        <v>408</v>
      </c>
      <c r="AB755" s="1" t="s">
        <v>409</v>
      </c>
      <c r="AC755" s="1">
        <v>0</v>
      </c>
      <c r="AD755" s="1" t="s">
        <v>105</v>
      </c>
      <c r="AE755" s="1" t="s">
        <v>181</v>
      </c>
      <c r="AG755" s="1" t="s">
        <v>813</v>
      </c>
      <c r="AH755" s="1" t="s">
        <v>59</v>
      </c>
      <c r="AK755" s="1" t="s">
        <v>86</v>
      </c>
      <c r="AL755" s="1" t="s">
        <v>133</v>
      </c>
      <c r="AM755" s="1">
        <v>3</v>
      </c>
      <c r="AN755" s="1">
        <v>0</v>
      </c>
      <c r="AO755" s="1">
        <f t="shared" si="86"/>
        <v>3</v>
      </c>
    </row>
    <row r="756" spans="1:41" x14ac:dyDescent="0.4">
      <c r="A756" s="1">
        <v>1</v>
      </c>
      <c r="B756" s="1">
        <v>3</v>
      </c>
      <c r="C756" s="1" t="s">
        <v>119</v>
      </c>
      <c r="D756" s="2">
        <v>38930</v>
      </c>
      <c r="E756" s="1">
        <v>213</v>
      </c>
      <c r="F756" s="1">
        <v>4</v>
      </c>
      <c r="G756" s="3">
        <v>0.31203703703703706</v>
      </c>
      <c r="H756" s="3">
        <v>0.31241898148148145</v>
      </c>
      <c r="I756" s="3">
        <v>3.8194444444439313E-4</v>
      </c>
      <c r="J756" s="3">
        <v>3.8194444444439313E-4</v>
      </c>
      <c r="K756" s="5">
        <f t="shared" si="85"/>
        <v>33</v>
      </c>
      <c r="L756" s="3">
        <v>6.1226851851852171E-3</v>
      </c>
      <c r="N756" s="1" t="s">
        <v>75</v>
      </c>
      <c r="O756" s="1" t="s">
        <v>286</v>
      </c>
      <c r="P756" s="1" t="s">
        <v>227</v>
      </c>
      <c r="Q756" s="1" t="s">
        <v>132</v>
      </c>
      <c r="R756" s="1" t="s">
        <v>132</v>
      </c>
      <c r="S756" s="1" t="s">
        <v>46</v>
      </c>
      <c r="T756" s="1" t="s">
        <v>45</v>
      </c>
      <c r="U756" s="1" t="s">
        <v>66</v>
      </c>
      <c r="V756" s="1" t="s">
        <v>49</v>
      </c>
      <c r="W756" s="1" t="s">
        <v>168</v>
      </c>
      <c r="X756" s="1" t="s">
        <v>538</v>
      </c>
      <c r="AB756" s="1" t="s">
        <v>258</v>
      </c>
      <c r="AC756" s="1">
        <v>0</v>
      </c>
      <c r="AD756" s="1" t="s">
        <v>56</v>
      </c>
      <c r="AE756" s="1" t="s">
        <v>181</v>
      </c>
      <c r="AH756" s="1" t="s">
        <v>157</v>
      </c>
      <c r="AI756" s="1" t="s">
        <v>75</v>
      </c>
      <c r="AK756" s="1" t="s">
        <v>86</v>
      </c>
      <c r="AL756" s="1" t="s">
        <v>133</v>
      </c>
      <c r="AN756" s="1">
        <v>1</v>
      </c>
      <c r="AO756" s="1">
        <f t="shared" si="86"/>
        <v>1</v>
      </c>
    </row>
    <row r="757" spans="1:41" x14ac:dyDescent="0.4">
      <c r="A757" s="1">
        <v>1</v>
      </c>
      <c r="B757" s="1">
        <v>3</v>
      </c>
      <c r="C757" s="1" t="s">
        <v>119</v>
      </c>
      <c r="D757" s="2">
        <v>38930</v>
      </c>
      <c r="E757" s="1">
        <v>213</v>
      </c>
      <c r="F757" s="1">
        <v>9</v>
      </c>
      <c r="G757" s="3">
        <v>0.38811342592592596</v>
      </c>
      <c r="H757" s="3">
        <v>0.3888773148148148</v>
      </c>
      <c r="I757" s="3">
        <v>7.6388888888884177E-4</v>
      </c>
      <c r="J757" s="3">
        <v>7.6388888888884177E-4</v>
      </c>
      <c r="K757" s="5">
        <f t="shared" si="85"/>
        <v>66</v>
      </c>
      <c r="L757" s="3">
        <v>4.8310185185185206E-2</v>
      </c>
      <c r="N757" s="1" t="s">
        <v>75</v>
      </c>
      <c r="O757" s="1" t="s">
        <v>286</v>
      </c>
      <c r="P757" s="1" t="s">
        <v>227</v>
      </c>
      <c r="Q757" s="1" t="s">
        <v>76</v>
      </c>
      <c r="R757" s="1" t="s">
        <v>76</v>
      </c>
      <c r="S757" s="1" t="s">
        <v>46</v>
      </c>
      <c r="T757" s="1" t="s">
        <v>47</v>
      </c>
      <c r="V757" s="1" t="s">
        <v>102</v>
      </c>
      <c r="W757" s="1" t="s">
        <v>231</v>
      </c>
      <c r="X757" s="1" t="s">
        <v>96</v>
      </c>
      <c r="AB757" s="1" t="s">
        <v>104</v>
      </c>
      <c r="AC757" s="1">
        <v>0</v>
      </c>
      <c r="AD757" s="1" t="s">
        <v>105</v>
      </c>
      <c r="AE757" s="1" t="s">
        <v>70</v>
      </c>
      <c r="AG757" s="1" t="s">
        <v>934</v>
      </c>
      <c r="AH757" s="1" t="s">
        <v>157</v>
      </c>
      <c r="AK757" s="1" t="s">
        <v>86</v>
      </c>
      <c r="AL757" s="1" t="s">
        <v>133</v>
      </c>
      <c r="AM757" s="1">
        <v>2</v>
      </c>
      <c r="AN757" s="1">
        <v>0</v>
      </c>
      <c r="AO757" s="1">
        <f t="shared" si="86"/>
        <v>2</v>
      </c>
    </row>
    <row r="758" spans="1:41" x14ac:dyDescent="0.4">
      <c r="A758" s="1">
        <v>1</v>
      </c>
      <c r="B758" s="1">
        <v>3</v>
      </c>
      <c r="C758" s="1" t="s">
        <v>119</v>
      </c>
      <c r="D758" s="2">
        <v>38930</v>
      </c>
      <c r="E758" s="1">
        <v>213</v>
      </c>
      <c r="F758" s="1">
        <v>11</v>
      </c>
      <c r="G758" s="3">
        <v>0.43718750000000001</v>
      </c>
      <c r="H758" s="3">
        <v>0.43898148148148147</v>
      </c>
      <c r="I758" s="3">
        <v>1.7939814814814659E-3</v>
      </c>
      <c r="J758" s="3">
        <v>1.7939814814814659E-3</v>
      </c>
      <c r="K758" s="5">
        <f t="shared" si="85"/>
        <v>155</v>
      </c>
      <c r="L758" s="3">
        <v>1.0023148148148198E-2</v>
      </c>
      <c r="N758" s="1" t="s">
        <v>42</v>
      </c>
      <c r="O758" s="1" t="s">
        <v>286</v>
      </c>
      <c r="P758" s="1" t="s">
        <v>227</v>
      </c>
      <c r="Q758" s="1" t="s">
        <v>76</v>
      </c>
      <c r="R758" s="1" t="s">
        <v>76</v>
      </c>
      <c r="S758" s="1" t="s">
        <v>46</v>
      </c>
      <c r="T758" s="1" t="s">
        <v>47</v>
      </c>
      <c r="U758" s="1" t="s">
        <v>156</v>
      </c>
      <c r="V758" s="1" t="s">
        <v>49</v>
      </c>
      <c r="W758" s="1" t="s">
        <v>50</v>
      </c>
      <c r="X758" s="1" t="s">
        <v>405</v>
      </c>
      <c r="Y758" s="1" t="s">
        <v>406</v>
      </c>
      <c r="Z758" s="1" t="s">
        <v>407</v>
      </c>
      <c r="AA758" s="1" t="s">
        <v>408</v>
      </c>
      <c r="AB758" s="1" t="s">
        <v>409</v>
      </c>
      <c r="AC758" s="1">
        <v>0</v>
      </c>
      <c r="AD758" s="1" t="s">
        <v>105</v>
      </c>
      <c r="AE758" s="1" t="s">
        <v>181</v>
      </c>
      <c r="AG758" s="1" t="s">
        <v>864</v>
      </c>
      <c r="AH758" s="1" t="s">
        <v>59</v>
      </c>
      <c r="AI758" s="1" t="s">
        <v>75</v>
      </c>
      <c r="AK758" s="1" t="s">
        <v>61</v>
      </c>
      <c r="AL758" s="1" t="s">
        <v>61</v>
      </c>
      <c r="AM758" s="1">
        <v>5</v>
      </c>
      <c r="AN758" s="1">
        <v>0</v>
      </c>
      <c r="AO758" s="1">
        <f t="shared" si="86"/>
        <v>5</v>
      </c>
    </row>
    <row r="759" spans="1:41" x14ac:dyDescent="0.4">
      <c r="A759" s="1">
        <v>1</v>
      </c>
      <c r="B759" s="1">
        <v>3</v>
      </c>
      <c r="C759" s="1" t="s">
        <v>119</v>
      </c>
      <c r="D759" s="2">
        <v>38930</v>
      </c>
      <c r="E759" s="1">
        <v>213</v>
      </c>
      <c r="F759" s="1">
        <v>11.5</v>
      </c>
      <c r="G759" s="3">
        <v>0.44900462962962967</v>
      </c>
      <c r="H759" s="3">
        <v>0.4490277777777778</v>
      </c>
      <c r="I759" s="3">
        <v>2.3148148148133263E-5</v>
      </c>
      <c r="J759" s="3">
        <v>2.3148148148133263E-5</v>
      </c>
      <c r="K759" s="5">
        <f t="shared" si="85"/>
        <v>2</v>
      </c>
      <c r="L759" s="3">
        <v>8.4259259259259256E-2</v>
      </c>
      <c r="N759" s="1" t="s">
        <v>42</v>
      </c>
      <c r="O759" s="1" t="s">
        <v>286</v>
      </c>
      <c r="P759" s="1" t="s">
        <v>227</v>
      </c>
      <c r="Q759" s="1" t="s">
        <v>132</v>
      </c>
      <c r="R759" s="1" t="s">
        <v>132</v>
      </c>
      <c r="S759" s="1" t="s">
        <v>46</v>
      </c>
      <c r="T759" s="1" t="s">
        <v>47</v>
      </c>
      <c r="U759" s="1" t="s">
        <v>66</v>
      </c>
      <c r="AB759" s="1" t="s">
        <v>93</v>
      </c>
      <c r="AC759" s="1">
        <v>1</v>
      </c>
      <c r="AI759" s="1" t="s">
        <v>71</v>
      </c>
      <c r="AK759" s="1" t="s">
        <v>61</v>
      </c>
      <c r="AL759" s="1" t="s">
        <v>61</v>
      </c>
      <c r="AN759" s="1">
        <v>1</v>
      </c>
      <c r="AO759" s="1">
        <f t="shared" si="86"/>
        <v>1</v>
      </c>
    </row>
    <row r="760" spans="1:41" x14ac:dyDescent="0.4">
      <c r="A760" s="1">
        <v>1</v>
      </c>
      <c r="B760" s="1">
        <v>3</v>
      </c>
      <c r="C760" s="1" t="s">
        <v>119</v>
      </c>
      <c r="D760" s="2">
        <v>38930</v>
      </c>
      <c r="E760" s="1">
        <v>213</v>
      </c>
      <c r="F760" s="1">
        <v>22</v>
      </c>
      <c r="G760" s="3">
        <v>0.58468750000000003</v>
      </c>
      <c r="H760" s="3">
        <v>0.58962962962962961</v>
      </c>
      <c r="I760" s="3">
        <v>4.942129629629588E-3</v>
      </c>
      <c r="J760" s="3">
        <v>3.0902777777777057E-3</v>
      </c>
      <c r="K760" s="5">
        <f t="shared" si="85"/>
        <v>267</v>
      </c>
      <c r="L760" s="3">
        <v>1.9861111111111107E-2</v>
      </c>
      <c r="N760" s="1" t="s">
        <v>251</v>
      </c>
      <c r="O760" s="1" t="s">
        <v>286</v>
      </c>
      <c r="P760" s="1" t="s">
        <v>227</v>
      </c>
      <c r="Q760" s="1" t="s">
        <v>76</v>
      </c>
      <c r="R760" s="1" t="s">
        <v>76</v>
      </c>
      <c r="S760" s="1" t="s">
        <v>46</v>
      </c>
      <c r="T760" s="1" t="s">
        <v>45</v>
      </c>
      <c r="U760" s="1" t="s">
        <v>156</v>
      </c>
      <c r="V760" s="1" t="s">
        <v>49</v>
      </c>
      <c r="W760" s="1" t="s">
        <v>50</v>
      </c>
      <c r="X760" s="1" t="s">
        <v>405</v>
      </c>
      <c r="Y760" s="1" t="s">
        <v>406</v>
      </c>
      <c r="Z760" s="1" t="s">
        <v>407</v>
      </c>
      <c r="AA760" s="1" t="s">
        <v>408</v>
      </c>
      <c r="AB760" s="1" t="s">
        <v>409</v>
      </c>
      <c r="AC760" s="1">
        <v>0</v>
      </c>
      <c r="AD760" s="1" t="s">
        <v>105</v>
      </c>
      <c r="AE760" s="1" t="s">
        <v>181</v>
      </c>
      <c r="AG760" s="1" t="s">
        <v>938</v>
      </c>
      <c r="AH760" s="1" t="s">
        <v>59</v>
      </c>
      <c r="AI760" s="1" t="s">
        <v>255</v>
      </c>
      <c r="AK760" s="1" t="s">
        <v>61</v>
      </c>
      <c r="AL760" s="1" t="s">
        <v>133</v>
      </c>
      <c r="AM760" s="1">
        <v>1</v>
      </c>
      <c r="AN760" s="1">
        <v>0</v>
      </c>
      <c r="AO760" s="1">
        <f t="shared" si="86"/>
        <v>1</v>
      </c>
    </row>
    <row r="761" spans="1:41" x14ac:dyDescent="0.4">
      <c r="A761" s="1">
        <v>1</v>
      </c>
      <c r="B761" s="1">
        <v>3</v>
      </c>
      <c r="C761" s="1" t="s">
        <v>119</v>
      </c>
      <c r="D761" s="2">
        <v>38930</v>
      </c>
      <c r="E761" s="1">
        <v>213</v>
      </c>
      <c r="F761" s="1">
        <v>27</v>
      </c>
      <c r="G761" s="3">
        <v>0.66149305555555549</v>
      </c>
      <c r="H761" s="3">
        <v>0.66228009259259257</v>
      </c>
      <c r="I761" s="3">
        <v>7.8703703703708605E-4</v>
      </c>
      <c r="J761" s="3">
        <v>7.8703703703708605E-4</v>
      </c>
      <c r="K761" s="5">
        <f t="shared" si="85"/>
        <v>68</v>
      </c>
      <c r="L761" s="3">
        <v>5.636574074074141E-3</v>
      </c>
      <c r="N761" s="1" t="s">
        <v>251</v>
      </c>
      <c r="O761" s="1" t="s">
        <v>286</v>
      </c>
      <c r="P761" s="1" t="s">
        <v>227</v>
      </c>
      <c r="Q761" s="1" t="s">
        <v>76</v>
      </c>
      <c r="R761" s="1" t="s">
        <v>76</v>
      </c>
      <c r="S761" s="1" t="s">
        <v>46</v>
      </c>
      <c r="T761" s="1" t="s">
        <v>47</v>
      </c>
      <c r="U761" s="1" t="s">
        <v>66</v>
      </c>
      <c r="V761" s="1" t="s">
        <v>49</v>
      </c>
      <c r="W761" s="1" t="s">
        <v>50</v>
      </c>
      <c r="X761" s="1" t="s">
        <v>405</v>
      </c>
      <c r="Y761" s="1" t="s">
        <v>406</v>
      </c>
      <c r="Z761" s="1" t="s">
        <v>407</v>
      </c>
      <c r="AA761" s="1" t="s">
        <v>408</v>
      </c>
      <c r="AB761" s="1" t="s">
        <v>409</v>
      </c>
      <c r="AC761" s="1">
        <v>0</v>
      </c>
      <c r="AD761" s="1" t="s">
        <v>105</v>
      </c>
      <c r="AE761" s="1" t="s">
        <v>181</v>
      </c>
      <c r="AG761" s="1" t="s">
        <v>738</v>
      </c>
      <c r="AH761" s="1" t="s">
        <v>59</v>
      </c>
      <c r="AI761" s="1" t="s">
        <v>257</v>
      </c>
      <c r="AK761" s="1" t="s">
        <v>61</v>
      </c>
      <c r="AL761" s="1" t="s">
        <v>61</v>
      </c>
      <c r="AM761" s="1">
        <v>4</v>
      </c>
      <c r="AN761" s="1">
        <v>0</v>
      </c>
      <c r="AO761" s="1">
        <f t="shared" si="86"/>
        <v>4</v>
      </c>
    </row>
    <row r="762" spans="1:41" x14ac:dyDescent="0.4">
      <c r="A762" s="1">
        <v>1</v>
      </c>
      <c r="B762" s="1">
        <v>3</v>
      </c>
      <c r="C762" s="1" t="s">
        <v>119</v>
      </c>
      <c r="D762" s="2">
        <v>38939</v>
      </c>
      <c r="E762" s="1">
        <v>222</v>
      </c>
      <c r="F762" s="1">
        <v>7.3</v>
      </c>
      <c r="G762" s="3">
        <v>0.4071643518518519</v>
      </c>
      <c r="H762" s="3">
        <v>0.40886574074074072</v>
      </c>
      <c r="I762" s="3">
        <v>1.7013888888888218E-3</v>
      </c>
      <c r="J762" s="3">
        <v>1.7013888888888218E-3</v>
      </c>
      <c r="K762" s="5">
        <f t="shared" si="85"/>
        <v>147</v>
      </c>
      <c r="L762" s="3">
        <v>2.8599537037037104E-2</v>
      </c>
      <c r="N762" s="1" t="s">
        <v>42</v>
      </c>
      <c r="O762" s="1" t="s">
        <v>286</v>
      </c>
      <c r="P762" s="1" t="s">
        <v>227</v>
      </c>
      <c r="Q762" s="1" t="s">
        <v>76</v>
      </c>
      <c r="R762" s="1" t="s">
        <v>76</v>
      </c>
      <c r="S762" s="1" t="s">
        <v>46</v>
      </c>
      <c r="T762" s="1" t="s">
        <v>45</v>
      </c>
      <c r="U762" s="1" t="s">
        <v>66</v>
      </c>
      <c r="AB762" s="1" t="s">
        <v>93</v>
      </c>
      <c r="AC762" s="1">
        <v>1</v>
      </c>
      <c r="AG762" s="1" t="s">
        <v>869</v>
      </c>
      <c r="AI762" s="1" t="s">
        <v>71</v>
      </c>
      <c r="AK762" s="1" t="s">
        <v>86</v>
      </c>
      <c r="AL762" s="1" t="s">
        <v>133</v>
      </c>
      <c r="AM762" s="1">
        <v>2</v>
      </c>
      <c r="AN762" s="1">
        <v>0</v>
      </c>
      <c r="AO762" s="1">
        <f t="shared" si="86"/>
        <v>2</v>
      </c>
    </row>
    <row r="763" spans="1:41" x14ac:dyDescent="0.4">
      <c r="A763" s="1">
        <v>1</v>
      </c>
      <c r="B763" s="1">
        <v>3</v>
      </c>
      <c r="C763" s="1" t="s">
        <v>119</v>
      </c>
      <c r="D763" s="2">
        <v>38939</v>
      </c>
      <c r="E763" s="1">
        <v>222</v>
      </c>
      <c r="F763" s="1">
        <v>7.8</v>
      </c>
      <c r="G763" s="3">
        <v>0.43746527777777783</v>
      </c>
      <c r="H763" s="3">
        <v>0.43751157407407404</v>
      </c>
      <c r="I763" s="3">
        <v>4.6296296296211015E-5</v>
      </c>
      <c r="J763" s="3">
        <v>4.6296296296211015E-5</v>
      </c>
      <c r="K763" s="5">
        <f t="shared" si="85"/>
        <v>4</v>
      </c>
      <c r="L763" s="3">
        <v>0.13048611111111119</v>
      </c>
      <c r="N763" s="1" t="s">
        <v>42</v>
      </c>
      <c r="O763" s="1" t="s">
        <v>286</v>
      </c>
      <c r="P763" s="1" t="s">
        <v>227</v>
      </c>
      <c r="Q763" s="1" t="s">
        <v>45</v>
      </c>
      <c r="R763" s="1" t="s">
        <v>45</v>
      </c>
      <c r="S763" s="1" t="s">
        <v>46</v>
      </c>
      <c r="T763" s="1" t="s">
        <v>45</v>
      </c>
      <c r="U763" s="1" t="s">
        <v>156</v>
      </c>
      <c r="AB763" s="1" t="s">
        <v>93</v>
      </c>
      <c r="AC763" s="1">
        <v>1</v>
      </c>
      <c r="AI763" s="1" t="s">
        <v>75</v>
      </c>
      <c r="AK763" s="1" t="s">
        <v>86</v>
      </c>
      <c r="AL763" s="1" t="s">
        <v>133</v>
      </c>
      <c r="AN763" s="1">
        <v>1</v>
      </c>
      <c r="AO763" s="1">
        <f t="shared" si="86"/>
        <v>1</v>
      </c>
    </row>
    <row r="764" spans="1:41" x14ac:dyDescent="0.4">
      <c r="A764" s="1">
        <v>1</v>
      </c>
      <c r="B764" s="1">
        <v>3</v>
      </c>
      <c r="C764" s="1" t="s">
        <v>119</v>
      </c>
      <c r="D764" s="2">
        <v>38939</v>
      </c>
      <c r="E764" s="1">
        <v>222</v>
      </c>
      <c r="F764" s="1">
        <v>18</v>
      </c>
      <c r="G764" s="3">
        <v>0.67440972222222229</v>
      </c>
      <c r="H764" s="3">
        <v>0.67591435185185178</v>
      </c>
      <c r="I764" s="3">
        <v>1.5046296296294948E-3</v>
      </c>
      <c r="J764" s="3">
        <v>1.5046296296294948E-3</v>
      </c>
      <c r="K764" s="5">
        <f t="shared" si="85"/>
        <v>130</v>
      </c>
      <c r="L764" s="3">
        <v>2.2048611111111227E-2</v>
      </c>
      <c r="N764" s="1" t="s">
        <v>75</v>
      </c>
      <c r="O764" s="1" t="s">
        <v>286</v>
      </c>
      <c r="P764" s="1" t="s">
        <v>227</v>
      </c>
      <c r="Q764" s="1" t="s">
        <v>45</v>
      </c>
      <c r="R764" s="1" t="s">
        <v>76</v>
      </c>
      <c r="S764" s="1" t="s">
        <v>46</v>
      </c>
      <c r="T764" s="1" t="s">
        <v>47</v>
      </c>
      <c r="V764" s="1" t="s">
        <v>49</v>
      </c>
      <c r="W764" s="1" t="s">
        <v>50</v>
      </c>
      <c r="X764" s="1" t="s">
        <v>405</v>
      </c>
      <c r="Y764" s="1" t="s">
        <v>406</v>
      </c>
      <c r="Z764" s="1" t="s">
        <v>407</v>
      </c>
      <c r="AA764" s="1" t="s">
        <v>408</v>
      </c>
      <c r="AB764" s="1" t="s">
        <v>409</v>
      </c>
      <c r="AC764" s="1">
        <v>0</v>
      </c>
      <c r="AD764" s="1" t="s">
        <v>105</v>
      </c>
      <c r="AE764" s="1" t="s">
        <v>181</v>
      </c>
      <c r="AG764" s="1" t="s">
        <v>738</v>
      </c>
      <c r="AH764" s="1" t="s">
        <v>59</v>
      </c>
      <c r="AK764" s="1" t="s">
        <v>61</v>
      </c>
      <c r="AL764" s="1" t="s">
        <v>61</v>
      </c>
      <c r="AM764" s="1">
        <v>4</v>
      </c>
      <c r="AN764" s="1">
        <v>0</v>
      </c>
      <c r="AO764" s="1">
        <f t="shared" si="86"/>
        <v>4</v>
      </c>
    </row>
    <row r="765" spans="1:41" x14ac:dyDescent="0.4">
      <c r="A765" s="1">
        <v>1</v>
      </c>
      <c r="B765" s="1">
        <v>3</v>
      </c>
      <c r="C765" s="1" t="s">
        <v>119</v>
      </c>
      <c r="D765" s="2">
        <v>38939</v>
      </c>
      <c r="E765" s="1">
        <v>222</v>
      </c>
      <c r="F765" s="1">
        <v>23</v>
      </c>
      <c r="G765" s="3">
        <v>0.70946759259259251</v>
      </c>
      <c r="H765" s="3">
        <v>0.71003472222222219</v>
      </c>
      <c r="I765" s="3">
        <v>5.6712962962968128E-4</v>
      </c>
      <c r="J765" s="3">
        <v>5.6712962962968128E-4</v>
      </c>
      <c r="K765" s="5">
        <f t="shared" si="85"/>
        <v>49</v>
      </c>
      <c r="L765" s="3" t="s">
        <v>120</v>
      </c>
      <c r="N765" s="1" t="s">
        <v>75</v>
      </c>
      <c r="O765" s="1" t="s">
        <v>286</v>
      </c>
      <c r="P765" s="1" t="s">
        <v>227</v>
      </c>
      <c r="Q765" s="1" t="s">
        <v>76</v>
      </c>
      <c r="R765" s="1" t="s">
        <v>76</v>
      </c>
      <c r="S765" s="1" t="s">
        <v>46</v>
      </c>
      <c r="AB765" s="1" t="s">
        <v>93</v>
      </c>
      <c r="AC765" s="1">
        <v>1</v>
      </c>
      <c r="AK765" s="1" t="s">
        <v>61</v>
      </c>
      <c r="AL765" s="1" t="s">
        <v>133</v>
      </c>
      <c r="AN765" s="1">
        <v>1</v>
      </c>
      <c r="AO765" s="1">
        <f t="shared" si="86"/>
        <v>1</v>
      </c>
    </row>
    <row r="766" spans="1:41" x14ac:dyDescent="0.4">
      <c r="A766" s="1">
        <v>1</v>
      </c>
      <c r="B766" s="1">
        <v>3</v>
      </c>
      <c r="C766" s="1" t="s">
        <v>119</v>
      </c>
      <c r="D766" s="2">
        <v>38951</v>
      </c>
      <c r="E766" s="1">
        <v>234</v>
      </c>
      <c r="F766" s="1">
        <v>4</v>
      </c>
      <c r="G766" s="3">
        <v>0.3755324074074074</v>
      </c>
      <c r="H766" s="3">
        <v>0.37698495370370366</v>
      </c>
      <c r="I766" s="3">
        <v>1.4525462962962643E-3</v>
      </c>
      <c r="J766" s="3">
        <v>1.4525462962962643E-3</v>
      </c>
      <c r="K766" s="5">
        <f t="shared" si="85"/>
        <v>125</v>
      </c>
      <c r="L766" s="3">
        <v>1.8292824074074121E-2</v>
      </c>
      <c r="N766" s="1" t="s">
        <v>42</v>
      </c>
      <c r="O766" s="1" t="s">
        <v>286</v>
      </c>
      <c r="P766" s="1" t="s">
        <v>227</v>
      </c>
      <c r="Q766" s="1" t="s">
        <v>76</v>
      </c>
      <c r="R766" s="1" t="s">
        <v>76</v>
      </c>
      <c r="S766" s="1" t="s">
        <v>46</v>
      </c>
      <c r="T766" s="1" t="s">
        <v>47</v>
      </c>
      <c r="U766" s="1" t="s">
        <v>66</v>
      </c>
      <c r="V766" s="1" t="s">
        <v>49</v>
      </c>
      <c r="W766" s="1" t="s">
        <v>50</v>
      </c>
      <c r="X766" s="1" t="s">
        <v>405</v>
      </c>
      <c r="Y766" s="1" t="s">
        <v>406</v>
      </c>
      <c r="Z766" s="1" t="s">
        <v>407</v>
      </c>
      <c r="AA766" s="1" t="s">
        <v>408</v>
      </c>
      <c r="AB766" s="1" t="s">
        <v>409</v>
      </c>
      <c r="AC766" s="1">
        <v>0</v>
      </c>
      <c r="AD766" s="1" t="s">
        <v>105</v>
      </c>
      <c r="AE766" s="1" t="s">
        <v>181</v>
      </c>
      <c r="AG766" s="1" t="s">
        <v>939</v>
      </c>
      <c r="AH766" s="1" t="s">
        <v>59</v>
      </c>
      <c r="AI766" s="1" t="s">
        <v>71</v>
      </c>
      <c r="AK766" s="1" t="s">
        <v>86</v>
      </c>
      <c r="AL766" s="1" t="s">
        <v>87</v>
      </c>
      <c r="AM766" s="1">
        <v>1</v>
      </c>
      <c r="AN766" s="1">
        <v>0</v>
      </c>
      <c r="AO766" s="1">
        <f t="shared" si="86"/>
        <v>1</v>
      </c>
    </row>
    <row r="767" spans="1:41" x14ac:dyDescent="0.4">
      <c r="A767" s="1">
        <v>1</v>
      </c>
      <c r="B767" s="1">
        <v>3</v>
      </c>
      <c r="C767" s="1" t="s">
        <v>119</v>
      </c>
      <c r="D767" s="2">
        <v>38951</v>
      </c>
      <c r="E767" s="1">
        <v>234</v>
      </c>
      <c r="F767" s="1">
        <v>8</v>
      </c>
      <c r="G767" s="3">
        <v>0.4097337962962963</v>
      </c>
      <c r="H767" s="3">
        <v>0.41287037037037039</v>
      </c>
      <c r="I767" s="3">
        <v>3.1365740740740833E-3</v>
      </c>
      <c r="J767" s="3">
        <v>6.94444444444553E-5</v>
      </c>
      <c r="K767" s="5">
        <f t="shared" si="85"/>
        <v>6</v>
      </c>
      <c r="L767" s="3">
        <v>1.4710648148148098E-2</v>
      </c>
      <c r="N767" s="1" t="s">
        <v>42</v>
      </c>
      <c r="O767" s="1" t="s">
        <v>286</v>
      </c>
      <c r="P767" s="1" t="s">
        <v>227</v>
      </c>
      <c r="Q767" s="1" t="s">
        <v>76</v>
      </c>
      <c r="R767" s="1" t="s">
        <v>76</v>
      </c>
      <c r="S767" s="1" t="s">
        <v>46</v>
      </c>
      <c r="T767" s="1" t="s">
        <v>45</v>
      </c>
      <c r="U767" s="1" t="s">
        <v>66</v>
      </c>
      <c r="V767" s="1" t="s">
        <v>49</v>
      </c>
      <c r="W767" s="1" t="s">
        <v>140</v>
      </c>
      <c r="X767" s="1" t="s">
        <v>651</v>
      </c>
      <c r="Y767" s="1" t="s">
        <v>435</v>
      </c>
      <c r="Z767" s="1" t="s">
        <v>436</v>
      </c>
      <c r="AA767" s="1" t="s">
        <v>775</v>
      </c>
      <c r="AB767" s="1" t="s">
        <v>940</v>
      </c>
      <c r="AC767" s="1">
        <v>0</v>
      </c>
      <c r="AD767" s="1" t="s">
        <v>56</v>
      </c>
      <c r="AE767" s="1" t="s">
        <v>181</v>
      </c>
      <c r="AG767" s="1" t="s">
        <v>885</v>
      </c>
      <c r="AH767" s="1" t="s">
        <v>115</v>
      </c>
      <c r="AI767" s="1" t="s">
        <v>71</v>
      </c>
      <c r="AK767" s="1" t="s">
        <v>86</v>
      </c>
      <c r="AL767" s="1" t="s">
        <v>87</v>
      </c>
      <c r="AM767" s="1">
        <v>2</v>
      </c>
      <c r="AN767" s="1">
        <v>0</v>
      </c>
      <c r="AO767" s="1">
        <f t="shared" si="86"/>
        <v>2</v>
      </c>
    </row>
    <row r="768" spans="1:41" x14ac:dyDescent="0.4">
      <c r="A768" s="1">
        <v>1</v>
      </c>
      <c r="B768" s="1">
        <v>3</v>
      </c>
      <c r="C768" s="1" t="s">
        <v>119</v>
      </c>
      <c r="D768" s="2">
        <v>38951</v>
      </c>
      <c r="E768" s="1">
        <v>234</v>
      </c>
      <c r="F768" s="1">
        <v>12.5</v>
      </c>
      <c r="G768" s="3">
        <v>0.45721064814814816</v>
      </c>
      <c r="H768" s="3">
        <v>0.45740740740740743</v>
      </c>
      <c r="I768" s="3">
        <v>1.9675925925927151E-4</v>
      </c>
      <c r="J768" s="3">
        <v>1.9675925925927151E-4</v>
      </c>
      <c r="K768" s="5">
        <f t="shared" si="85"/>
        <v>17</v>
      </c>
      <c r="L768" s="3">
        <v>8.4907407407407376E-2</v>
      </c>
      <c r="N768" s="1" t="s">
        <v>251</v>
      </c>
      <c r="O768" s="1" t="s">
        <v>286</v>
      </c>
      <c r="P768" s="1" t="s">
        <v>227</v>
      </c>
      <c r="Q768" s="1" t="s">
        <v>76</v>
      </c>
      <c r="R768" s="1" t="s">
        <v>76</v>
      </c>
      <c r="S768" s="1" t="s">
        <v>46</v>
      </c>
      <c r="T768" s="1" t="s">
        <v>76</v>
      </c>
      <c r="U768" s="1" t="s">
        <v>92</v>
      </c>
      <c r="AB768" s="1" t="s">
        <v>93</v>
      </c>
      <c r="AC768" s="1">
        <v>1</v>
      </c>
      <c r="AG768" s="1" t="s">
        <v>891</v>
      </c>
      <c r="AI768" s="1" t="s">
        <v>253</v>
      </c>
      <c r="AK768" s="1" t="s">
        <v>86</v>
      </c>
      <c r="AL768" s="1" t="s">
        <v>87</v>
      </c>
      <c r="AM768" s="1">
        <v>2</v>
      </c>
      <c r="AN768" s="1">
        <v>0</v>
      </c>
      <c r="AO768" s="1">
        <f t="shared" si="86"/>
        <v>2</v>
      </c>
    </row>
    <row r="769" spans="1:41" x14ac:dyDescent="0.4">
      <c r="A769" s="1">
        <v>1</v>
      </c>
      <c r="B769" s="1">
        <v>3</v>
      </c>
      <c r="C769" s="1" t="s">
        <v>119</v>
      </c>
      <c r="D769" s="2">
        <v>38951</v>
      </c>
      <c r="E769" s="1">
        <v>234</v>
      </c>
      <c r="F769" s="1">
        <v>20</v>
      </c>
      <c r="G769" s="3">
        <v>0.64438657407407407</v>
      </c>
      <c r="H769" s="3">
        <v>0.64513888888888882</v>
      </c>
      <c r="I769" s="3">
        <v>7.5231481481474738E-4</v>
      </c>
      <c r="J769" s="3">
        <v>6.018518518517979E-4</v>
      </c>
      <c r="K769" s="5">
        <f t="shared" si="85"/>
        <v>52</v>
      </c>
      <c r="L769" s="3">
        <v>5.8796296296297346E-3</v>
      </c>
      <c r="N769" s="1" t="s">
        <v>251</v>
      </c>
      <c r="O769" s="1" t="s">
        <v>286</v>
      </c>
      <c r="P769" s="1" t="s">
        <v>227</v>
      </c>
      <c r="Q769" s="1" t="s">
        <v>45</v>
      </c>
      <c r="R769" s="1" t="s">
        <v>45</v>
      </c>
      <c r="S769" s="1" t="s">
        <v>46</v>
      </c>
      <c r="T769" s="1" t="s">
        <v>47</v>
      </c>
      <c r="U769" s="1" t="s">
        <v>156</v>
      </c>
      <c r="V769" s="1" t="s">
        <v>49</v>
      </c>
      <c r="W769" s="1" t="s">
        <v>268</v>
      </c>
      <c r="X769" s="1" t="s">
        <v>316</v>
      </c>
      <c r="Y769" s="1" t="s">
        <v>52</v>
      </c>
      <c r="Z769" s="1" t="s">
        <v>317</v>
      </c>
      <c r="AA769" s="1">
        <v>1</v>
      </c>
      <c r="AB769" s="1" t="s">
        <v>318</v>
      </c>
      <c r="AC769" s="1">
        <v>0</v>
      </c>
      <c r="AD769" s="1" t="s">
        <v>105</v>
      </c>
      <c r="AE769" s="1" t="s">
        <v>57</v>
      </c>
      <c r="AG769" s="1" t="s">
        <v>897</v>
      </c>
      <c r="AH769" s="1" t="s">
        <v>165</v>
      </c>
      <c r="AI769" s="1" t="s">
        <v>255</v>
      </c>
      <c r="AK769" s="1" t="s">
        <v>86</v>
      </c>
      <c r="AL769" s="1" t="s">
        <v>86</v>
      </c>
      <c r="AM769" s="1">
        <v>3</v>
      </c>
      <c r="AN769" s="1">
        <v>0</v>
      </c>
      <c r="AO769" s="1">
        <f t="shared" si="86"/>
        <v>3</v>
      </c>
    </row>
    <row r="770" spans="1:41" x14ac:dyDescent="0.4">
      <c r="A770" s="1">
        <v>1</v>
      </c>
      <c r="B770" s="1">
        <v>3</v>
      </c>
      <c r="C770" s="1" t="s">
        <v>119</v>
      </c>
      <c r="D770" s="2">
        <v>38951</v>
      </c>
      <c r="E770" s="1">
        <v>234</v>
      </c>
      <c r="F770" s="1">
        <v>28</v>
      </c>
      <c r="G770" s="3">
        <v>0.70292824074074067</v>
      </c>
      <c r="H770" s="3">
        <v>0.70490740740740743</v>
      </c>
      <c r="I770" s="3">
        <v>1.979166666666754E-3</v>
      </c>
      <c r="J770" s="3">
        <v>1.979166666666754E-3</v>
      </c>
      <c r="K770" s="5">
        <f t="shared" ref="K770:K833" si="87">HOUR(J770)*60*60+MINUTE(J770)*60+SECOND(J770)</f>
        <v>171</v>
      </c>
      <c r="L770" s="3" t="s">
        <v>120</v>
      </c>
      <c r="N770" s="1" t="s">
        <v>251</v>
      </c>
      <c r="O770" s="1" t="s">
        <v>286</v>
      </c>
      <c r="P770" s="1" t="s">
        <v>227</v>
      </c>
      <c r="Q770" s="1" t="s">
        <v>132</v>
      </c>
      <c r="R770" s="1" t="s">
        <v>191</v>
      </c>
      <c r="S770" s="1" t="s">
        <v>46</v>
      </c>
      <c r="T770" s="1" t="s">
        <v>45</v>
      </c>
      <c r="U770" s="1" t="s">
        <v>66</v>
      </c>
      <c r="V770" s="1" t="s">
        <v>49</v>
      </c>
      <c r="W770" s="1" t="s">
        <v>233</v>
      </c>
      <c r="X770" s="1" t="s">
        <v>783</v>
      </c>
      <c r="Y770" s="1" t="s">
        <v>725</v>
      </c>
      <c r="Z770" s="1" t="s">
        <v>726</v>
      </c>
      <c r="AA770" s="1" t="s">
        <v>784</v>
      </c>
      <c r="AB770" s="1" t="s">
        <v>785</v>
      </c>
      <c r="AC770" s="1">
        <v>0</v>
      </c>
      <c r="AD770" s="1" t="s">
        <v>56</v>
      </c>
      <c r="AE770" s="1" t="s">
        <v>83</v>
      </c>
      <c r="AG770" s="1" t="s">
        <v>941</v>
      </c>
      <c r="AH770" s="1" t="s">
        <v>206</v>
      </c>
      <c r="AI770" s="1" t="s">
        <v>257</v>
      </c>
      <c r="AK770" s="1" t="s">
        <v>86</v>
      </c>
      <c r="AL770" s="1" t="s">
        <v>87</v>
      </c>
      <c r="AM770" s="1">
        <v>1</v>
      </c>
      <c r="AN770" s="1">
        <v>0</v>
      </c>
      <c r="AO770" s="1">
        <f t="shared" si="86"/>
        <v>1</v>
      </c>
    </row>
    <row r="771" spans="1:41" x14ac:dyDescent="0.4">
      <c r="A771" s="1">
        <v>1</v>
      </c>
      <c r="B771" s="1">
        <v>3</v>
      </c>
      <c r="C771" s="1" t="s">
        <v>119</v>
      </c>
      <c r="D771" s="2">
        <v>38974</v>
      </c>
      <c r="E771" s="1">
        <v>257</v>
      </c>
      <c r="F771" s="1">
        <v>1.8</v>
      </c>
      <c r="G771" s="3">
        <v>0.36123842592592598</v>
      </c>
      <c r="H771" s="3">
        <v>0.36130787037037032</v>
      </c>
      <c r="I771" s="3">
        <v>6.9444444444344278E-5</v>
      </c>
      <c r="J771" s="3">
        <v>6.9444444444344278E-5</v>
      </c>
      <c r="K771" s="5">
        <f t="shared" si="87"/>
        <v>6</v>
      </c>
      <c r="L771" s="3">
        <v>8.7500000000000355E-3</v>
      </c>
      <c r="N771" s="1" t="s">
        <v>251</v>
      </c>
      <c r="O771" s="1" t="s">
        <v>286</v>
      </c>
      <c r="P771" s="1" t="s">
        <v>227</v>
      </c>
      <c r="Q771" s="1" t="s">
        <v>76</v>
      </c>
      <c r="R771" s="1" t="s">
        <v>76</v>
      </c>
      <c r="S771" s="1" t="s">
        <v>46</v>
      </c>
      <c r="T771" s="1" t="s">
        <v>45</v>
      </c>
      <c r="U771" s="1" t="s">
        <v>92</v>
      </c>
      <c r="AB771" s="1" t="s">
        <v>93</v>
      </c>
      <c r="AC771" s="1">
        <v>1</v>
      </c>
      <c r="AG771" s="1" t="s">
        <v>733</v>
      </c>
      <c r="AI771" s="1" t="s">
        <v>253</v>
      </c>
      <c r="AK771" s="1" t="s">
        <v>86</v>
      </c>
      <c r="AL771" s="1" t="s">
        <v>133</v>
      </c>
      <c r="AM771" s="1">
        <v>2</v>
      </c>
      <c r="AN771" s="1">
        <v>0</v>
      </c>
      <c r="AO771" s="1">
        <f t="shared" ref="AO771:AO834" si="88">SUM(AM771:AN771)</f>
        <v>2</v>
      </c>
    </row>
    <row r="772" spans="1:41" x14ac:dyDescent="0.4">
      <c r="A772" s="1">
        <v>1</v>
      </c>
      <c r="B772" s="1">
        <v>3</v>
      </c>
      <c r="C772" s="1" t="s">
        <v>119</v>
      </c>
      <c r="D772" s="2">
        <v>38974</v>
      </c>
      <c r="E772" s="1">
        <v>257</v>
      </c>
      <c r="F772" s="1">
        <v>1.9</v>
      </c>
      <c r="G772" s="3">
        <v>0.37005787037037036</v>
      </c>
      <c r="H772" s="3">
        <v>0.37013888888888885</v>
      </c>
      <c r="I772" s="3">
        <v>8.1018518518494176E-5</v>
      </c>
      <c r="J772" s="3">
        <v>8.1018518518494176E-5</v>
      </c>
      <c r="K772" s="5">
        <f t="shared" si="87"/>
        <v>7</v>
      </c>
      <c r="L772" s="3">
        <v>5.0925925925926485E-3</v>
      </c>
      <c r="N772" s="1" t="s">
        <v>251</v>
      </c>
      <c r="O772" s="1" t="s">
        <v>286</v>
      </c>
      <c r="P772" s="1" t="s">
        <v>227</v>
      </c>
      <c r="Q772" s="1" t="s">
        <v>76</v>
      </c>
      <c r="R772" s="1" t="s">
        <v>76</v>
      </c>
      <c r="S772" s="1" t="s">
        <v>46</v>
      </c>
      <c r="T772" s="1" t="s">
        <v>45</v>
      </c>
      <c r="U772" s="1" t="s">
        <v>156</v>
      </c>
      <c r="AB772" s="1" t="s">
        <v>93</v>
      </c>
      <c r="AC772" s="1">
        <v>1</v>
      </c>
      <c r="AI772" s="1" t="s">
        <v>255</v>
      </c>
      <c r="AK772" s="1" t="s">
        <v>61</v>
      </c>
      <c r="AL772" s="1" t="s">
        <v>133</v>
      </c>
      <c r="AN772" s="1">
        <v>1</v>
      </c>
      <c r="AO772" s="1">
        <f t="shared" si="88"/>
        <v>1</v>
      </c>
    </row>
    <row r="773" spans="1:41" x14ac:dyDescent="0.4">
      <c r="A773" s="1">
        <v>1</v>
      </c>
      <c r="B773" s="1">
        <v>3</v>
      </c>
      <c r="C773" s="1" t="s">
        <v>119</v>
      </c>
      <c r="D773" s="2">
        <v>38974</v>
      </c>
      <c r="E773" s="1">
        <v>257</v>
      </c>
      <c r="F773" s="1">
        <v>4.3</v>
      </c>
      <c r="G773" s="3">
        <v>0.43739583333333337</v>
      </c>
      <c r="H773" s="3">
        <v>0.43744212962962964</v>
      </c>
      <c r="I773" s="3">
        <v>4.6296296296266526E-5</v>
      </c>
      <c r="J773" s="3">
        <v>4.6296296296266526E-5</v>
      </c>
      <c r="K773" s="5">
        <f t="shared" si="87"/>
        <v>4</v>
      </c>
      <c r="L773" s="3">
        <v>3.8877314814814823E-2</v>
      </c>
      <c r="N773" s="1" t="s">
        <v>42</v>
      </c>
      <c r="O773" s="1" t="s">
        <v>286</v>
      </c>
      <c r="P773" s="1" t="s">
        <v>227</v>
      </c>
      <c r="Q773" s="1" t="s">
        <v>91</v>
      </c>
      <c r="R773" s="1" t="s">
        <v>191</v>
      </c>
      <c r="S773" s="1" t="s">
        <v>46</v>
      </c>
      <c r="T773" s="1" t="s">
        <v>45</v>
      </c>
      <c r="U773" s="1" t="s">
        <v>156</v>
      </c>
      <c r="AB773" s="1" t="s">
        <v>93</v>
      </c>
      <c r="AC773" s="1">
        <v>1</v>
      </c>
      <c r="AG773" s="1" t="s">
        <v>942</v>
      </c>
      <c r="AI773" s="1" t="s">
        <v>75</v>
      </c>
      <c r="AK773" s="1" t="s">
        <v>381</v>
      </c>
      <c r="AL773" s="1" t="s">
        <v>382</v>
      </c>
      <c r="AM773" s="1">
        <v>1</v>
      </c>
      <c r="AN773" s="1">
        <v>0</v>
      </c>
      <c r="AO773" s="1">
        <f t="shared" si="88"/>
        <v>1</v>
      </c>
    </row>
    <row r="774" spans="1:41" x14ac:dyDescent="0.4">
      <c r="A774" s="1">
        <v>1</v>
      </c>
      <c r="B774" s="1">
        <v>3</v>
      </c>
      <c r="C774" s="1" t="s">
        <v>119</v>
      </c>
      <c r="D774" s="2">
        <v>38974</v>
      </c>
      <c r="E774" s="1">
        <v>257</v>
      </c>
      <c r="F774" s="1">
        <v>6</v>
      </c>
      <c r="G774" s="3">
        <v>0.47631944444444446</v>
      </c>
      <c r="H774" s="3">
        <v>0.47662037037037036</v>
      </c>
      <c r="I774" s="3">
        <v>3.0092592592589895E-4</v>
      </c>
      <c r="J774" s="3">
        <v>3.0092592592589895E-4</v>
      </c>
      <c r="K774" s="5">
        <f t="shared" si="87"/>
        <v>26</v>
      </c>
      <c r="L774" s="3">
        <v>1.8518518518518268E-3</v>
      </c>
      <c r="N774" s="1" t="s">
        <v>42</v>
      </c>
      <c r="O774" s="1" t="s">
        <v>286</v>
      </c>
      <c r="P774" s="1" t="s">
        <v>227</v>
      </c>
      <c r="Q774" s="1" t="s">
        <v>132</v>
      </c>
      <c r="R774" s="1" t="s">
        <v>132</v>
      </c>
      <c r="S774" s="1" t="s">
        <v>46</v>
      </c>
      <c r="T774" s="1" t="s">
        <v>47</v>
      </c>
      <c r="U774" s="1" t="s">
        <v>66</v>
      </c>
      <c r="V774" s="1" t="s">
        <v>102</v>
      </c>
      <c r="W774" s="1" t="s">
        <v>231</v>
      </c>
      <c r="X774" s="1" t="s">
        <v>96</v>
      </c>
      <c r="AB774" s="1" t="s">
        <v>104</v>
      </c>
      <c r="AC774" s="1">
        <v>0</v>
      </c>
      <c r="AD774" s="1" t="s">
        <v>105</v>
      </c>
      <c r="AE774" s="1" t="s">
        <v>70</v>
      </c>
      <c r="AG774" s="1" t="s">
        <v>943</v>
      </c>
      <c r="AH774" s="1" t="s">
        <v>157</v>
      </c>
      <c r="AI774" s="1" t="s">
        <v>71</v>
      </c>
      <c r="AK774" s="1" t="s">
        <v>86</v>
      </c>
      <c r="AL774" s="1" t="s">
        <v>133</v>
      </c>
      <c r="AM774" s="1">
        <v>2</v>
      </c>
      <c r="AN774" s="1">
        <v>0</v>
      </c>
      <c r="AO774" s="1">
        <f t="shared" si="88"/>
        <v>2</v>
      </c>
    </row>
    <row r="775" spans="1:41" x14ac:dyDescent="0.4">
      <c r="A775" s="1">
        <v>1</v>
      </c>
      <c r="B775" s="1">
        <v>3</v>
      </c>
      <c r="C775" s="1" t="s">
        <v>119</v>
      </c>
      <c r="D775" s="2">
        <v>38974</v>
      </c>
      <c r="E775" s="1">
        <v>257</v>
      </c>
      <c r="F775" s="1">
        <v>6.5</v>
      </c>
      <c r="G775" s="3">
        <v>0.47847222222222219</v>
      </c>
      <c r="H775" s="3">
        <v>0.47877314814814814</v>
      </c>
      <c r="I775" s="3">
        <v>3.0092592592595446E-4</v>
      </c>
      <c r="J775" s="3">
        <v>3.0092592592595446E-4</v>
      </c>
      <c r="K775" s="5">
        <f t="shared" si="87"/>
        <v>26</v>
      </c>
      <c r="L775" s="3">
        <v>7.8009259259259056E-3</v>
      </c>
      <c r="N775" s="1" t="s">
        <v>42</v>
      </c>
      <c r="O775" s="1" t="s">
        <v>286</v>
      </c>
      <c r="P775" s="1" t="s">
        <v>227</v>
      </c>
      <c r="Q775" s="1" t="s">
        <v>132</v>
      </c>
      <c r="R775" s="1" t="s">
        <v>132</v>
      </c>
      <c r="S775" s="1" t="s">
        <v>46</v>
      </c>
      <c r="T775" s="1" t="s">
        <v>45</v>
      </c>
      <c r="U775" s="1" t="s">
        <v>156</v>
      </c>
      <c r="AB775" s="1" t="s">
        <v>93</v>
      </c>
      <c r="AC775" s="1">
        <v>1</v>
      </c>
      <c r="AG775" s="1" t="s">
        <v>943</v>
      </c>
      <c r="AI775" s="1" t="s">
        <v>75</v>
      </c>
      <c r="AK775" s="1" t="s">
        <v>86</v>
      </c>
      <c r="AL775" s="1" t="s">
        <v>133</v>
      </c>
      <c r="AM775" s="1">
        <v>2</v>
      </c>
      <c r="AN775" s="1">
        <v>0</v>
      </c>
      <c r="AO775" s="1">
        <f t="shared" si="88"/>
        <v>2</v>
      </c>
    </row>
    <row r="776" spans="1:41" x14ac:dyDescent="0.4">
      <c r="A776" s="1">
        <v>1</v>
      </c>
      <c r="B776" s="1">
        <v>3</v>
      </c>
      <c r="C776" s="1" t="s">
        <v>119</v>
      </c>
      <c r="D776" s="2">
        <v>38974</v>
      </c>
      <c r="E776" s="1">
        <v>257</v>
      </c>
      <c r="F776" s="1">
        <v>6.7</v>
      </c>
      <c r="G776" s="3">
        <v>0.48657407407407405</v>
      </c>
      <c r="H776" s="3">
        <v>0.48836805555555557</v>
      </c>
      <c r="I776" s="3">
        <v>1.7939814814815214E-3</v>
      </c>
      <c r="J776" s="3">
        <v>6.94444444444553E-5</v>
      </c>
      <c r="K776" s="5">
        <f t="shared" si="87"/>
        <v>6</v>
      </c>
      <c r="L776" s="3">
        <v>2.0694444444444404E-2</v>
      </c>
      <c r="N776" s="1" t="s">
        <v>42</v>
      </c>
      <c r="O776" s="1" t="s">
        <v>286</v>
      </c>
      <c r="P776" s="1" t="s">
        <v>227</v>
      </c>
      <c r="Q776" s="1" t="s">
        <v>132</v>
      </c>
      <c r="R776" s="1" t="s">
        <v>132</v>
      </c>
      <c r="S776" s="1" t="s">
        <v>46</v>
      </c>
      <c r="T776" s="1" t="s">
        <v>47</v>
      </c>
      <c r="U776" s="1" t="s">
        <v>66</v>
      </c>
      <c r="AB776" s="1" t="s">
        <v>93</v>
      </c>
      <c r="AC776" s="1">
        <v>1</v>
      </c>
      <c r="AG776" s="1" t="s">
        <v>689</v>
      </c>
      <c r="AI776" s="1" t="s">
        <v>71</v>
      </c>
      <c r="AK776" s="1" t="s">
        <v>86</v>
      </c>
      <c r="AL776" s="1" t="s">
        <v>187</v>
      </c>
      <c r="AM776" s="1">
        <v>2</v>
      </c>
      <c r="AN776" s="1">
        <v>0</v>
      </c>
      <c r="AO776" s="1">
        <f t="shared" si="88"/>
        <v>2</v>
      </c>
    </row>
    <row r="777" spans="1:41" x14ac:dyDescent="0.4">
      <c r="A777" s="1">
        <v>1</v>
      </c>
      <c r="B777" s="1">
        <v>3</v>
      </c>
      <c r="C777" s="1" t="s">
        <v>119</v>
      </c>
      <c r="D777" s="2">
        <v>38974</v>
      </c>
      <c r="E777" s="1">
        <v>257</v>
      </c>
      <c r="F777" s="1">
        <v>8</v>
      </c>
      <c r="G777" s="3">
        <v>0.50906249999999997</v>
      </c>
      <c r="H777" s="3">
        <v>0.50997685185185182</v>
      </c>
      <c r="I777" s="3">
        <v>9.1435185185184675E-4</v>
      </c>
      <c r="J777" s="3">
        <v>3.5879629629631538E-4</v>
      </c>
      <c r="K777" s="5">
        <f t="shared" si="87"/>
        <v>31</v>
      </c>
      <c r="L777" s="3">
        <v>2.7083333333333126E-3</v>
      </c>
      <c r="N777" s="1" t="s">
        <v>42</v>
      </c>
      <c r="O777" s="1" t="s">
        <v>286</v>
      </c>
      <c r="P777" s="1" t="s">
        <v>227</v>
      </c>
      <c r="Q777" s="1" t="s">
        <v>132</v>
      </c>
      <c r="R777" s="1" t="s">
        <v>132</v>
      </c>
      <c r="S777" s="1" t="s">
        <v>46</v>
      </c>
      <c r="T777" s="1" t="s">
        <v>45</v>
      </c>
      <c r="U777" s="1" t="s">
        <v>156</v>
      </c>
      <c r="V777" s="1" t="s">
        <v>49</v>
      </c>
      <c r="W777" s="1" t="s">
        <v>233</v>
      </c>
      <c r="X777" s="1" t="s">
        <v>906</v>
      </c>
      <c r="Y777" s="1" t="s">
        <v>235</v>
      </c>
      <c r="Z777" s="1" t="s">
        <v>236</v>
      </c>
      <c r="AA777" s="1" t="s">
        <v>221</v>
      </c>
      <c r="AB777" s="1" t="s">
        <v>237</v>
      </c>
      <c r="AC777" s="1">
        <v>0</v>
      </c>
      <c r="AD777" s="1" t="s">
        <v>56</v>
      </c>
      <c r="AE777" s="1" t="s">
        <v>57</v>
      </c>
      <c r="AH777" s="1" t="s">
        <v>206</v>
      </c>
      <c r="AI777" s="1" t="s">
        <v>75</v>
      </c>
      <c r="AK777" s="1" t="s">
        <v>381</v>
      </c>
      <c r="AL777" s="1" t="s">
        <v>382</v>
      </c>
      <c r="AN777" s="1">
        <v>1</v>
      </c>
      <c r="AO777" s="1">
        <f t="shared" si="88"/>
        <v>1</v>
      </c>
    </row>
    <row r="778" spans="1:41" x14ac:dyDescent="0.4">
      <c r="A778" s="1">
        <v>1</v>
      </c>
      <c r="B778" s="1">
        <v>3</v>
      </c>
      <c r="C778" s="1" t="s">
        <v>119</v>
      </c>
      <c r="D778" s="2">
        <v>38974</v>
      </c>
      <c r="E778" s="1">
        <v>257</v>
      </c>
      <c r="F778" s="1">
        <v>9</v>
      </c>
      <c r="G778" s="3">
        <v>0.51268518518518513</v>
      </c>
      <c r="H778" s="3">
        <v>0.51377314814814812</v>
      </c>
      <c r="I778" s="3">
        <v>1.087962962962985E-3</v>
      </c>
      <c r="J778" s="3">
        <v>1.0532407407407574E-3</v>
      </c>
      <c r="K778" s="5">
        <f t="shared" si="87"/>
        <v>91</v>
      </c>
      <c r="L778" s="3">
        <v>8.3333333333335258E-4</v>
      </c>
      <c r="N778" s="1" t="s">
        <v>42</v>
      </c>
      <c r="O778" s="1" t="s">
        <v>286</v>
      </c>
      <c r="P778" s="1" t="s">
        <v>227</v>
      </c>
      <c r="Q778" s="1" t="s">
        <v>132</v>
      </c>
      <c r="R778" s="1" t="s">
        <v>132</v>
      </c>
      <c r="S778" s="1" t="s">
        <v>46</v>
      </c>
      <c r="T778" s="1" t="s">
        <v>76</v>
      </c>
      <c r="U778" s="1" t="s">
        <v>156</v>
      </c>
      <c r="V778" s="1" t="s">
        <v>102</v>
      </c>
      <c r="W778" s="1" t="s">
        <v>103</v>
      </c>
      <c r="X778" s="1" t="s">
        <v>96</v>
      </c>
      <c r="Y778" s="1">
        <v>64</v>
      </c>
      <c r="AB778" s="1" t="s">
        <v>944</v>
      </c>
      <c r="AC778" s="1">
        <v>0</v>
      </c>
      <c r="AD778" s="1" t="s">
        <v>56</v>
      </c>
      <c r="AE778" s="1" t="s">
        <v>70</v>
      </c>
      <c r="AG778" s="1" t="s">
        <v>945</v>
      </c>
      <c r="AH778" s="1" t="s">
        <v>157</v>
      </c>
      <c r="AI778" s="1" t="s">
        <v>75</v>
      </c>
      <c r="AK778" s="1" t="s">
        <v>86</v>
      </c>
      <c r="AL778" s="1" t="s">
        <v>87</v>
      </c>
      <c r="AM778" s="1">
        <v>1</v>
      </c>
      <c r="AN778" s="1">
        <v>0</v>
      </c>
      <c r="AO778" s="1">
        <f t="shared" si="88"/>
        <v>1</v>
      </c>
    </row>
    <row r="779" spans="1:41" x14ac:dyDescent="0.4">
      <c r="A779" s="1">
        <v>1</v>
      </c>
      <c r="B779" s="1">
        <v>3</v>
      </c>
      <c r="C779" s="1" t="s">
        <v>119</v>
      </c>
      <c r="D779" s="2">
        <v>38974</v>
      </c>
      <c r="E779" s="1">
        <v>257</v>
      </c>
      <c r="F779" s="1">
        <v>10</v>
      </c>
      <c r="G779" s="3">
        <v>0.51460648148148147</v>
      </c>
      <c r="H779" s="3">
        <v>0.5152430555555555</v>
      </c>
      <c r="I779" s="3">
        <v>6.3657407407402555E-4</v>
      </c>
      <c r="J779" s="3">
        <v>4.0509259259247088E-4</v>
      </c>
      <c r="K779" s="5">
        <f t="shared" si="87"/>
        <v>35</v>
      </c>
      <c r="L779" s="3">
        <v>1.0960648148148233E-2</v>
      </c>
      <c r="N779" s="1" t="s">
        <v>42</v>
      </c>
      <c r="O779" s="1" t="s">
        <v>286</v>
      </c>
      <c r="P779" s="1" t="s">
        <v>227</v>
      </c>
      <c r="Q779" s="1" t="s">
        <v>132</v>
      </c>
      <c r="R779" s="1" t="s">
        <v>132</v>
      </c>
      <c r="S779" s="1" t="s">
        <v>46</v>
      </c>
      <c r="T779" s="1" t="s">
        <v>45</v>
      </c>
      <c r="U779" s="1" t="s">
        <v>156</v>
      </c>
      <c r="V779" s="1" t="s">
        <v>49</v>
      </c>
      <c r="W779" s="1" t="s">
        <v>233</v>
      </c>
      <c r="X779" s="1" t="s">
        <v>906</v>
      </c>
      <c r="Y779" s="1" t="s">
        <v>235</v>
      </c>
      <c r="Z779" s="1" t="s">
        <v>236</v>
      </c>
      <c r="AA779" s="1" t="s">
        <v>221</v>
      </c>
      <c r="AB779" s="1" t="s">
        <v>237</v>
      </c>
      <c r="AC779" s="1">
        <v>0</v>
      </c>
      <c r="AD779" s="1" t="s">
        <v>56</v>
      </c>
      <c r="AE779" s="1" t="s">
        <v>57</v>
      </c>
      <c r="AH779" s="1" t="s">
        <v>206</v>
      </c>
      <c r="AI779" s="1" t="s">
        <v>75</v>
      </c>
      <c r="AK779" s="1" t="s">
        <v>61</v>
      </c>
      <c r="AL779" s="1" t="s">
        <v>61</v>
      </c>
      <c r="AN779" s="1">
        <v>1</v>
      </c>
      <c r="AO779" s="1">
        <f t="shared" si="88"/>
        <v>1</v>
      </c>
    </row>
    <row r="780" spans="1:41" x14ac:dyDescent="0.4">
      <c r="A780" s="1">
        <v>1</v>
      </c>
      <c r="B780" s="1">
        <v>3</v>
      </c>
      <c r="C780" s="1" t="s">
        <v>119</v>
      </c>
      <c r="D780" s="2">
        <v>38974</v>
      </c>
      <c r="E780" s="1">
        <v>257</v>
      </c>
      <c r="F780" s="1">
        <v>12.6</v>
      </c>
      <c r="G780" s="3">
        <v>0.52620370370370373</v>
      </c>
      <c r="H780" s="3">
        <v>0.52623842592592596</v>
      </c>
      <c r="I780" s="3">
        <v>3.472222222222765E-5</v>
      </c>
      <c r="J780" s="3">
        <v>3.472222222222765E-5</v>
      </c>
      <c r="K780" s="5">
        <f t="shared" si="87"/>
        <v>3</v>
      </c>
      <c r="L780" s="3">
        <v>4.0277777777777413E-3</v>
      </c>
      <c r="N780" s="1" t="s">
        <v>42</v>
      </c>
      <c r="O780" s="1" t="s">
        <v>286</v>
      </c>
      <c r="P780" s="1" t="s">
        <v>227</v>
      </c>
      <c r="Q780" s="1" t="s">
        <v>132</v>
      </c>
      <c r="R780" s="1" t="s">
        <v>132</v>
      </c>
      <c r="S780" s="1" t="s">
        <v>46</v>
      </c>
      <c r="T780" s="1" t="s">
        <v>45</v>
      </c>
      <c r="U780" s="1" t="s">
        <v>156</v>
      </c>
      <c r="AB780" s="1" t="s">
        <v>93</v>
      </c>
      <c r="AC780" s="1">
        <v>1</v>
      </c>
      <c r="AI780" s="1" t="s">
        <v>75</v>
      </c>
      <c r="AK780" s="1" t="s">
        <v>86</v>
      </c>
      <c r="AL780" s="1" t="s">
        <v>187</v>
      </c>
      <c r="AN780" s="1">
        <v>1</v>
      </c>
      <c r="AO780" s="1">
        <f t="shared" si="88"/>
        <v>1</v>
      </c>
    </row>
    <row r="781" spans="1:41" x14ac:dyDescent="0.4">
      <c r="A781" s="1">
        <v>1</v>
      </c>
      <c r="B781" s="1">
        <v>3</v>
      </c>
      <c r="C781" s="1" t="s">
        <v>119</v>
      </c>
      <c r="D781" s="2">
        <v>38974</v>
      </c>
      <c r="E781" s="1">
        <v>257</v>
      </c>
      <c r="F781" s="1">
        <v>12.7</v>
      </c>
      <c r="G781" s="3">
        <v>0.5302662037037037</v>
      </c>
      <c r="H781" s="3">
        <v>0.53033564814814815</v>
      </c>
      <c r="I781" s="3">
        <v>6.94444444444553E-5</v>
      </c>
      <c r="J781" s="3">
        <v>6.94444444444553E-5</v>
      </c>
      <c r="K781" s="5">
        <f t="shared" si="87"/>
        <v>6</v>
      </c>
      <c r="L781" s="3">
        <v>1.5358796296296218E-2</v>
      </c>
      <c r="N781" s="1" t="s">
        <v>42</v>
      </c>
      <c r="O781" s="1" t="s">
        <v>286</v>
      </c>
      <c r="P781" s="1" t="s">
        <v>227</v>
      </c>
      <c r="Q781" s="1" t="s">
        <v>132</v>
      </c>
      <c r="R781" s="1" t="s">
        <v>132</v>
      </c>
      <c r="S781" s="1" t="s">
        <v>46</v>
      </c>
      <c r="T781" s="1" t="s">
        <v>45</v>
      </c>
      <c r="U781" s="1" t="s">
        <v>156</v>
      </c>
      <c r="AB781" s="1" t="s">
        <v>93</v>
      </c>
      <c r="AC781" s="1">
        <v>1</v>
      </c>
      <c r="AI781" s="1" t="s">
        <v>75</v>
      </c>
      <c r="AK781" s="1" t="s">
        <v>86</v>
      </c>
      <c r="AL781" s="1" t="s">
        <v>87</v>
      </c>
      <c r="AN781" s="1">
        <v>1</v>
      </c>
      <c r="AO781" s="1">
        <f t="shared" si="88"/>
        <v>1</v>
      </c>
    </row>
    <row r="782" spans="1:41" x14ac:dyDescent="0.4">
      <c r="A782" s="1">
        <v>1</v>
      </c>
      <c r="B782" s="1">
        <v>3</v>
      </c>
      <c r="C782" s="1" t="s">
        <v>119</v>
      </c>
      <c r="D782" s="2">
        <v>38974</v>
      </c>
      <c r="E782" s="1">
        <v>257</v>
      </c>
      <c r="F782" s="1">
        <v>12.8</v>
      </c>
      <c r="G782" s="3">
        <v>0.54569444444444437</v>
      </c>
      <c r="H782" s="3">
        <v>0.5458101851851852</v>
      </c>
      <c r="I782" s="3">
        <v>1.1574074074083285E-4</v>
      </c>
      <c r="J782" s="3">
        <v>1.1574074074083285E-4</v>
      </c>
      <c r="K782" s="5">
        <f t="shared" si="87"/>
        <v>10</v>
      </c>
      <c r="L782" s="3">
        <v>2.0127314814814778E-2</v>
      </c>
      <c r="N782" s="1" t="s">
        <v>75</v>
      </c>
      <c r="O782" s="1" t="s">
        <v>286</v>
      </c>
      <c r="P782" s="1" t="s">
        <v>227</v>
      </c>
      <c r="Q782" s="1" t="s">
        <v>76</v>
      </c>
      <c r="R782" s="1" t="s">
        <v>76</v>
      </c>
      <c r="S782" s="1" t="s">
        <v>46</v>
      </c>
      <c r="T782" s="1" t="s">
        <v>47</v>
      </c>
      <c r="U782" s="1" t="s">
        <v>156</v>
      </c>
      <c r="AB782" s="1" t="s">
        <v>93</v>
      </c>
      <c r="AC782" s="1">
        <v>1</v>
      </c>
      <c r="AI782" s="1" t="s">
        <v>75</v>
      </c>
      <c r="AK782" s="1" t="s">
        <v>86</v>
      </c>
      <c r="AL782" s="1" t="s">
        <v>187</v>
      </c>
      <c r="AN782" s="1">
        <v>1</v>
      </c>
      <c r="AO782" s="1">
        <f t="shared" si="88"/>
        <v>1</v>
      </c>
    </row>
    <row r="783" spans="1:41" x14ac:dyDescent="0.4">
      <c r="A783" s="1">
        <v>1</v>
      </c>
      <c r="B783" s="1">
        <v>3</v>
      </c>
      <c r="C783" s="1" t="s">
        <v>119</v>
      </c>
      <c r="D783" s="2">
        <v>38974</v>
      </c>
      <c r="E783" s="1">
        <v>257</v>
      </c>
      <c r="F783" s="1">
        <v>12.9</v>
      </c>
      <c r="G783" s="3">
        <v>0.56593749999999998</v>
      </c>
      <c r="H783" s="3">
        <v>0.56608796296296293</v>
      </c>
      <c r="I783" s="3">
        <v>1.5046296296294948E-4</v>
      </c>
      <c r="J783" s="3">
        <v>1.5046296296294948E-4</v>
      </c>
      <c r="K783" s="5">
        <f t="shared" si="87"/>
        <v>13</v>
      </c>
      <c r="L783" s="3">
        <v>1.8668981481481439E-2</v>
      </c>
      <c r="N783" s="1" t="s">
        <v>42</v>
      </c>
      <c r="O783" s="1" t="s">
        <v>286</v>
      </c>
      <c r="P783" s="1" t="s">
        <v>227</v>
      </c>
      <c r="Q783" s="1" t="s">
        <v>132</v>
      </c>
      <c r="R783" s="1" t="s">
        <v>132</v>
      </c>
      <c r="S783" s="1" t="s">
        <v>46</v>
      </c>
      <c r="T783" s="1" t="s">
        <v>45</v>
      </c>
      <c r="U783" s="1" t="s">
        <v>92</v>
      </c>
      <c r="AB783" s="1" t="s">
        <v>93</v>
      </c>
      <c r="AC783" s="1">
        <v>1</v>
      </c>
      <c r="AI783" s="1" t="s">
        <v>75</v>
      </c>
      <c r="AK783" s="1" t="s">
        <v>86</v>
      </c>
      <c r="AL783" s="1" t="s">
        <v>133</v>
      </c>
      <c r="AN783" s="1">
        <v>1</v>
      </c>
      <c r="AO783" s="1">
        <f t="shared" si="88"/>
        <v>1</v>
      </c>
    </row>
    <row r="784" spans="1:41" x14ac:dyDescent="0.4">
      <c r="A784" s="1">
        <v>1</v>
      </c>
      <c r="B784" s="1">
        <v>3</v>
      </c>
      <c r="C784" s="1" t="s">
        <v>119</v>
      </c>
      <c r="D784" s="2">
        <v>38974</v>
      </c>
      <c r="E784" s="1">
        <v>257</v>
      </c>
      <c r="F784" s="1">
        <v>16</v>
      </c>
      <c r="G784" s="3">
        <v>0.65633101851851849</v>
      </c>
      <c r="H784" s="3">
        <v>0.65762731481481485</v>
      </c>
      <c r="I784" s="3">
        <v>1.2962962962963509E-3</v>
      </c>
      <c r="J784" s="3">
        <v>1.2962962962963509E-3</v>
      </c>
      <c r="K784" s="5">
        <f t="shared" si="87"/>
        <v>112</v>
      </c>
      <c r="L784" s="3">
        <v>3.0092592592592116E-3</v>
      </c>
      <c r="N784" s="1" t="s">
        <v>42</v>
      </c>
      <c r="O784" s="1" t="s">
        <v>286</v>
      </c>
      <c r="P784" s="1" t="s">
        <v>227</v>
      </c>
      <c r="Q784" s="1" t="s">
        <v>191</v>
      </c>
      <c r="R784" s="1" t="s">
        <v>76</v>
      </c>
      <c r="S784" s="1" t="s">
        <v>46</v>
      </c>
      <c r="T784" s="1" t="s">
        <v>45</v>
      </c>
      <c r="U784" s="1" t="s">
        <v>66</v>
      </c>
      <c r="V784" s="1" t="s">
        <v>49</v>
      </c>
      <c r="W784" s="1" t="s">
        <v>140</v>
      </c>
      <c r="X784" s="1" t="s">
        <v>177</v>
      </c>
      <c r="Y784" s="1" t="s">
        <v>79</v>
      </c>
      <c r="Z784" s="1" t="s">
        <v>178</v>
      </c>
      <c r="AA784" s="1" t="s">
        <v>572</v>
      </c>
      <c r="AB784" s="1" t="s">
        <v>573</v>
      </c>
      <c r="AC784" s="1">
        <v>0</v>
      </c>
      <c r="AD784" s="1" t="s">
        <v>56</v>
      </c>
      <c r="AE784" s="1" t="s">
        <v>181</v>
      </c>
      <c r="AH784" s="1" t="s">
        <v>115</v>
      </c>
      <c r="AI784" s="1" t="s">
        <v>71</v>
      </c>
      <c r="AK784" s="1" t="s">
        <v>61</v>
      </c>
      <c r="AL784" s="1" t="s">
        <v>61</v>
      </c>
      <c r="AN784" s="1">
        <v>1</v>
      </c>
      <c r="AO784" s="1">
        <f t="shared" si="88"/>
        <v>1</v>
      </c>
    </row>
    <row r="785" spans="1:41" x14ac:dyDescent="0.4">
      <c r="A785" s="1">
        <v>1</v>
      </c>
      <c r="B785" s="1">
        <v>3</v>
      </c>
      <c r="C785" s="1" t="s">
        <v>119</v>
      </c>
      <c r="D785" s="2">
        <v>38974</v>
      </c>
      <c r="E785" s="1">
        <v>257</v>
      </c>
      <c r="F785" s="1">
        <v>17</v>
      </c>
      <c r="G785" s="3">
        <v>0.66063657407407406</v>
      </c>
      <c r="H785" s="3">
        <v>0.66158564814814813</v>
      </c>
      <c r="I785" s="3">
        <v>9.490740740740744E-4</v>
      </c>
      <c r="J785" s="3">
        <v>9.490740740740744E-4</v>
      </c>
      <c r="K785" s="5">
        <f t="shared" si="87"/>
        <v>82</v>
      </c>
      <c r="L785" s="3">
        <v>0</v>
      </c>
      <c r="N785" s="1" t="s">
        <v>42</v>
      </c>
      <c r="O785" s="1" t="s">
        <v>286</v>
      </c>
      <c r="P785" s="1" t="s">
        <v>227</v>
      </c>
      <c r="Q785" s="1" t="s">
        <v>76</v>
      </c>
      <c r="R785" s="1" t="s">
        <v>76</v>
      </c>
      <c r="S785" s="1" t="s">
        <v>46</v>
      </c>
      <c r="T785" s="1" t="s">
        <v>45</v>
      </c>
      <c r="U785" s="1" t="s">
        <v>66</v>
      </c>
      <c r="V785" s="1" t="s">
        <v>102</v>
      </c>
      <c r="W785" s="1" t="s">
        <v>103</v>
      </c>
      <c r="X785" s="1" t="s">
        <v>96</v>
      </c>
      <c r="AB785" s="1" t="s">
        <v>104</v>
      </c>
      <c r="AC785" s="1">
        <v>0</v>
      </c>
      <c r="AD785" s="1" t="s">
        <v>105</v>
      </c>
      <c r="AE785" s="1" t="s">
        <v>70</v>
      </c>
      <c r="AH785" s="1" t="s">
        <v>157</v>
      </c>
      <c r="AI785" s="1" t="s">
        <v>71</v>
      </c>
      <c r="AK785" s="1" t="s">
        <v>86</v>
      </c>
      <c r="AL785" s="1" t="s">
        <v>133</v>
      </c>
      <c r="AN785" s="1">
        <v>1</v>
      </c>
      <c r="AO785" s="1">
        <f t="shared" si="88"/>
        <v>1</v>
      </c>
    </row>
    <row r="786" spans="1:41" x14ac:dyDescent="0.4">
      <c r="A786" s="1">
        <v>1</v>
      </c>
      <c r="B786" s="1">
        <v>3</v>
      </c>
      <c r="C786" s="1" t="s">
        <v>119</v>
      </c>
      <c r="D786" s="2">
        <v>38995</v>
      </c>
      <c r="E786" s="1">
        <v>278</v>
      </c>
      <c r="F786" s="1">
        <v>3</v>
      </c>
      <c r="G786" s="3">
        <v>0.26829861111111114</v>
      </c>
      <c r="H786" s="3">
        <v>0.27043981481481483</v>
      </c>
      <c r="I786" s="3">
        <v>2.1412037037036868E-3</v>
      </c>
      <c r="J786" s="3">
        <v>2.1412037037036868E-3</v>
      </c>
      <c r="K786" s="5">
        <f t="shared" si="87"/>
        <v>185</v>
      </c>
      <c r="L786" s="3">
        <v>1.8981481481481488E-3</v>
      </c>
      <c r="N786" s="1" t="s">
        <v>42</v>
      </c>
      <c r="O786" s="1" t="s">
        <v>286</v>
      </c>
      <c r="P786" s="1" t="s">
        <v>44</v>
      </c>
      <c r="Q786" s="1" t="s">
        <v>76</v>
      </c>
      <c r="R786" s="1" t="s">
        <v>76</v>
      </c>
      <c r="S786" s="1" t="s">
        <v>451</v>
      </c>
      <c r="T786" s="1" t="s">
        <v>47</v>
      </c>
      <c r="U786" s="1" t="s">
        <v>66</v>
      </c>
      <c r="V786" s="1" t="s">
        <v>297</v>
      </c>
      <c r="W786" s="1" t="s">
        <v>167</v>
      </c>
      <c r="X786" s="1" t="s">
        <v>506</v>
      </c>
      <c r="Y786" s="1" t="s">
        <v>507</v>
      </c>
      <c r="Z786" s="1">
        <v>34</v>
      </c>
      <c r="AB786" s="1" t="s">
        <v>508</v>
      </c>
      <c r="AC786" s="1">
        <v>0</v>
      </c>
      <c r="AD786" s="1" t="s">
        <v>105</v>
      </c>
      <c r="AE786" s="1" t="s">
        <v>57</v>
      </c>
      <c r="AG786" s="1" t="s">
        <v>946</v>
      </c>
      <c r="AH786" s="1" t="s">
        <v>157</v>
      </c>
      <c r="AI786" s="1" t="s">
        <v>122</v>
      </c>
      <c r="AK786" s="1" t="s">
        <v>116</v>
      </c>
      <c r="AL786" s="1" t="s">
        <v>174</v>
      </c>
      <c r="AM786" s="1">
        <v>1</v>
      </c>
      <c r="AN786" s="1">
        <v>0</v>
      </c>
      <c r="AO786" s="1">
        <f t="shared" si="88"/>
        <v>1</v>
      </c>
    </row>
    <row r="787" spans="1:41" x14ac:dyDescent="0.4">
      <c r="A787" s="1">
        <v>1</v>
      </c>
      <c r="B787" s="1">
        <v>3</v>
      </c>
      <c r="C787" s="1" t="s">
        <v>119</v>
      </c>
      <c r="D787" s="2">
        <v>38995</v>
      </c>
      <c r="E787" s="1">
        <v>278</v>
      </c>
      <c r="F787" s="1">
        <v>4</v>
      </c>
      <c r="G787" s="3">
        <v>0.29362268518518519</v>
      </c>
      <c r="H787" s="3">
        <v>0.29493055555555553</v>
      </c>
      <c r="I787" s="3">
        <v>1.3078703703703343E-3</v>
      </c>
      <c r="J787" s="3">
        <v>1.3078703703703343E-3</v>
      </c>
      <c r="K787" s="5">
        <f t="shared" si="87"/>
        <v>113</v>
      </c>
      <c r="L787" s="3">
        <v>7.6944444444444482E-2</v>
      </c>
      <c r="N787" s="1" t="s">
        <v>42</v>
      </c>
      <c r="O787" s="1" t="s">
        <v>286</v>
      </c>
      <c r="P787" s="1" t="s">
        <v>44</v>
      </c>
      <c r="Q787" s="1" t="s">
        <v>132</v>
      </c>
      <c r="R787" s="1" t="s">
        <v>132</v>
      </c>
      <c r="S787" s="1" t="s">
        <v>451</v>
      </c>
      <c r="T787" s="1" t="s">
        <v>47</v>
      </c>
      <c r="U787" s="1" t="s">
        <v>66</v>
      </c>
      <c r="V787" s="1" t="s">
        <v>49</v>
      </c>
      <c r="W787" s="1" t="s">
        <v>140</v>
      </c>
      <c r="X787" s="1" t="s">
        <v>510</v>
      </c>
      <c r="Y787" s="1" t="s">
        <v>767</v>
      </c>
      <c r="Z787" s="1" t="s">
        <v>768</v>
      </c>
      <c r="AA787" s="1" t="s">
        <v>769</v>
      </c>
      <c r="AB787" s="1" t="s">
        <v>770</v>
      </c>
      <c r="AC787" s="1">
        <v>0</v>
      </c>
      <c r="AD787" s="1" t="s">
        <v>56</v>
      </c>
      <c r="AE787" s="1" t="s">
        <v>181</v>
      </c>
      <c r="AG787" s="1" t="s">
        <v>947</v>
      </c>
      <c r="AH787" s="1" t="s">
        <v>59</v>
      </c>
      <c r="AI787" s="1" t="s">
        <v>71</v>
      </c>
      <c r="AK787" s="1" t="s">
        <v>61</v>
      </c>
      <c r="AL787" s="1" t="s">
        <v>61</v>
      </c>
      <c r="AM787" s="1">
        <v>1</v>
      </c>
      <c r="AN787" s="1">
        <v>0</v>
      </c>
      <c r="AO787" s="1">
        <f t="shared" si="88"/>
        <v>1</v>
      </c>
    </row>
    <row r="788" spans="1:41" x14ac:dyDescent="0.4">
      <c r="A788" s="1">
        <v>1</v>
      </c>
      <c r="B788" s="1" t="s">
        <v>948</v>
      </c>
      <c r="C788" s="1" t="s">
        <v>41</v>
      </c>
      <c r="D788" s="2">
        <v>38798</v>
      </c>
      <c r="E788" s="1">
        <v>81</v>
      </c>
      <c r="F788" s="1">
        <v>1</v>
      </c>
      <c r="G788" s="3">
        <v>0.3989583333333333</v>
      </c>
      <c r="H788" s="3">
        <v>0.42062500000000003</v>
      </c>
      <c r="I788" s="3">
        <v>2.1666666666666723E-2</v>
      </c>
      <c r="J788" s="3">
        <v>6.9097222222223031E-3</v>
      </c>
      <c r="K788" s="5">
        <f t="shared" si="87"/>
        <v>597</v>
      </c>
      <c r="L788" s="3" t="s">
        <v>120</v>
      </c>
      <c r="N788" s="1" t="s">
        <v>42</v>
      </c>
      <c r="O788" s="1" t="s">
        <v>43</v>
      </c>
      <c r="P788" s="1" t="s">
        <v>172</v>
      </c>
      <c r="Q788" s="1" t="s">
        <v>45</v>
      </c>
      <c r="S788" s="1" t="s">
        <v>46</v>
      </c>
      <c r="T788" s="1" t="s">
        <v>47</v>
      </c>
      <c r="U788" s="1" t="s">
        <v>66</v>
      </c>
      <c r="V788" s="1" t="s">
        <v>49</v>
      </c>
      <c r="W788" s="1" t="s">
        <v>49</v>
      </c>
      <c r="X788" s="1" t="s">
        <v>538</v>
      </c>
      <c r="AB788" s="1" t="s">
        <v>504</v>
      </c>
      <c r="AC788" s="1">
        <v>0</v>
      </c>
      <c r="AD788" s="1" t="s">
        <v>56</v>
      </c>
      <c r="AE788" s="1" t="s">
        <v>181</v>
      </c>
      <c r="AG788" s="1" t="s">
        <v>949</v>
      </c>
      <c r="AH788" s="1" t="s">
        <v>157</v>
      </c>
      <c r="AI788" s="1" t="s">
        <v>71</v>
      </c>
      <c r="AK788" s="1" t="s">
        <v>86</v>
      </c>
      <c r="AL788" s="1" t="s">
        <v>86</v>
      </c>
      <c r="AM788" s="1">
        <v>4</v>
      </c>
      <c r="AN788" s="1">
        <v>0</v>
      </c>
      <c r="AO788" s="1">
        <f t="shared" si="88"/>
        <v>4</v>
      </c>
    </row>
    <row r="789" spans="1:41" x14ac:dyDescent="0.4">
      <c r="A789" s="1">
        <v>1</v>
      </c>
      <c r="B789" s="1" t="s">
        <v>948</v>
      </c>
      <c r="C789" s="1" t="s">
        <v>41</v>
      </c>
      <c r="D789" s="2">
        <v>38804</v>
      </c>
      <c r="E789" s="1">
        <v>87</v>
      </c>
      <c r="F789" s="1">
        <v>1</v>
      </c>
      <c r="G789" s="3">
        <v>0.56658564814814816</v>
      </c>
      <c r="H789" s="3">
        <v>0.56956018518518514</v>
      </c>
      <c r="I789" s="3">
        <v>2.9745370370369839E-3</v>
      </c>
      <c r="J789" s="3">
        <v>2.9745370370369839E-3</v>
      </c>
      <c r="K789" s="5">
        <f t="shared" si="87"/>
        <v>257</v>
      </c>
      <c r="L789" s="3" t="s">
        <v>120</v>
      </c>
      <c r="N789" s="1" t="s">
        <v>42</v>
      </c>
      <c r="O789" s="1" t="s">
        <v>43</v>
      </c>
      <c r="P789" s="1" t="s">
        <v>210</v>
      </c>
      <c r="Q789" s="1" t="s">
        <v>76</v>
      </c>
      <c r="R789" s="1" t="s">
        <v>76</v>
      </c>
      <c r="S789" s="1" t="s">
        <v>46</v>
      </c>
      <c r="T789" s="1" t="s">
        <v>47</v>
      </c>
      <c r="U789" s="1" t="s">
        <v>48</v>
      </c>
      <c r="V789" s="1" t="s">
        <v>49</v>
      </c>
      <c r="W789" s="1" t="s">
        <v>50</v>
      </c>
      <c r="X789" s="1" t="s">
        <v>487</v>
      </c>
      <c r="Y789" s="1" t="s">
        <v>79</v>
      </c>
      <c r="Z789" s="1" t="s">
        <v>488</v>
      </c>
      <c r="AA789" s="1" t="s">
        <v>489</v>
      </c>
      <c r="AB789" s="1" t="s">
        <v>490</v>
      </c>
      <c r="AC789" s="1">
        <v>0</v>
      </c>
      <c r="AD789" s="1" t="s">
        <v>56</v>
      </c>
      <c r="AE789" s="1" t="s">
        <v>83</v>
      </c>
      <c r="AG789" s="1" t="s">
        <v>950</v>
      </c>
      <c r="AH789" s="1" t="s">
        <v>115</v>
      </c>
      <c r="AI789" s="1" t="s">
        <v>60</v>
      </c>
      <c r="AK789" s="1" t="s">
        <v>61</v>
      </c>
      <c r="AL789" s="1" t="s">
        <v>133</v>
      </c>
      <c r="AM789" s="1">
        <v>1</v>
      </c>
      <c r="AN789" s="1">
        <v>0</v>
      </c>
      <c r="AO789" s="1">
        <f t="shared" si="88"/>
        <v>1</v>
      </c>
    </row>
    <row r="790" spans="1:41" x14ac:dyDescent="0.4">
      <c r="A790" s="1">
        <v>1</v>
      </c>
      <c r="B790" s="1" t="s">
        <v>948</v>
      </c>
      <c r="C790" s="1" t="s">
        <v>41</v>
      </c>
      <c r="D790" s="2">
        <v>38812</v>
      </c>
      <c r="E790" s="1">
        <v>95</v>
      </c>
      <c r="F790" s="1">
        <v>2</v>
      </c>
      <c r="G790" s="3">
        <v>0.66824074074074069</v>
      </c>
      <c r="H790" s="3">
        <v>0.66918981481481488</v>
      </c>
      <c r="I790" s="3">
        <v>9.4907407407418543E-4</v>
      </c>
      <c r="J790" s="3">
        <v>9.4907407407418543E-4</v>
      </c>
      <c r="K790" s="5">
        <f t="shared" si="87"/>
        <v>82</v>
      </c>
      <c r="L790" s="3" t="s">
        <v>120</v>
      </c>
      <c r="N790" s="1" t="s">
        <v>75</v>
      </c>
      <c r="O790" s="1" t="s">
        <v>43</v>
      </c>
      <c r="P790" s="1" t="s">
        <v>210</v>
      </c>
      <c r="Q790" s="1" t="s">
        <v>132</v>
      </c>
      <c r="S790" s="1" t="s">
        <v>46</v>
      </c>
      <c r="T790" s="1" t="s">
        <v>47</v>
      </c>
      <c r="U790" s="1" t="s">
        <v>66</v>
      </c>
      <c r="V790" s="1" t="s">
        <v>49</v>
      </c>
      <c r="W790" s="1" t="s">
        <v>50</v>
      </c>
      <c r="X790" s="1" t="s">
        <v>951</v>
      </c>
      <c r="Y790" s="1" t="s">
        <v>159</v>
      </c>
      <c r="Z790" s="1" t="s">
        <v>160</v>
      </c>
      <c r="AA790" s="1" t="s">
        <v>952</v>
      </c>
      <c r="AB790" s="1" t="s">
        <v>953</v>
      </c>
      <c r="AC790" s="1">
        <v>0</v>
      </c>
      <c r="AD790" s="1" t="s">
        <v>56</v>
      </c>
      <c r="AE790" s="1" t="s">
        <v>83</v>
      </c>
      <c r="AG790" s="1" t="s">
        <v>954</v>
      </c>
      <c r="AH790" s="1" t="s">
        <v>165</v>
      </c>
      <c r="AI790" s="1" t="s">
        <v>75</v>
      </c>
      <c r="AK790" s="1" t="s">
        <v>116</v>
      </c>
      <c r="AL790" s="1" t="s">
        <v>174</v>
      </c>
      <c r="AM790" s="1">
        <v>1</v>
      </c>
      <c r="AN790" s="1">
        <v>0</v>
      </c>
      <c r="AO790" s="1">
        <f t="shared" si="88"/>
        <v>1</v>
      </c>
    </row>
    <row r="791" spans="1:41" x14ac:dyDescent="0.4">
      <c r="A791" s="1">
        <v>1</v>
      </c>
      <c r="B791" s="1" t="s">
        <v>948</v>
      </c>
      <c r="C791" s="1" t="s">
        <v>41</v>
      </c>
      <c r="D791" s="2">
        <v>38813</v>
      </c>
      <c r="E791" s="1">
        <v>96</v>
      </c>
      <c r="F791" s="1">
        <v>1</v>
      </c>
      <c r="G791" s="3">
        <v>0.33027777777777778</v>
      </c>
      <c r="H791" s="3">
        <v>0.33474537037037039</v>
      </c>
      <c r="I791" s="3">
        <v>4.4675925925926063E-3</v>
      </c>
      <c r="J791" s="3">
        <v>4.4675925925926063E-3</v>
      </c>
      <c r="K791" s="5">
        <f t="shared" si="87"/>
        <v>386</v>
      </c>
      <c r="L791" s="3">
        <v>0.23258101851851848</v>
      </c>
      <c r="N791" s="1" t="s">
        <v>75</v>
      </c>
      <c r="O791" s="1" t="s">
        <v>43</v>
      </c>
      <c r="P791" s="1" t="s">
        <v>210</v>
      </c>
      <c r="Q791" s="1" t="s">
        <v>76</v>
      </c>
      <c r="S791" s="1" t="s">
        <v>46</v>
      </c>
      <c r="T791" s="1" t="s">
        <v>124</v>
      </c>
      <c r="U791" s="1" t="s">
        <v>66</v>
      </c>
      <c r="V791" s="1" t="s">
        <v>49</v>
      </c>
      <c r="W791" s="1" t="s">
        <v>50</v>
      </c>
      <c r="X791" s="1" t="s">
        <v>158</v>
      </c>
      <c r="Y791" s="1" t="s">
        <v>159</v>
      </c>
      <c r="Z791" s="1" t="s">
        <v>160</v>
      </c>
      <c r="AA791" s="1" t="s">
        <v>161</v>
      </c>
      <c r="AB791" s="1" t="s">
        <v>162</v>
      </c>
      <c r="AC791" s="1">
        <v>0</v>
      </c>
      <c r="AD791" s="1" t="s">
        <v>56</v>
      </c>
      <c r="AE791" s="1" t="s">
        <v>83</v>
      </c>
      <c r="AF791" s="1" t="s">
        <v>113</v>
      </c>
      <c r="AG791" s="1" t="s">
        <v>955</v>
      </c>
      <c r="AH791" s="1" t="s">
        <v>165</v>
      </c>
      <c r="AI791" s="1" t="s">
        <v>75</v>
      </c>
      <c r="AK791" s="1" t="s">
        <v>116</v>
      </c>
      <c r="AL791" s="1" t="s">
        <v>174</v>
      </c>
      <c r="AM791" s="1">
        <v>3</v>
      </c>
      <c r="AN791" s="1">
        <v>0</v>
      </c>
      <c r="AO791" s="1">
        <f t="shared" si="88"/>
        <v>3</v>
      </c>
    </row>
    <row r="792" spans="1:41" x14ac:dyDescent="0.4">
      <c r="A792" s="1">
        <v>1</v>
      </c>
      <c r="B792" s="1" t="s">
        <v>948</v>
      </c>
      <c r="C792" s="1" t="s">
        <v>41</v>
      </c>
      <c r="D792" s="2">
        <v>38813</v>
      </c>
      <c r="E792" s="1">
        <v>96</v>
      </c>
      <c r="F792" s="1">
        <v>2</v>
      </c>
      <c r="G792" s="3">
        <v>0.56732638888888887</v>
      </c>
      <c r="H792" s="3">
        <v>0.58978009259259256</v>
      </c>
      <c r="I792" s="3">
        <v>2.2453703703703698E-2</v>
      </c>
      <c r="J792" s="3">
        <v>2.2395833333333393E-2</v>
      </c>
      <c r="K792" s="5">
        <f t="shared" si="87"/>
        <v>1935</v>
      </c>
      <c r="L792" s="3" t="s">
        <v>120</v>
      </c>
      <c r="N792" s="1" t="s">
        <v>42</v>
      </c>
      <c r="O792" s="1" t="s">
        <v>43</v>
      </c>
      <c r="P792" s="1" t="s">
        <v>210</v>
      </c>
      <c r="Q792" s="1" t="s">
        <v>45</v>
      </c>
      <c r="S792" s="1" t="s">
        <v>46</v>
      </c>
      <c r="T792" s="1" t="s">
        <v>47</v>
      </c>
      <c r="U792" s="1" t="s">
        <v>92</v>
      </c>
      <c r="V792" s="1" t="s">
        <v>49</v>
      </c>
      <c r="W792" s="1" t="s">
        <v>50</v>
      </c>
      <c r="X792" s="1" t="s">
        <v>158</v>
      </c>
      <c r="Y792" s="1" t="s">
        <v>159</v>
      </c>
      <c r="Z792" s="1" t="s">
        <v>160</v>
      </c>
      <c r="AA792" s="1" t="s">
        <v>161</v>
      </c>
      <c r="AB792" s="1" t="s">
        <v>162</v>
      </c>
      <c r="AC792" s="1">
        <v>0</v>
      </c>
      <c r="AD792" s="1" t="s">
        <v>56</v>
      </c>
      <c r="AE792" s="1" t="s">
        <v>83</v>
      </c>
      <c r="AF792" s="1" t="s">
        <v>84</v>
      </c>
      <c r="AG792" s="1" t="s">
        <v>955</v>
      </c>
      <c r="AH792" s="1" t="s">
        <v>165</v>
      </c>
      <c r="AI792" s="1" t="s">
        <v>75</v>
      </c>
      <c r="AK792" s="1" t="s">
        <v>86</v>
      </c>
      <c r="AL792" s="1" t="s">
        <v>87</v>
      </c>
      <c r="AM792" s="1">
        <v>3</v>
      </c>
      <c r="AN792" s="1">
        <v>0</v>
      </c>
      <c r="AO792" s="1">
        <f t="shared" si="88"/>
        <v>3</v>
      </c>
    </row>
    <row r="793" spans="1:41" x14ac:dyDescent="0.4">
      <c r="A793" s="1">
        <v>1</v>
      </c>
      <c r="B793" s="1" t="s">
        <v>948</v>
      </c>
      <c r="C793" s="1" t="s">
        <v>41</v>
      </c>
      <c r="D793" s="2">
        <v>38827</v>
      </c>
      <c r="E793" s="1">
        <v>110</v>
      </c>
      <c r="F793" s="1">
        <v>1</v>
      </c>
      <c r="G793" s="3">
        <v>0.26092592592592595</v>
      </c>
      <c r="H793" s="3">
        <v>0.27031250000000001</v>
      </c>
      <c r="I793" s="3">
        <v>9.3865740740740611E-3</v>
      </c>
      <c r="J793" s="3">
        <v>8.5416666666666696E-3</v>
      </c>
      <c r="K793" s="5">
        <f t="shared" si="87"/>
        <v>738</v>
      </c>
      <c r="L793" s="3">
        <v>0.20103009259259264</v>
      </c>
      <c r="N793" s="1" t="s">
        <v>75</v>
      </c>
      <c r="O793" s="1" t="s">
        <v>43</v>
      </c>
      <c r="P793" s="1" t="s">
        <v>227</v>
      </c>
      <c r="Q793" s="1" t="s">
        <v>76</v>
      </c>
      <c r="S793" s="1" t="s">
        <v>46</v>
      </c>
      <c r="T793" s="1" t="s">
        <v>47</v>
      </c>
      <c r="U793" s="1" t="s">
        <v>66</v>
      </c>
      <c r="V793" s="1" t="s">
        <v>49</v>
      </c>
      <c r="W793" s="1" t="s">
        <v>77</v>
      </c>
      <c r="X793" s="1" t="s">
        <v>902</v>
      </c>
      <c r="Y793" s="1" t="s">
        <v>665</v>
      </c>
      <c r="Z793" s="1" t="s">
        <v>666</v>
      </c>
      <c r="AA793" s="1" t="s">
        <v>903</v>
      </c>
      <c r="AB793" s="1" t="s">
        <v>904</v>
      </c>
      <c r="AC793" s="1">
        <v>0</v>
      </c>
      <c r="AD793" s="1" t="s">
        <v>56</v>
      </c>
      <c r="AE793" s="1" t="s">
        <v>181</v>
      </c>
      <c r="AF793" s="1" t="s">
        <v>113</v>
      </c>
      <c r="AG793" s="1" t="s">
        <v>956</v>
      </c>
      <c r="AH793" s="1" t="s">
        <v>59</v>
      </c>
      <c r="AI793" s="1" t="s">
        <v>122</v>
      </c>
      <c r="AJ793" s="1" t="s">
        <v>147</v>
      </c>
      <c r="AK793" s="1" t="s">
        <v>116</v>
      </c>
      <c r="AL793" s="1" t="s">
        <v>174</v>
      </c>
      <c r="AM793" s="1">
        <v>1</v>
      </c>
      <c r="AN793" s="1">
        <v>0</v>
      </c>
      <c r="AO793" s="1">
        <f t="shared" si="88"/>
        <v>1</v>
      </c>
    </row>
    <row r="794" spans="1:41" x14ac:dyDescent="0.4">
      <c r="A794" s="1">
        <v>1</v>
      </c>
      <c r="B794" s="1" t="s">
        <v>948</v>
      </c>
      <c r="C794" s="1" t="s">
        <v>41</v>
      </c>
      <c r="D794" s="2">
        <v>38827</v>
      </c>
      <c r="E794" s="1">
        <v>110</v>
      </c>
      <c r="F794" s="1">
        <v>2</v>
      </c>
      <c r="G794" s="3">
        <v>0.47134259259259265</v>
      </c>
      <c r="H794" s="3">
        <v>0.47478009259259263</v>
      </c>
      <c r="I794" s="3">
        <v>3.4374999999999822E-3</v>
      </c>
      <c r="J794" s="3">
        <v>3.4374999999999822E-3</v>
      </c>
      <c r="K794" s="5">
        <f t="shared" si="87"/>
        <v>297</v>
      </c>
      <c r="L794" s="3" t="s">
        <v>120</v>
      </c>
      <c r="N794" s="1" t="s">
        <v>42</v>
      </c>
      <c r="O794" s="1" t="s">
        <v>43</v>
      </c>
      <c r="P794" s="1" t="s">
        <v>227</v>
      </c>
      <c r="Q794" s="1" t="s">
        <v>76</v>
      </c>
      <c r="S794" s="1" t="s">
        <v>46</v>
      </c>
      <c r="T794" s="1" t="s">
        <v>47</v>
      </c>
      <c r="U794" s="1" t="s">
        <v>66</v>
      </c>
      <c r="V794" s="1" t="s">
        <v>49</v>
      </c>
      <c r="W794" s="1" t="s">
        <v>50</v>
      </c>
      <c r="X794" s="1" t="s">
        <v>158</v>
      </c>
      <c r="Y794" s="1" t="s">
        <v>159</v>
      </c>
      <c r="Z794" s="1" t="s">
        <v>160</v>
      </c>
      <c r="AA794" s="1" t="s">
        <v>161</v>
      </c>
      <c r="AB794" s="1" t="s">
        <v>162</v>
      </c>
      <c r="AC794" s="1">
        <v>0</v>
      </c>
      <c r="AD794" s="1" t="s">
        <v>56</v>
      </c>
      <c r="AE794" s="1" t="s">
        <v>83</v>
      </c>
      <c r="AF794" s="1" t="s">
        <v>113</v>
      </c>
      <c r="AG794" s="1" t="s">
        <v>955</v>
      </c>
      <c r="AH794" s="1" t="s">
        <v>165</v>
      </c>
      <c r="AI794" s="1" t="s">
        <v>71</v>
      </c>
      <c r="AK794" s="1" t="s">
        <v>61</v>
      </c>
      <c r="AL794" s="1" t="s">
        <v>133</v>
      </c>
      <c r="AM794" s="1">
        <v>3</v>
      </c>
      <c r="AN794" s="1">
        <v>0</v>
      </c>
      <c r="AO794" s="1">
        <f t="shared" si="88"/>
        <v>3</v>
      </c>
    </row>
    <row r="795" spans="1:41" x14ac:dyDescent="0.4">
      <c r="A795" s="1">
        <v>1</v>
      </c>
      <c r="B795" s="1" t="s">
        <v>948</v>
      </c>
      <c r="C795" s="1" t="s">
        <v>41</v>
      </c>
      <c r="D795" s="2">
        <v>38845</v>
      </c>
      <c r="E795" s="1">
        <v>128</v>
      </c>
      <c r="F795" s="1">
        <v>1</v>
      </c>
      <c r="G795" s="3">
        <v>0.46114583333333337</v>
      </c>
      <c r="H795" s="3">
        <v>0.46516203703703707</v>
      </c>
      <c r="I795" s="3">
        <v>4.0162037037037024E-3</v>
      </c>
      <c r="J795" s="3">
        <v>4.0162037037037024E-3</v>
      </c>
      <c r="K795" s="5">
        <f t="shared" si="87"/>
        <v>347</v>
      </c>
      <c r="L795" s="3">
        <v>0</v>
      </c>
      <c r="N795" s="1" t="s">
        <v>75</v>
      </c>
      <c r="O795" s="1" t="s">
        <v>286</v>
      </c>
      <c r="P795" s="1" t="s">
        <v>227</v>
      </c>
      <c r="Q795" s="1" t="s">
        <v>76</v>
      </c>
      <c r="S795" s="1" t="s">
        <v>46</v>
      </c>
      <c r="T795" s="1" t="s">
        <v>45</v>
      </c>
      <c r="U795" s="1" t="s">
        <v>66</v>
      </c>
      <c r="V795" s="1" t="s">
        <v>49</v>
      </c>
      <c r="W795" s="1" t="s">
        <v>77</v>
      </c>
      <c r="X795" s="1" t="s">
        <v>534</v>
      </c>
      <c r="Y795" s="1" t="s">
        <v>260</v>
      </c>
      <c r="Z795" s="1" t="s">
        <v>261</v>
      </c>
      <c r="AA795" s="1" t="s">
        <v>535</v>
      </c>
      <c r="AB795" s="1" t="s">
        <v>536</v>
      </c>
      <c r="AC795" s="1">
        <v>0</v>
      </c>
      <c r="AD795" s="1" t="s">
        <v>56</v>
      </c>
      <c r="AE795" s="1" t="s">
        <v>83</v>
      </c>
      <c r="AF795" s="1" t="s">
        <v>153</v>
      </c>
      <c r="AG795" s="1" t="s">
        <v>957</v>
      </c>
      <c r="AH795" s="1" t="s">
        <v>115</v>
      </c>
      <c r="AI795" s="1" t="s">
        <v>75</v>
      </c>
      <c r="AK795" s="1" t="s">
        <v>116</v>
      </c>
      <c r="AL795" s="1" t="s">
        <v>174</v>
      </c>
      <c r="AM795" s="1">
        <v>2</v>
      </c>
      <c r="AN795" s="1">
        <v>0</v>
      </c>
      <c r="AO795" s="1">
        <f t="shared" si="88"/>
        <v>2</v>
      </c>
    </row>
    <row r="796" spans="1:41" x14ac:dyDescent="0.4">
      <c r="A796" s="1">
        <v>1</v>
      </c>
      <c r="B796" s="1" t="s">
        <v>948</v>
      </c>
      <c r="C796" s="1" t="s">
        <v>41</v>
      </c>
      <c r="D796" s="2">
        <v>38845</v>
      </c>
      <c r="E796" s="1">
        <v>128</v>
      </c>
      <c r="F796" s="1">
        <v>2</v>
      </c>
      <c r="G796" s="3">
        <v>0.46516203703703707</v>
      </c>
      <c r="H796" s="3">
        <v>0.46785879629629629</v>
      </c>
      <c r="I796" s="3">
        <v>2.6967592592592182E-3</v>
      </c>
      <c r="J796" s="3">
        <v>2.6967592592592182E-3</v>
      </c>
      <c r="K796" s="5">
        <f t="shared" si="87"/>
        <v>233</v>
      </c>
      <c r="L796" s="3" t="s">
        <v>120</v>
      </c>
      <c r="N796" s="1" t="s">
        <v>75</v>
      </c>
      <c r="O796" s="1" t="s">
        <v>286</v>
      </c>
      <c r="P796" s="1" t="s">
        <v>227</v>
      </c>
      <c r="Q796" s="1" t="s">
        <v>76</v>
      </c>
      <c r="S796" s="1" t="s">
        <v>46</v>
      </c>
      <c r="T796" s="1" t="s">
        <v>45</v>
      </c>
      <c r="U796" s="1" t="s">
        <v>66</v>
      </c>
      <c r="V796" s="1" t="s">
        <v>67</v>
      </c>
      <c r="W796" s="1" t="s">
        <v>68</v>
      </c>
      <c r="X796" s="1" t="s">
        <v>96</v>
      </c>
      <c r="Y796" s="1" t="s">
        <v>421</v>
      </c>
      <c r="AB796" s="1" t="s">
        <v>422</v>
      </c>
      <c r="AC796" s="1">
        <v>0</v>
      </c>
      <c r="AD796" s="1" t="s">
        <v>68</v>
      </c>
      <c r="AE796" s="1" t="s">
        <v>70</v>
      </c>
      <c r="AG796" s="1" t="s">
        <v>957</v>
      </c>
      <c r="AH796" s="1" t="s">
        <v>157</v>
      </c>
      <c r="AI796" s="1" t="s">
        <v>75</v>
      </c>
      <c r="AK796" s="1" t="s">
        <v>61</v>
      </c>
      <c r="AL796" s="1" t="s">
        <v>72</v>
      </c>
      <c r="AM796" s="1">
        <v>2</v>
      </c>
      <c r="AN796" s="1">
        <v>0</v>
      </c>
      <c r="AO796" s="1">
        <f t="shared" si="88"/>
        <v>2</v>
      </c>
    </row>
    <row r="797" spans="1:41" x14ac:dyDescent="0.4">
      <c r="A797" s="1">
        <v>1</v>
      </c>
      <c r="B797" s="1" t="s">
        <v>948</v>
      </c>
      <c r="C797" s="1" t="s">
        <v>41</v>
      </c>
      <c r="D797" s="2">
        <v>38847</v>
      </c>
      <c r="E797" s="1">
        <v>130</v>
      </c>
      <c r="F797" s="1">
        <v>1</v>
      </c>
      <c r="G797" s="3">
        <v>0.57688657407407407</v>
      </c>
      <c r="H797" s="3">
        <v>0.5805555555555556</v>
      </c>
      <c r="I797" s="3">
        <v>3.6689814814815369E-3</v>
      </c>
      <c r="J797" s="3">
        <v>3.6689814814815369E-3</v>
      </c>
      <c r="K797" s="5">
        <f t="shared" si="87"/>
        <v>317</v>
      </c>
      <c r="L797" s="3">
        <v>4.2592592592591849E-3</v>
      </c>
      <c r="N797" s="1" t="s">
        <v>75</v>
      </c>
      <c r="O797" s="1" t="s">
        <v>286</v>
      </c>
      <c r="P797" s="1" t="s">
        <v>227</v>
      </c>
      <c r="Q797" s="1" t="s">
        <v>76</v>
      </c>
      <c r="S797" s="1" t="s">
        <v>46</v>
      </c>
      <c r="T797" s="1" t="s">
        <v>124</v>
      </c>
      <c r="U797" s="1" t="s">
        <v>66</v>
      </c>
      <c r="V797" s="1" t="s">
        <v>49</v>
      </c>
      <c r="W797" s="1" t="s">
        <v>200</v>
      </c>
      <c r="X797" s="1" t="s">
        <v>201</v>
      </c>
      <c r="Y797" s="1" t="s">
        <v>126</v>
      </c>
      <c r="Z797" s="1" t="s">
        <v>202</v>
      </c>
      <c r="AA797" s="1" t="s">
        <v>203</v>
      </c>
      <c r="AB797" s="1" t="s">
        <v>204</v>
      </c>
      <c r="AC797" s="1">
        <v>0</v>
      </c>
      <c r="AD797" s="1" t="s">
        <v>56</v>
      </c>
      <c r="AE797" s="1" t="s">
        <v>83</v>
      </c>
      <c r="AF797" s="1" t="s">
        <v>113</v>
      </c>
      <c r="AG797" s="1" t="s">
        <v>958</v>
      </c>
      <c r="AH797" s="1" t="s">
        <v>206</v>
      </c>
      <c r="AI797" s="1" t="s">
        <v>75</v>
      </c>
      <c r="AK797" s="1" t="s">
        <v>116</v>
      </c>
      <c r="AL797" s="1" t="s">
        <v>117</v>
      </c>
      <c r="AM797" s="1">
        <v>1</v>
      </c>
      <c r="AN797" s="1">
        <v>0</v>
      </c>
      <c r="AO797" s="1">
        <f t="shared" si="88"/>
        <v>1</v>
      </c>
    </row>
    <row r="798" spans="1:41" x14ac:dyDescent="0.4">
      <c r="A798" s="1">
        <v>1</v>
      </c>
      <c r="B798" s="1" t="s">
        <v>948</v>
      </c>
      <c r="C798" s="1" t="s">
        <v>41</v>
      </c>
      <c r="D798" s="2">
        <v>38847</v>
      </c>
      <c r="E798" s="1">
        <v>130</v>
      </c>
      <c r="F798" s="1">
        <v>2</v>
      </c>
      <c r="G798" s="3">
        <v>0.58481481481481479</v>
      </c>
      <c r="H798" s="3">
        <v>0.58570601851851845</v>
      </c>
      <c r="I798" s="3">
        <v>8.9120370370365798E-4</v>
      </c>
      <c r="J798" s="3">
        <v>8.9120370370365798E-4</v>
      </c>
      <c r="K798" s="5">
        <f t="shared" si="87"/>
        <v>77</v>
      </c>
      <c r="L798" s="3">
        <v>1.2384259259259345E-2</v>
      </c>
      <c r="N798" s="1" t="s">
        <v>75</v>
      </c>
      <c r="O798" s="1" t="s">
        <v>286</v>
      </c>
      <c r="P798" s="1" t="s">
        <v>227</v>
      </c>
      <c r="Q798" s="1" t="s">
        <v>45</v>
      </c>
      <c r="S798" s="1" t="s">
        <v>46</v>
      </c>
      <c r="T798" s="1" t="s">
        <v>47</v>
      </c>
      <c r="U798" s="1" t="s">
        <v>66</v>
      </c>
      <c r="V798" s="1" t="s">
        <v>49</v>
      </c>
      <c r="W798" s="1" t="s">
        <v>439</v>
      </c>
      <c r="X798" s="1" t="s">
        <v>440</v>
      </c>
      <c r="Y798" s="1" t="s">
        <v>441</v>
      </c>
      <c r="Z798" s="1" t="s">
        <v>442</v>
      </c>
      <c r="AA798" s="1" t="s">
        <v>443</v>
      </c>
      <c r="AB798" s="1" t="s">
        <v>444</v>
      </c>
      <c r="AC798" s="1">
        <v>0</v>
      </c>
      <c r="AD798" s="1" t="s">
        <v>56</v>
      </c>
      <c r="AE798" s="1" t="s">
        <v>83</v>
      </c>
      <c r="AF798" s="1" t="s">
        <v>113</v>
      </c>
      <c r="AG798" s="1" t="s">
        <v>959</v>
      </c>
      <c r="AH798" s="1" t="s">
        <v>115</v>
      </c>
      <c r="AI798" s="1" t="s">
        <v>75</v>
      </c>
      <c r="AK798" s="1" t="s">
        <v>116</v>
      </c>
      <c r="AL798" s="1" t="s">
        <v>174</v>
      </c>
      <c r="AM798" s="1">
        <v>1</v>
      </c>
      <c r="AN798" s="1">
        <v>0</v>
      </c>
      <c r="AO798" s="1">
        <f t="shared" si="88"/>
        <v>1</v>
      </c>
    </row>
    <row r="799" spans="1:41" x14ac:dyDescent="0.4">
      <c r="A799" s="1">
        <v>1</v>
      </c>
      <c r="B799" s="1" t="s">
        <v>948</v>
      </c>
      <c r="C799" s="1" t="s">
        <v>41</v>
      </c>
      <c r="D799" s="2">
        <v>38847</v>
      </c>
      <c r="E799" s="1">
        <v>130</v>
      </c>
      <c r="F799" s="1">
        <v>3</v>
      </c>
      <c r="G799" s="3">
        <v>0.59809027777777779</v>
      </c>
      <c r="H799" s="3">
        <v>0.59922453703703704</v>
      </c>
      <c r="I799" s="3">
        <v>1.1342592592592515E-3</v>
      </c>
      <c r="J799" s="3">
        <v>1.1342592592592515E-3</v>
      </c>
      <c r="K799" s="5">
        <f t="shared" si="87"/>
        <v>98</v>
      </c>
      <c r="L799" s="3">
        <v>9.8495370370370594E-3</v>
      </c>
      <c r="N799" s="1" t="s">
        <v>75</v>
      </c>
      <c r="O799" s="1" t="s">
        <v>286</v>
      </c>
      <c r="P799" s="1" t="s">
        <v>227</v>
      </c>
      <c r="Q799" s="1" t="s">
        <v>76</v>
      </c>
      <c r="S799" s="1" t="s">
        <v>46</v>
      </c>
      <c r="T799" s="1" t="s">
        <v>47</v>
      </c>
      <c r="U799" s="1" t="s">
        <v>66</v>
      </c>
      <c r="V799" s="1" t="s">
        <v>49</v>
      </c>
      <c r="W799" s="1" t="s">
        <v>439</v>
      </c>
      <c r="X799" s="1" t="s">
        <v>440</v>
      </c>
      <c r="Y799" s="1" t="s">
        <v>441</v>
      </c>
      <c r="Z799" s="1" t="s">
        <v>442</v>
      </c>
      <c r="AA799" s="1" t="s">
        <v>443</v>
      </c>
      <c r="AB799" s="1" t="s">
        <v>444</v>
      </c>
      <c r="AC799" s="1">
        <v>0</v>
      </c>
      <c r="AD799" s="1" t="s">
        <v>56</v>
      </c>
      <c r="AE799" s="1" t="s">
        <v>83</v>
      </c>
      <c r="AF799" s="1" t="s">
        <v>113</v>
      </c>
      <c r="AG799" s="1" t="s">
        <v>960</v>
      </c>
      <c r="AH799" s="1" t="s">
        <v>115</v>
      </c>
      <c r="AI799" s="1" t="s">
        <v>75</v>
      </c>
      <c r="AK799" s="1" t="s">
        <v>86</v>
      </c>
      <c r="AL799" s="1" t="s">
        <v>87</v>
      </c>
      <c r="AM799" s="1">
        <v>2</v>
      </c>
      <c r="AN799" s="1">
        <v>0</v>
      </c>
      <c r="AO799" s="1">
        <f t="shared" si="88"/>
        <v>2</v>
      </c>
    </row>
    <row r="800" spans="1:41" x14ac:dyDescent="0.4">
      <c r="A800" s="1">
        <v>1</v>
      </c>
      <c r="B800" s="1" t="s">
        <v>948</v>
      </c>
      <c r="C800" s="1" t="s">
        <v>41</v>
      </c>
      <c r="D800" s="2">
        <v>38847</v>
      </c>
      <c r="E800" s="1">
        <v>130</v>
      </c>
      <c r="F800" s="1">
        <v>3.5</v>
      </c>
      <c r="G800" s="3">
        <v>0.6090740740740741</v>
      </c>
      <c r="H800" s="3">
        <v>0.60909722222222229</v>
      </c>
      <c r="I800" s="3">
        <v>2.3148148148188774E-5</v>
      </c>
      <c r="J800" s="3">
        <v>2.3148148148188774E-5</v>
      </c>
      <c r="K800" s="5">
        <f t="shared" si="87"/>
        <v>2</v>
      </c>
      <c r="L800" s="3">
        <v>3.4722222222220989E-3</v>
      </c>
      <c r="N800" s="1" t="s">
        <v>75</v>
      </c>
      <c r="O800" s="1" t="s">
        <v>286</v>
      </c>
      <c r="P800" s="1" t="s">
        <v>227</v>
      </c>
      <c r="Q800" s="1" t="s">
        <v>76</v>
      </c>
      <c r="S800" s="1" t="s">
        <v>46</v>
      </c>
      <c r="AB800" s="1" t="s">
        <v>93</v>
      </c>
      <c r="AC800" s="1">
        <v>1</v>
      </c>
      <c r="AK800" s="1" t="s">
        <v>61</v>
      </c>
      <c r="AL800" s="1" t="s">
        <v>133</v>
      </c>
      <c r="AN800" s="1">
        <v>1</v>
      </c>
      <c r="AO800" s="1">
        <f t="shared" si="88"/>
        <v>1</v>
      </c>
    </row>
    <row r="801" spans="1:41" x14ac:dyDescent="0.4">
      <c r="A801" s="1">
        <v>1</v>
      </c>
      <c r="B801" s="1" t="s">
        <v>948</v>
      </c>
      <c r="C801" s="1" t="s">
        <v>41</v>
      </c>
      <c r="D801" s="2">
        <v>38847</v>
      </c>
      <c r="E801" s="1">
        <v>130</v>
      </c>
      <c r="F801" s="1">
        <v>4</v>
      </c>
      <c r="G801" s="3">
        <v>0.61256944444444439</v>
      </c>
      <c r="H801" s="3">
        <v>0.61652777777777779</v>
      </c>
      <c r="I801" s="3">
        <v>3.958333333333397E-3</v>
      </c>
      <c r="J801" s="3">
        <v>2.4884259259261299E-3</v>
      </c>
      <c r="K801" s="5">
        <f t="shared" si="87"/>
        <v>215</v>
      </c>
      <c r="L801" s="3" t="s">
        <v>120</v>
      </c>
      <c r="N801" s="1" t="s">
        <v>75</v>
      </c>
      <c r="O801" s="1" t="s">
        <v>286</v>
      </c>
      <c r="P801" s="1" t="s">
        <v>227</v>
      </c>
      <c r="Q801" s="1" t="s">
        <v>45</v>
      </c>
      <c r="S801" s="1" t="s">
        <v>46</v>
      </c>
      <c r="T801" s="1" t="s">
        <v>45</v>
      </c>
      <c r="U801" s="1" t="s">
        <v>66</v>
      </c>
      <c r="V801" s="1" t="s">
        <v>49</v>
      </c>
      <c r="W801" s="1" t="s">
        <v>200</v>
      </c>
      <c r="X801" s="1" t="s">
        <v>567</v>
      </c>
      <c r="Y801" s="1" t="s">
        <v>126</v>
      </c>
      <c r="Z801" s="1" t="s">
        <v>202</v>
      </c>
      <c r="AA801" s="1" t="s">
        <v>397</v>
      </c>
      <c r="AB801" s="1" t="s">
        <v>398</v>
      </c>
      <c r="AC801" s="1">
        <v>0</v>
      </c>
      <c r="AD801" s="1" t="s">
        <v>56</v>
      </c>
      <c r="AE801" s="1" t="s">
        <v>83</v>
      </c>
      <c r="AF801" s="1" t="s">
        <v>84</v>
      </c>
      <c r="AG801" s="1" t="s">
        <v>961</v>
      </c>
      <c r="AH801" s="1" t="s">
        <v>206</v>
      </c>
      <c r="AI801" s="1" t="s">
        <v>75</v>
      </c>
      <c r="AK801" s="1" t="s">
        <v>61</v>
      </c>
      <c r="AL801" s="1" t="s">
        <v>72</v>
      </c>
      <c r="AM801" s="1">
        <v>3</v>
      </c>
      <c r="AN801" s="1">
        <v>0</v>
      </c>
      <c r="AO801" s="1">
        <f t="shared" si="88"/>
        <v>3</v>
      </c>
    </row>
    <row r="802" spans="1:41" x14ac:dyDescent="0.4">
      <c r="A802" s="1">
        <v>1</v>
      </c>
      <c r="B802" s="1" t="s">
        <v>948</v>
      </c>
      <c r="C802" s="1" t="s">
        <v>41</v>
      </c>
      <c r="D802" s="2">
        <v>38856</v>
      </c>
      <c r="E802" s="1">
        <v>139</v>
      </c>
      <c r="F802" s="1">
        <v>1</v>
      </c>
      <c r="G802" s="3">
        <v>0.34710648148148149</v>
      </c>
      <c r="H802" s="3">
        <v>0.34782407407407406</v>
      </c>
      <c r="I802" s="3">
        <v>7.1759259259257524E-4</v>
      </c>
      <c r="J802" s="3">
        <v>7.1759259259257524E-4</v>
      </c>
      <c r="K802" s="5">
        <f t="shared" si="87"/>
        <v>62</v>
      </c>
      <c r="L802" s="3">
        <v>9.1435185185184675E-4</v>
      </c>
      <c r="N802" s="1" t="s">
        <v>42</v>
      </c>
      <c r="O802" s="1" t="s">
        <v>286</v>
      </c>
      <c r="P802" s="1" t="s">
        <v>227</v>
      </c>
      <c r="Q802" s="1" t="s">
        <v>191</v>
      </c>
      <c r="S802" s="1" t="s">
        <v>46</v>
      </c>
      <c r="T802" s="1" t="s">
        <v>47</v>
      </c>
      <c r="U802" s="1" t="s">
        <v>66</v>
      </c>
      <c r="V802" s="1" t="s">
        <v>297</v>
      </c>
      <c r="W802" s="1" t="s">
        <v>167</v>
      </c>
      <c r="X802" s="1" t="s">
        <v>614</v>
      </c>
      <c r="Y802" s="1" t="s">
        <v>52</v>
      </c>
      <c r="Z802" s="1">
        <v>37</v>
      </c>
      <c r="AB802" s="1" t="s">
        <v>962</v>
      </c>
      <c r="AC802" s="1">
        <v>0</v>
      </c>
      <c r="AD802" s="1" t="s">
        <v>56</v>
      </c>
      <c r="AE802" s="1" t="s">
        <v>57</v>
      </c>
      <c r="AF802" s="1" t="s">
        <v>113</v>
      </c>
      <c r="AG802" s="1" t="s">
        <v>963</v>
      </c>
      <c r="AH802" s="1" t="s">
        <v>157</v>
      </c>
      <c r="AI802" s="1" t="s">
        <v>71</v>
      </c>
      <c r="AJ802" s="1" t="s">
        <v>147</v>
      </c>
      <c r="AK802" s="1" t="s">
        <v>116</v>
      </c>
      <c r="AL802" s="1" t="s">
        <v>174</v>
      </c>
      <c r="AM802" s="1">
        <v>1</v>
      </c>
      <c r="AN802" s="1">
        <v>0</v>
      </c>
      <c r="AO802" s="1">
        <f t="shared" si="88"/>
        <v>1</v>
      </c>
    </row>
    <row r="803" spans="1:41" x14ac:dyDescent="0.4">
      <c r="A803" s="1">
        <v>1</v>
      </c>
      <c r="B803" s="1" t="s">
        <v>948</v>
      </c>
      <c r="C803" s="1" t="s">
        <v>41</v>
      </c>
      <c r="D803" s="2">
        <v>38856</v>
      </c>
      <c r="E803" s="1">
        <v>139</v>
      </c>
      <c r="F803" s="1">
        <v>1.5</v>
      </c>
      <c r="G803" s="3">
        <v>0.34873842592592591</v>
      </c>
      <c r="H803" s="3">
        <v>0.34877314814814814</v>
      </c>
      <c r="I803" s="3">
        <v>3.472222222222765E-5</v>
      </c>
      <c r="J803" s="3">
        <v>3.472222222222765E-5</v>
      </c>
      <c r="K803" s="5">
        <f t="shared" si="87"/>
        <v>3</v>
      </c>
      <c r="L803" s="3">
        <v>6.0486111111111129E-2</v>
      </c>
      <c r="N803" s="1" t="s">
        <v>42</v>
      </c>
      <c r="O803" s="1" t="s">
        <v>286</v>
      </c>
      <c r="P803" s="1" t="s">
        <v>227</v>
      </c>
      <c r="Q803" s="1" t="s">
        <v>191</v>
      </c>
      <c r="S803" s="1" t="s">
        <v>46</v>
      </c>
      <c r="AB803" s="1" t="s">
        <v>93</v>
      </c>
      <c r="AC803" s="1">
        <v>1</v>
      </c>
      <c r="AK803" s="1" t="s">
        <v>86</v>
      </c>
      <c r="AL803" s="1" t="s">
        <v>86</v>
      </c>
      <c r="AN803" s="1">
        <v>1</v>
      </c>
      <c r="AO803" s="1">
        <f t="shared" si="88"/>
        <v>1</v>
      </c>
    </row>
    <row r="804" spans="1:41" x14ac:dyDescent="0.4">
      <c r="A804" s="1">
        <v>1</v>
      </c>
      <c r="B804" s="1" t="s">
        <v>948</v>
      </c>
      <c r="C804" s="1" t="s">
        <v>41</v>
      </c>
      <c r="D804" s="2">
        <v>38856</v>
      </c>
      <c r="E804" s="1">
        <v>139</v>
      </c>
      <c r="F804" s="1">
        <v>3</v>
      </c>
      <c r="G804" s="3">
        <v>0.40925925925925927</v>
      </c>
      <c r="H804" s="3">
        <v>0.41722222222222222</v>
      </c>
      <c r="I804" s="3">
        <v>7.9629629629629495E-3</v>
      </c>
      <c r="J804" s="3">
        <v>7.9629629629629495E-3</v>
      </c>
      <c r="K804" s="5">
        <f t="shared" si="87"/>
        <v>688</v>
      </c>
      <c r="L804" s="3">
        <v>6.6087962962962932E-3</v>
      </c>
      <c r="N804" s="1" t="s">
        <v>42</v>
      </c>
      <c r="O804" s="1" t="s">
        <v>286</v>
      </c>
      <c r="P804" s="1" t="s">
        <v>227</v>
      </c>
      <c r="Q804" s="1" t="s">
        <v>76</v>
      </c>
      <c r="S804" s="1" t="s">
        <v>46</v>
      </c>
      <c r="T804" s="1" t="s">
        <v>45</v>
      </c>
      <c r="U804" s="1" t="s">
        <v>48</v>
      </c>
      <c r="V804" s="1" t="s">
        <v>49</v>
      </c>
      <c r="W804" s="1" t="s">
        <v>200</v>
      </c>
      <c r="X804" s="1" t="s">
        <v>567</v>
      </c>
      <c r="Y804" s="1" t="s">
        <v>126</v>
      </c>
      <c r="Z804" s="1" t="s">
        <v>202</v>
      </c>
      <c r="AA804" s="1" t="s">
        <v>397</v>
      </c>
      <c r="AB804" s="1" t="s">
        <v>398</v>
      </c>
      <c r="AC804" s="1">
        <v>0</v>
      </c>
      <c r="AD804" s="1" t="s">
        <v>56</v>
      </c>
      <c r="AE804" s="1" t="s">
        <v>83</v>
      </c>
      <c r="AF804" s="1" t="s">
        <v>113</v>
      </c>
      <c r="AG804" s="1" t="s">
        <v>964</v>
      </c>
      <c r="AH804" s="1" t="s">
        <v>206</v>
      </c>
      <c r="AI804" s="1" t="s">
        <v>60</v>
      </c>
      <c r="AK804" s="1" t="s">
        <v>116</v>
      </c>
      <c r="AL804" s="1" t="s">
        <v>117</v>
      </c>
      <c r="AM804" s="1">
        <v>1</v>
      </c>
      <c r="AN804" s="1">
        <v>0</v>
      </c>
      <c r="AO804" s="1">
        <f t="shared" si="88"/>
        <v>1</v>
      </c>
    </row>
    <row r="805" spans="1:41" x14ac:dyDescent="0.4">
      <c r="A805" s="1">
        <v>1</v>
      </c>
      <c r="B805" s="1" t="s">
        <v>948</v>
      </c>
      <c r="C805" s="1" t="s">
        <v>41</v>
      </c>
      <c r="D805" s="2">
        <v>38856</v>
      </c>
      <c r="E805" s="1">
        <v>139</v>
      </c>
      <c r="F805" s="1">
        <v>4</v>
      </c>
      <c r="G805" s="3">
        <v>0.42383101851851851</v>
      </c>
      <c r="H805" s="3">
        <v>0.42481481481481481</v>
      </c>
      <c r="I805" s="3">
        <v>9.8379629629630205E-4</v>
      </c>
      <c r="J805" s="3">
        <v>9.8379629629630205E-4</v>
      </c>
      <c r="K805" s="5">
        <f t="shared" si="87"/>
        <v>85</v>
      </c>
      <c r="L805" s="3">
        <v>1.8969907407407394E-2</v>
      </c>
      <c r="N805" s="1" t="s">
        <v>42</v>
      </c>
      <c r="O805" s="1" t="s">
        <v>286</v>
      </c>
      <c r="P805" s="1" t="s">
        <v>227</v>
      </c>
      <c r="Q805" s="1" t="s">
        <v>76</v>
      </c>
      <c r="S805" s="1" t="s">
        <v>46</v>
      </c>
      <c r="T805" s="1" t="s">
        <v>45</v>
      </c>
      <c r="U805" s="1" t="s">
        <v>156</v>
      </c>
      <c r="V805" s="1" t="s">
        <v>49</v>
      </c>
      <c r="W805" s="1" t="s">
        <v>200</v>
      </c>
      <c r="X805" s="1" t="s">
        <v>567</v>
      </c>
      <c r="Y805" s="1" t="s">
        <v>126</v>
      </c>
      <c r="Z805" s="1" t="s">
        <v>202</v>
      </c>
      <c r="AA805" s="1" t="s">
        <v>397</v>
      </c>
      <c r="AB805" s="1" t="s">
        <v>398</v>
      </c>
      <c r="AC805" s="1">
        <v>0</v>
      </c>
      <c r="AD805" s="1" t="s">
        <v>56</v>
      </c>
      <c r="AE805" s="1" t="s">
        <v>83</v>
      </c>
      <c r="AH805" s="1" t="s">
        <v>206</v>
      </c>
      <c r="AI805" s="1" t="s">
        <v>75</v>
      </c>
      <c r="AK805" s="1" t="s">
        <v>86</v>
      </c>
      <c r="AL805" s="1" t="s">
        <v>86</v>
      </c>
      <c r="AN805" s="1">
        <v>1</v>
      </c>
      <c r="AO805" s="1">
        <f t="shared" si="88"/>
        <v>1</v>
      </c>
    </row>
    <row r="806" spans="1:41" x14ac:dyDescent="0.4">
      <c r="A806" s="1">
        <v>1</v>
      </c>
      <c r="B806" s="1" t="s">
        <v>948</v>
      </c>
      <c r="C806" s="1" t="s">
        <v>41</v>
      </c>
      <c r="D806" s="2">
        <v>38856</v>
      </c>
      <c r="E806" s="1">
        <v>139</v>
      </c>
      <c r="F806" s="1">
        <v>5</v>
      </c>
      <c r="G806" s="3">
        <v>0.44378472222222221</v>
      </c>
      <c r="H806" s="3">
        <v>0.44804398148148145</v>
      </c>
      <c r="I806" s="3">
        <v>4.2592592592592404E-3</v>
      </c>
      <c r="J806" s="3">
        <v>4.2592592592592404E-3</v>
      </c>
      <c r="K806" s="5">
        <f t="shared" si="87"/>
        <v>368</v>
      </c>
      <c r="L806" s="3">
        <v>7.9861111111111382E-3</v>
      </c>
      <c r="N806" s="1" t="s">
        <v>42</v>
      </c>
      <c r="O806" s="1" t="s">
        <v>286</v>
      </c>
      <c r="P806" s="1" t="s">
        <v>227</v>
      </c>
      <c r="Q806" s="1" t="s">
        <v>76</v>
      </c>
      <c r="S806" s="1" t="s">
        <v>46</v>
      </c>
      <c r="T806" s="1" t="s">
        <v>45</v>
      </c>
      <c r="U806" s="1" t="s">
        <v>156</v>
      </c>
      <c r="V806" s="1" t="s">
        <v>49</v>
      </c>
      <c r="W806" s="1" t="s">
        <v>200</v>
      </c>
      <c r="X806" s="1" t="s">
        <v>567</v>
      </c>
      <c r="Y806" s="1" t="s">
        <v>126</v>
      </c>
      <c r="Z806" s="1" t="s">
        <v>202</v>
      </c>
      <c r="AA806" s="1" t="s">
        <v>397</v>
      </c>
      <c r="AB806" s="1" t="s">
        <v>398</v>
      </c>
      <c r="AC806" s="1">
        <v>0</v>
      </c>
      <c r="AD806" s="1" t="s">
        <v>56</v>
      </c>
      <c r="AE806" s="1" t="s">
        <v>83</v>
      </c>
      <c r="AF806" s="1" t="s">
        <v>113</v>
      </c>
      <c r="AG806" s="1" t="s">
        <v>965</v>
      </c>
      <c r="AH806" s="1" t="s">
        <v>206</v>
      </c>
      <c r="AI806" s="1" t="s">
        <v>75</v>
      </c>
      <c r="AK806" s="1" t="s">
        <v>116</v>
      </c>
      <c r="AL806" s="1" t="s">
        <v>117</v>
      </c>
      <c r="AM806" s="1">
        <v>1</v>
      </c>
      <c r="AN806" s="1">
        <v>0</v>
      </c>
      <c r="AO806" s="1">
        <f t="shared" si="88"/>
        <v>1</v>
      </c>
    </row>
    <row r="807" spans="1:41" x14ac:dyDescent="0.4">
      <c r="A807" s="1">
        <v>1</v>
      </c>
      <c r="B807" s="1" t="s">
        <v>948</v>
      </c>
      <c r="C807" s="1" t="s">
        <v>41</v>
      </c>
      <c r="D807" s="2">
        <v>38856</v>
      </c>
      <c r="E807" s="1">
        <v>139</v>
      </c>
      <c r="F807" s="1">
        <v>5.5</v>
      </c>
      <c r="G807" s="3">
        <v>0.45603009259259258</v>
      </c>
      <c r="H807" s="3">
        <v>0.46074074074074073</v>
      </c>
      <c r="I807" s="3">
        <v>4.7106481481481444E-3</v>
      </c>
      <c r="J807" s="3">
        <v>1.6666666666665941E-3</v>
      </c>
      <c r="K807" s="5">
        <f t="shared" si="87"/>
        <v>144</v>
      </c>
      <c r="L807" s="3">
        <v>4.7951388888888891E-2</v>
      </c>
      <c r="N807" s="1" t="s">
        <v>42</v>
      </c>
      <c r="O807" s="1" t="s">
        <v>286</v>
      </c>
      <c r="P807" s="1" t="s">
        <v>227</v>
      </c>
      <c r="Q807" s="1" t="s">
        <v>76</v>
      </c>
      <c r="S807" s="1" t="s">
        <v>46</v>
      </c>
      <c r="T807" s="1" t="s">
        <v>45</v>
      </c>
      <c r="U807" s="1" t="s">
        <v>156</v>
      </c>
      <c r="V807" s="1" t="s">
        <v>67</v>
      </c>
      <c r="W807" s="1" t="s">
        <v>68</v>
      </c>
      <c r="X807" s="1" t="s">
        <v>313</v>
      </c>
      <c r="Y807" s="1" t="s">
        <v>303</v>
      </c>
      <c r="AB807" s="1" t="s">
        <v>597</v>
      </c>
      <c r="AC807" s="1">
        <v>0</v>
      </c>
      <c r="AD807" s="1" t="s">
        <v>68</v>
      </c>
      <c r="AE807" s="1" t="s">
        <v>70</v>
      </c>
      <c r="AF807" s="1" t="s">
        <v>113</v>
      </c>
      <c r="AG807" s="1" t="s">
        <v>961</v>
      </c>
      <c r="AH807" s="1" t="s">
        <v>157</v>
      </c>
      <c r="AI807" s="1" t="s">
        <v>75</v>
      </c>
      <c r="AK807" s="1" t="s">
        <v>86</v>
      </c>
      <c r="AL807" s="1" t="s">
        <v>86</v>
      </c>
      <c r="AM807" s="1">
        <v>3</v>
      </c>
      <c r="AN807" s="1">
        <v>0</v>
      </c>
      <c r="AO807" s="1">
        <f t="shared" si="88"/>
        <v>3</v>
      </c>
    </row>
    <row r="808" spans="1:41" x14ac:dyDescent="0.4">
      <c r="A808" s="1">
        <v>1</v>
      </c>
      <c r="B808" s="1" t="s">
        <v>948</v>
      </c>
      <c r="C808" s="1" t="s">
        <v>41</v>
      </c>
      <c r="D808" s="2">
        <v>38856</v>
      </c>
      <c r="E808" s="1">
        <v>139</v>
      </c>
      <c r="F808" s="1">
        <v>7</v>
      </c>
      <c r="G808" s="3">
        <v>0.50869212962962962</v>
      </c>
      <c r="H808" s="3">
        <v>0.51209490740740737</v>
      </c>
      <c r="I808" s="3">
        <v>3.4027777777777546E-3</v>
      </c>
      <c r="J808" s="3">
        <v>3.4027777777777546E-3</v>
      </c>
      <c r="K808" s="5">
        <f t="shared" si="87"/>
        <v>294</v>
      </c>
      <c r="L808" s="3">
        <v>9.7939814814814841E-2</v>
      </c>
      <c r="N808" s="1" t="s">
        <v>42</v>
      </c>
      <c r="O808" s="1" t="s">
        <v>286</v>
      </c>
      <c r="P808" s="1" t="s">
        <v>227</v>
      </c>
      <c r="Q808" s="1" t="s">
        <v>76</v>
      </c>
      <c r="S808" s="1" t="s">
        <v>46</v>
      </c>
      <c r="T808" s="1" t="s">
        <v>45</v>
      </c>
      <c r="U808" s="1" t="s">
        <v>156</v>
      </c>
      <c r="V808" s="1" t="s">
        <v>49</v>
      </c>
      <c r="W808" s="1" t="s">
        <v>168</v>
      </c>
      <c r="X808" s="1" t="s">
        <v>700</v>
      </c>
      <c r="AB808" s="1" t="s">
        <v>258</v>
      </c>
      <c r="AC808" s="1">
        <v>0</v>
      </c>
      <c r="AD808" s="1" t="s">
        <v>105</v>
      </c>
      <c r="AE808" s="1" t="s">
        <v>181</v>
      </c>
      <c r="AF808" s="1" t="s">
        <v>113</v>
      </c>
      <c r="AG808" s="1" t="s">
        <v>966</v>
      </c>
      <c r="AH808" s="1" t="s">
        <v>157</v>
      </c>
      <c r="AI808" s="1" t="s">
        <v>75</v>
      </c>
      <c r="AK808" s="1" t="s">
        <v>116</v>
      </c>
      <c r="AL808" s="1" t="s">
        <v>117</v>
      </c>
      <c r="AM808" s="1">
        <v>1</v>
      </c>
      <c r="AN808" s="1">
        <v>0</v>
      </c>
      <c r="AO808" s="1">
        <f t="shared" si="88"/>
        <v>1</v>
      </c>
    </row>
    <row r="809" spans="1:41" x14ac:dyDescent="0.4">
      <c r="A809" s="1">
        <v>1</v>
      </c>
      <c r="B809" s="1" t="s">
        <v>948</v>
      </c>
      <c r="C809" s="1" t="s">
        <v>41</v>
      </c>
      <c r="D809" s="2">
        <v>38856</v>
      </c>
      <c r="E809" s="1">
        <v>139</v>
      </c>
      <c r="F809" s="1">
        <v>8</v>
      </c>
      <c r="G809" s="3">
        <v>0.61003472222222221</v>
      </c>
      <c r="H809" s="3">
        <v>0.63458333333333339</v>
      </c>
      <c r="I809" s="3">
        <v>2.4548611111111174E-2</v>
      </c>
      <c r="J809" s="3">
        <v>2.1539351851851962E-2</v>
      </c>
      <c r="K809" s="5">
        <f t="shared" si="87"/>
        <v>1861</v>
      </c>
      <c r="L809" s="3">
        <v>1.3194444444444287E-3</v>
      </c>
      <c r="N809" s="1" t="s">
        <v>42</v>
      </c>
      <c r="O809" s="1" t="s">
        <v>286</v>
      </c>
      <c r="P809" s="1" t="s">
        <v>227</v>
      </c>
      <c r="Q809" s="1" t="s">
        <v>76</v>
      </c>
      <c r="S809" s="1" t="s">
        <v>46</v>
      </c>
      <c r="T809" s="1" t="s">
        <v>45</v>
      </c>
      <c r="U809" s="1" t="s">
        <v>66</v>
      </c>
      <c r="V809" s="1" t="s">
        <v>49</v>
      </c>
      <c r="W809" s="1" t="s">
        <v>77</v>
      </c>
      <c r="X809" s="1" t="s">
        <v>534</v>
      </c>
      <c r="Y809" s="1" t="s">
        <v>260</v>
      </c>
      <c r="Z809" s="1" t="s">
        <v>261</v>
      </c>
      <c r="AA809" s="1" t="s">
        <v>535</v>
      </c>
      <c r="AB809" s="1" t="s">
        <v>536</v>
      </c>
      <c r="AC809" s="1">
        <v>0</v>
      </c>
      <c r="AD809" s="1" t="s">
        <v>56</v>
      </c>
      <c r="AE809" s="1" t="s">
        <v>83</v>
      </c>
      <c r="AF809" s="1" t="s">
        <v>153</v>
      </c>
      <c r="AG809" s="1" t="s">
        <v>967</v>
      </c>
      <c r="AH809" s="1" t="s">
        <v>115</v>
      </c>
      <c r="AI809" s="1" t="s">
        <v>71</v>
      </c>
      <c r="AK809" s="1" t="s">
        <v>116</v>
      </c>
      <c r="AL809" s="1" t="s">
        <v>117</v>
      </c>
      <c r="AM809" s="1">
        <v>1</v>
      </c>
      <c r="AN809" s="1">
        <v>0</v>
      </c>
      <c r="AO809" s="1">
        <f t="shared" si="88"/>
        <v>1</v>
      </c>
    </row>
    <row r="810" spans="1:41" x14ac:dyDescent="0.4">
      <c r="A810" s="1">
        <v>1</v>
      </c>
      <c r="B810" s="1" t="s">
        <v>948</v>
      </c>
      <c r="C810" s="1" t="s">
        <v>41</v>
      </c>
      <c r="D810" s="2">
        <v>38856</v>
      </c>
      <c r="E810" s="1">
        <v>139</v>
      </c>
      <c r="F810" s="1">
        <v>9</v>
      </c>
      <c r="G810" s="3">
        <v>0.63590277777777782</v>
      </c>
      <c r="H810" s="3">
        <v>0.63709490740740737</v>
      </c>
      <c r="I810" s="3">
        <v>1.1921296296295569E-3</v>
      </c>
      <c r="J810" s="3">
        <v>1.1921296296295569E-3</v>
      </c>
      <c r="K810" s="5">
        <f t="shared" si="87"/>
        <v>103</v>
      </c>
      <c r="L810" s="3">
        <v>3.4583333333333299E-2</v>
      </c>
      <c r="N810" s="1" t="s">
        <v>42</v>
      </c>
      <c r="O810" s="1" t="s">
        <v>286</v>
      </c>
      <c r="P810" s="1" t="s">
        <v>227</v>
      </c>
      <c r="Q810" s="1" t="s">
        <v>76</v>
      </c>
      <c r="S810" s="1" t="s">
        <v>46</v>
      </c>
      <c r="T810" s="1" t="s">
        <v>47</v>
      </c>
      <c r="U810" s="1" t="s">
        <v>66</v>
      </c>
      <c r="V810" s="1" t="s">
        <v>102</v>
      </c>
      <c r="W810" s="1" t="s">
        <v>103</v>
      </c>
      <c r="X810" s="1" t="s">
        <v>968</v>
      </c>
      <c r="AB810" s="1" t="s">
        <v>104</v>
      </c>
      <c r="AC810" s="1">
        <v>0</v>
      </c>
      <c r="AD810" s="1" t="s">
        <v>105</v>
      </c>
      <c r="AE810" s="1" t="s">
        <v>181</v>
      </c>
      <c r="AH810" s="1" t="s">
        <v>157</v>
      </c>
      <c r="AI810" s="1" t="s">
        <v>71</v>
      </c>
      <c r="AK810" s="1" t="s">
        <v>86</v>
      </c>
      <c r="AL810" s="1" t="s">
        <v>87</v>
      </c>
      <c r="AN810" s="1">
        <v>1</v>
      </c>
      <c r="AO810" s="1">
        <f t="shared" si="88"/>
        <v>1</v>
      </c>
    </row>
    <row r="811" spans="1:41" x14ac:dyDescent="0.4">
      <c r="A811" s="1">
        <v>1</v>
      </c>
      <c r="B811" s="1" t="s">
        <v>948</v>
      </c>
      <c r="C811" s="1" t="s">
        <v>41</v>
      </c>
      <c r="D811" s="2">
        <v>38856</v>
      </c>
      <c r="E811" s="1">
        <v>139</v>
      </c>
      <c r="F811" s="1">
        <v>10</v>
      </c>
      <c r="G811" s="3">
        <v>0.67167824074074067</v>
      </c>
      <c r="H811" s="3">
        <v>0.67317129629629635</v>
      </c>
      <c r="I811" s="3">
        <v>1.4930555555556779E-3</v>
      </c>
      <c r="J811" s="3">
        <v>1.4930555555556779E-3</v>
      </c>
      <c r="K811" s="5">
        <f t="shared" si="87"/>
        <v>129</v>
      </c>
      <c r="L811" s="3" t="s">
        <v>120</v>
      </c>
      <c r="N811" s="1" t="s">
        <v>42</v>
      </c>
      <c r="O811" s="1" t="s">
        <v>286</v>
      </c>
      <c r="P811" s="1" t="s">
        <v>227</v>
      </c>
      <c r="Q811" s="1" t="s">
        <v>76</v>
      </c>
      <c r="S811" s="1" t="s">
        <v>46</v>
      </c>
      <c r="T811" s="1" t="s">
        <v>47</v>
      </c>
      <c r="U811" s="1" t="s">
        <v>156</v>
      </c>
      <c r="V811" s="1" t="s">
        <v>102</v>
      </c>
      <c r="W811" s="1" t="s">
        <v>103</v>
      </c>
      <c r="X811" s="1" t="s">
        <v>96</v>
      </c>
      <c r="AB811" s="1" t="s">
        <v>104</v>
      </c>
      <c r="AC811" s="1">
        <v>0</v>
      </c>
      <c r="AD811" s="1" t="s">
        <v>105</v>
      </c>
      <c r="AE811" s="1" t="s">
        <v>70</v>
      </c>
      <c r="AF811" s="1" t="s">
        <v>153</v>
      </c>
      <c r="AG811" s="1" t="s">
        <v>969</v>
      </c>
      <c r="AH811" s="1" t="s">
        <v>157</v>
      </c>
      <c r="AI811" s="1" t="s">
        <v>75</v>
      </c>
      <c r="AK811" s="1" t="s">
        <v>116</v>
      </c>
      <c r="AL811" s="1" t="s">
        <v>117</v>
      </c>
      <c r="AM811" s="1">
        <v>1</v>
      </c>
      <c r="AN811" s="1">
        <v>0</v>
      </c>
      <c r="AO811" s="1">
        <f t="shared" si="88"/>
        <v>1</v>
      </c>
    </row>
    <row r="812" spans="1:41" x14ac:dyDescent="0.4">
      <c r="A812" s="1">
        <v>1</v>
      </c>
      <c r="B812" s="1" t="s">
        <v>948</v>
      </c>
      <c r="C812" s="1" t="s">
        <v>41</v>
      </c>
      <c r="D812" s="2">
        <v>38898</v>
      </c>
      <c r="E812" s="1">
        <v>181</v>
      </c>
      <c r="F812" s="1">
        <v>1</v>
      </c>
      <c r="G812" s="3">
        <v>0.50149305555555557</v>
      </c>
      <c r="H812" s="3">
        <v>0.50203703703703706</v>
      </c>
      <c r="I812" s="3">
        <v>5.439814814814925E-4</v>
      </c>
      <c r="J812" s="3">
        <v>5.439814814814925E-4</v>
      </c>
      <c r="K812" s="5">
        <f t="shared" si="87"/>
        <v>47</v>
      </c>
      <c r="L812" s="3">
        <v>2.766203703703618E-3</v>
      </c>
      <c r="N812" s="1" t="s">
        <v>42</v>
      </c>
      <c r="O812" s="1" t="s">
        <v>286</v>
      </c>
      <c r="P812" s="1" t="s">
        <v>227</v>
      </c>
      <c r="Q812" s="1" t="s">
        <v>191</v>
      </c>
      <c r="S812" s="1" t="s">
        <v>46</v>
      </c>
      <c r="T812" s="1" t="s">
        <v>45</v>
      </c>
      <c r="U812" s="1" t="s">
        <v>66</v>
      </c>
      <c r="V812" s="1" t="s">
        <v>49</v>
      </c>
      <c r="W812" s="1" t="s">
        <v>140</v>
      </c>
      <c r="X812" s="1" t="s">
        <v>552</v>
      </c>
      <c r="Y812" s="1" t="s">
        <v>553</v>
      </c>
      <c r="Z812" s="1" t="s">
        <v>554</v>
      </c>
      <c r="AA812" s="1" t="s">
        <v>555</v>
      </c>
      <c r="AB812" s="1" t="s">
        <v>556</v>
      </c>
      <c r="AC812" s="1">
        <v>0</v>
      </c>
      <c r="AD812" s="1" t="s">
        <v>56</v>
      </c>
      <c r="AE812" s="1" t="s">
        <v>83</v>
      </c>
      <c r="AF812" s="1" t="s">
        <v>113</v>
      </c>
      <c r="AG812" s="1" t="s">
        <v>970</v>
      </c>
      <c r="AH812" s="1" t="s">
        <v>59</v>
      </c>
      <c r="AI812" s="1" t="s">
        <v>71</v>
      </c>
      <c r="AJ812" s="1" t="s">
        <v>147</v>
      </c>
      <c r="AK812" s="1" t="s">
        <v>116</v>
      </c>
      <c r="AL812" s="1" t="s">
        <v>117</v>
      </c>
      <c r="AM812" s="1">
        <v>1</v>
      </c>
      <c r="AN812" s="1">
        <v>0</v>
      </c>
      <c r="AO812" s="1">
        <f t="shared" si="88"/>
        <v>1</v>
      </c>
    </row>
    <row r="813" spans="1:41" x14ac:dyDescent="0.4">
      <c r="A813" s="1">
        <v>1</v>
      </c>
      <c r="B813" s="1" t="s">
        <v>948</v>
      </c>
      <c r="C813" s="1" t="s">
        <v>41</v>
      </c>
      <c r="D813" s="2">
        <v>38898</v>
      </c>
      <c r="E813" s="1">
        <v>181</v>
      </c>
      <c r="F813" s="1">
        <v>2</v>
      </c>
      <c r="G813" s="3">
        <v>0.50480324074074068</v>
      </c>
      <c r="H813" s="3">
        <v>0.51034722222222217</v>
      </c>
      <c r="I813" s="3">
        <v>5.5439814814814969E-3</v>
      </c>
      <c r="J813" s="3">
        <v>5.5439814814814969E-3</v>
      </c>
      <c r="K813" s="5">
        <f t="shared" si="87"/>
        <v>479</v>
      </c>
      <c r="L813" s="3" t="s">
        <v>120</v>
      </c>
      <c r="N813" s="1" t="s">
        <v>42</v>
      </c>
      <c r="O813" s="1" t="s">
        <v>286</v>
      </c>
      <c r="P813" s="1" t="s">
        <v>227</v>
      </c>
      <c r="Q813" s="1" t="s">
        <v>191</v>
      </c>
      <c r="S813" s="1" t="s">
        <v>46</v>
      </c>
      <c r="T813" s="1" t="s">
        <v>47</v>
      </c>
      <c r="V813" s="1" t="s">
        <v>49</v>
      </c>
      <c r="W813" s="1" t="s">
        <v>268</v>
      </c>
      <c r="X813" s="1" t="s">
        <v>971</v>
      </c>
      <c r="Y813" s="1" t="s">
        <v>126</v>
      </c>
      <c r="Z813" s="1" t="s">
        <v>127</v>
      </c>
      <c r="AA813" s="1" t="s">
        <v>576</v>
      </c>
      <c r="AB813" s="1" t="s">
        <v>577</v>
      </c>
      <c r="AC813" s="1">
        <v>0</v>
      </c>
      <c r="AD813" s="1" t="s">
        <v>56</v>
      </c>
      <c r="AE813" s="1" t="s">
        <v>181</v>
      </c>
      <c r="AF813" s="1" t="s">
        <v>113</v>
      </c>
      <c r="AG813" s="1" t="s">
        <v>972</v>
      </c>
      <c r="AH813" s="1" t="s">
        <v>165</v>
      </c>
      <c r="AK813" s="1" t="s">
        <v>86</v>
      </c>
      <c r="AL813" s="1" t="s">
        <v>133</v>
      </c>
      <c r="AM813" s="1">
        <v>10</v>
      </c>
      <c r="AN813" s="1">
        <v>0</v>
      </c>
      <c r="AO813" s="1">
        <f t="shared" si="88"/>
        <v>10</v>
      </c>
    </row>
    <row r="814" spans="1:41" x14ac:dyDescent="0.4">
      <c r="A814" s="1">
        <v>1</v>
      </c>
      <c r="B814" s="1" t="s">
        <v>948</v>
      </c>
      <c r="C814" s="1" t="s">
        <v>41</v>
      </c>
      <c r="D814" s="2">
        <v>38908</v>
      </c>
      <c r="E814" s="1">
        <v>191</v>
      </c>
      <c r="F814" s="1">
        <v>0.5</v>
      </c>
      <c r="G814" s="3">
        <v>0.64167824074074076</v>
      </c>
      <c r="H814" s="3">
        <v>0.64249999999999996</v>
      </c>
      <c r="I814" s="3">
        <v>8.2175925925920268E-4</v>
      </c>
      <c r="J814" s="3">
        <v>8.2175925925920268E-4</v>
      </c>
      <c r="K814" s="5">
        <f t="shared" si="87"/>
        <v>71</v>
      </c>
      <c r="L814" s="3">
        <v>3.067129629629628E-3</v>
      </c>
      <c r="N814" s="1" t="s">
        <v>42</v>
      </c>
      <c r="O814" s="1" t="s">
        <v>286</v>
      </c>
      <c r="P814" s="1" t="s">
        <v>227</v>
      </c>
      <c r="Q814" s="1" t="s">
        <v>76</v>
      </c>
      <c r="S814" s="1" t="s">
        <v>46</v>
      </c>
      <c r="T814" s="1" t="s">
        <v>47</v>
      </c>
      <c r="U814" s="1" t="s">
        <v>66</v>
      </c>
      <c r="V814" s="1" t="s">
        <v>49</v>
      </c>
      <c r="W814" s="1" t="s">
        <v>168</v>
      </c>
      <c r="X814" s="1" t="s">
        <v>121</v>
      </c>
      <c r="AB814" s="1" t="s">
        <v>258</v>
      </c>
      <c r="AC814" s="1">
        <v>0</v>
      </c>
      <c r="AE814" s="1" t="s">
        <v>70</v>
      </c>
      <c r="AI814" s="1" t="s">
        <v>71</v>
      </c>
      <c r="AK814" s="1" t="s">
        <v>86</v>
      </c>
      <c r="AL814" s="1" t="s">
        <v>87</v>
      </c>
      <c r="AN814" s="1">
        <v>1</v>
      </c>
      <c r="AO814" s="1">
        <f t="shared" si="88"/>
        <v>1</v>
      </c>
    </row>
    <row r="815" spans="1:41" x14ac:dyDescent="0.4">
      <c r="A815" s="1">
        <v>1</v>
      </c>
      <c r="B815" s="1" t="s">
        <v>948</v>
      </c>
      <c r="C815" s="1" t="s">
        <v>41</v>
      </c>
      <c r="D815" s="2">
        <v>38908</v>
      </c>
      <c r="E815" s="1">
        <v>191</v>
      </c>
      <c r="F815" s="1">
        <v>1</v>
      </c>
      <c r="G815" s="3">
        <v>0.64556712962962959</v>
      </c>
      <c r="H815" s="3">
        <v>0.64755787037037038</v>
      </c>
      <c r="I815" s="3">
        <v>1.9907407407407929E-3</v>
      </c>
      <c r="J815" s="3">
        <v>1.9907407407407929E-3</v>
      </c>
      <c r="K815" s="5">
        <f t="shared" si="87"/>
        <v>172</v>
      </c>
      <c r="L815" s="3">
        <v>8.9120370370365798E-4</v>
      </c>
      <c r="N815" s="1" t="s">
        <v>42</v>
      </c>
      <c r="O815" s="1" t="s">
        <v>286</v>
      </c>
      <c r="P815" s="1" t="s">
        <v>227</v>
      </c>
      <c r="Q815" s="1" t="s">
        <v>45</v>
      </c>
      <c r="S815" s="1" t="s">
        <v>46</v>
      </c>
      <c r="T815" s="1" t="s">
        <v>47</v>
      </c>
      <c r="V815" s="1" t="s">
        <v>49</v>
      </c>
      <c r="W815" s="1" t="s">
        <v>77</v>
      </c>
      <c r="X815" s="1" t="s">
        <v>538</v>
      </c>
      <c r="Y815" s="1" t="s">
        <v>276</v>
      </c>
      <c r="Z815" s="1" t="s">
        <v>277</v>
      </c>
      <c r="AA815" s="1">
        <v>1</v>
      </c>
      <c r="AB815" s="1" t="s">
        <v>539</v>
      </c>
      <c r="AC815" s="1">
        <v>0</v>
      </c>
      <c r="AD815" s="1" t="s">
        <v>56</v>
      </c>
      <c r="AE815" s="1" t="s">
        <v>181</v>
      </c>
      <c r="AF815" s="1" t="s">
        <v>153</v>
      </c>
      <c r="AG815" s="1" t="s">
        <v>973</v>
      </c>
      <c r="AH815" s="1" t="s">
        <v>115</v>
      </c>
      <c r="AK815" s="1" t="s">
        <v>116</v>
      </c>
      <c r="AL815" s="1" t="s">
        <v>117</v>
      </c>
      <c r="AM815" s="1">
        <v>2</v>
      </c>
      <c r="AN815" s="1">
        <v>0</v>
      </c>
      <c r="AO815" s="1">
        <f t="shared" si="88"/>
        <v>2</v>
      </c>
    </row>
    <row r="816" spans="1:41" x14ac:dyDescent="0.4">
      <c r="A816" s="1">
        <v>1</v>
      </c>
      <c r="B816" s="1" t="s">
        <v>948</v>
      </c>
      <c r="C816" s="1" t="s">
        <v>41</v>
      </c>
      <c r="D816" s="2">
        <v>38908</v>
      </c>
      <c r="E816" s="1">
        <v>191</v>
      </c>
      <c r="F816" s="1">
        <v>2</v>
      </c>
      <c r="G816" s="3">
        <v>0.64844907407407404</v>
      </c>
      <c r="H816" s="3">
        <v>0.65474537037037039</v>
      </c>
      <c r="I816" s="3">
        <v>6.2962962962963553E-3</v>
      </c>
      <c r="J816" s="3">
        <v>5.5555555555555358E-3</v>
      </c>
      <c r="K816" s="5">
        <f t="shared" si="87"/>
        <v>480</v>
      </c>
      <c r="L816" s="3">
        <v>2.7314814814813904E-3</v>
      </c>
      <c r="N816" s="1" t="s">
        <v>42</v>
      </c>
      <c r="O816" s="1" t="s">
        <v>286</v>
      </c>
      <c r="P816" s="1" t="s">
        <v>227</v>
      </c>
      <c r="Q816" s="1" t="s">
        <v>191</v>
      </c>
      <c r="S816" s="1" t="s">
        <v>46</v>
      </c>
      <c r="T816" s="1" t="s">
        <v>47</v>
      </c>
      <c r="U816" s="1" t="s">
        <v>156</v>
      </c>
      <c r="V816" s="1" t="s">
        <v>49</v>
      </c>
      <c r="W816" s="1" t="s">
        <v>77</v>
      </c>
      <c r="X816" s="1" t="s">
        <v>309</v>
      </c>
      <c r="Y816" s="1" t="s">
        <v>79</v>
      </c>
      <c r="Z816" s="1" t="s">
        <v>656</v>
      </c>
      <c r="AA816" s="1" t="s">
        <v>657</v>
      </c>
      <c r="AB816" s="1" t="s">
        <v>658</v>
      </c>
      <c r="AC816" s="1">
        <v>0</v>
      </c>
      <c r="AD816" s="1" t="s">
        <v>56</v>
      </c>
      <c r="AE816" s="1" t="s">
        <v>83</v>
      </c>
      <c r="AF816" s="1" t="s">
        <v>113</v>
      </c>
      <c r="AG816" s="1" t="s">
        <v>974</v>
      </c>
      <c r="AH816" s="1" t="s">
        <v>115</v>
      </c>
      <c r="AI816" s="1" t="s">
        <v>75</v>
      </c>
      <c r="AK816" s="1" t="s">
        <v>116</v>
      </c>
      <c r="AL816" s="1" t="s">
        <v>155</v>
      </c>
      <c r="AM816" s="1">
        <v>1</v>
      </c>
      <c r="AN816" s="1">
        <v>0</v>
      </c>
      <c r="AO816" s="1">
        <f t="shared" si="88"/>
        <v>1</v>
      </c>
    </row>
    <row r="817" spans="1:41" x14ac:dyDescent="0.4">
      <c r="A817" s="1">
        <v>1</v>
      </c>
      <c r="B817" s="1" t="s">
        <v>948</v>
      </c>
      <c r="C817" s="1" t="s">
        <v>41</v>
      </c>
      <c r="D817" s="2">
        <v>38908</v>
      </c>
      <c r="E817" s="1">
        <v>191</v>
      </c>
      <c r="F817" s="1">
        <v>3</v>
      </c>
      <c r="G817" s="3">
        <v>0.65747685185185178</v>
      </c>
      <c r="H817" s="3">
        <v>0.68444444444444441</v>
      </c>
      <c r="I817" s="3">
        <v>2.6967592592592626E-2</v>
      </c>
      <c r="J817" s="3">
        <v>2.6967592592592626E-2</v>
      </c>
      <c r="K817" s="5">
        <f t="shared" si="87"/>
        <v>2330</v>
      </c>
      <c r="L817" s="3">
        <v>9.7337962962963376E-3</v>
      </c>
      <c r="N817" s="1" t="s">
        <v>42</v>
      </c>
      <c r="O817" s="1" t="s">
        <v>286</v>
      </c>
      <c r="P817" s="1" t="s">
        <v>227</v>
      </c>
      <c r="Q817" s="1" t="s">
        <v>76</v>
      </c>
      <c r="S817" s="1" t="s">
        <v>46</v>
      </c>
      <c r="T817" s="1" t="s">
        <v>47</v>
      </c>
      <c r="U817" s="1" t="s">
        <v>156</v>
      </c>
      <c r="V817" s="1" t="s">
        <v>49</v>
      </c>
      <c r="W817" s="1" t="s">
        <v>268</v>
      </c>
      <c r="X817" s="1" t="s">
        <v>975</v>
      </c>
      <c r="Y817" s="1" t="s">
        <v>126</v>
      </c>
      <c r="Z817" s="1" t="s">
        <v>127</v>
      </c>
      <c r="AA817" s="1" t="s">
        <v>576</v>
      </c>
      <c r="AB817" s="1" t="s">
        <v>577</v>
      </c>
      <c r="AC817" s="1">
        <v>0</v>
      </c>
      <c r="AD817" s="1" t="s">
        <v>56</v>
      </c>
      <c r="AE817" s="1" t="s">
        <v>181</v>
      </c>
      <c r="AF817" s="1" t="s">
        <v>113</v>
      </c>
      <c r="AG817" s="1" t="s">
        <v>972</v>
      </c>
      <c r="AH817" s="1" t="s">
        <v>165</v>
      </c>
      <c r="AI817" s="1" t="s">
        <v>75</v>
      </c>
      <c r="AK817" s="1" t="s">
        <v>86</v>
      </c>
      <c r="AL817" s="1" t="s">
        <v>86</v>
      </c>
      <c r="AM817" s="1">
        <v>10</v>
      </c>
      <c r="AN817" s="1">
        <v>0</v>
      </c>
      <c r="AO817" s="1">
        <f t="shared" si="88"/>
        <v>10</v>
      </c>
    </row>
    <row r="818" spans="1:41" x14ac:dyDescent="0.4">
      <c r="A818" s="1">
        <v>1</v>
      </c>
      <c r="B818" s="1" t="s">
        <v>948</v>
      </c>
      <c r="C818" s="1" t="s">
        <v>41</v>
      </c>
      <c r="D818" s="2">
        <v>38908</v>
      </c>
      <c r="E818" s="1">
        <v>191</v>
      </c>
      <c r="F818" s="1">
        <v>5</v>
      </c>
      <c r="G818" s="3">
        <v>0.69417824074074075</v>
      </c>
      <c r="H818" s="3">
        <v>0.70090277777777776</v>
      </c>
      <c r="I818" s="3">
        <v>6.724537037037015E-3</v>
      </c>
      <c r="J818" s="3">
        <v>5.9143518518517402E-3</v>
      </c>
      <c r="K818" s="5">
        <f t="shared" si="87"/>
        <v>511</v>
      </c>
      <c r="L818" s="3" t="s">
        <v>120</v>
      </c>
      <c r="N818" s="1" t="s">
        <v>42</v>
      </c>
      <c r="O818" s="1" t="s">
        <v>286</v>
      </c>
      <c r="P818" s="1" t="s">
        <v>227</v>
      </c>
      <c r="Q818" s="1" t="s">
        <v>76</v>
      </c>
      <c r="S818" s="1" t="s">
        <v>46</v>
      </c>
      <c r="T818" s="1" t="s">
        <v>47</v>
      </c>
      <c r="U818" s="1" t="s">
        <v>156</v>
      </c>
      <c r="V818" s="1" t="s">
        <v>49</v>
      </c>
      <c r="W818" s="1" t="s">
        <v>77</v>
      </c>
      <c r="X818" s="1" t="s">
        <v>538</v>
      </c>
      <c r="Y818" s="1" t="s">
        <v>276</v>
      </c>
      <c r="Z818" s="1" t="s">
        <v>277</v>
      </c>
      <c r="AA818" s="1">
        <v>1</v>
      </c>
      <c r="AB818" s="1" t="s">
        <v>539</v>
      </c>
      <c r="AC818" s="1">
        <v>0</v>
      </c>
      <c r="AD818" s="1" t="s">
        <v>56</v>
      </c>
      <c r="AE818" s="1" t="s">
        <v>181</v>
      </c>
      <c r="AF818" s="1" t="s">
        <v>113</v>
      </c>
      <c r="AG818" s="1" t="s">
        <v>973</v>
      </c>
      <c r="AH818" s="1" t="s">
        <v>115</v>
      </c>
      <c r="AI818" s="1" t="s">
        <v>75</v>
      </c>
      <c r="AK818" s="1" t="s">
        <v>116</v>
      </c>
      <c r="AL818" s="1" t="s">
        <v>117</v>
      </c>
      <c r="AM818" s="1">
        <v>2</v>
      </c>
      <c r="AN818" s="1">
        <v>0</v>
      </c>
      <c r="AO818" s="1">
        <f t="shared" si="88"/>
        <v>2</v>
      </c>
    </row>
    <row r="819" spans="1:41" x14ac:dyDescent="0.4">
      <c r="A819" s="1">
        <v>1</v>
      </c>
      <c r="B819" s="1" t="s">
        <v>948</v>
      </c>
      <c r="C819" s="1" t="s">
        <v>41</v>
      </c>
      <c r="D819" s="2">
        <v>38909</v>
      </c>
      <c r="E819" s="1">
        <v>192</v>
      </c>
      <c r="F819" s="1">
        <v>0.5</v>
      </c>
      <c r="G819" s="3">
        <v>0.6350810185185185</v>
      </c>
      <c r="H819" s="3">
        <v>0.63513888888888892</v>
      </c>
      <c r="I819" s="3">
        <v>5.7870370370416424E-5</v>
      </c>
      <c r="J819" s="3">
        <v>5.7870370370416424E-5</v>
      </c>
      <c r="K819" s="5">
        <f t="shared" si="87"/>
        <v>5</v>
      </c>
      <c r="L819" s="3">
        <v>5.7986111111111294E-3</v>
      </c>
      <c r="N819" s="1" t="s">
        <v>42</v>
      </c>
      <c r="O819" s="1" t="s">
        <v>286</v>
      </c>
      <c r="P819" s="1" t="s">
        <v>227</v>
      </c>
      <c r="Q819" s="1" t="s">
        <v>45</v>
      </c>
      <c r="S819" s="1" t="s">
        <v>46</v>
      </c>
      <c r="T819" s="1" t="s">
        <v>47</v>
      </c>
      <c r="AB819" s="1" t="s">
        <v>93</v>
      </c>
      <c r="AC819" s="1">
        <v>1</v>
      </c>
      <c r="AK819" s="1" t="s">
        <v>61</v>
      </c>
      <c r="AL819" s="1" t="s">
        <v>61</v>
      </c>
      <c r="AN819" s="1">
        <v>1</v>
      </c>
      <c r="AO819" s="1">
        <f t="shared" si="88"/>
        <v>1</v>
      </c>
    </row>
    <row r="820" spans="1:41" x14ac:dyDescent="0.4">
      <c r="A820" s="1">
        <v>1</v>
      </c>
      <c r="B820" s="1" t="s">
        <v>948</v>
      </c>
      <c r="C820" s="1" t="s">
        <v>41</v>
      </c>
      <c r="D820" s="2">
        <v>38909</v>
      </c>
      <c r="E820" s="1">
        <v>192</v>
      </c>
      <c r="F820" s="1">
        <v>1</v>
      </c>
      <c r="G820" s="3">
        <v>0.64093750000000005</v>
      </c>
      <c r="H820" s="3">
        <v>0.66276620370370376</v>
      </c>
      <c r="I820" s="3">
        <v>2.1828703703703711E-2</v>
      </c>
      <c r="J820" s="3">
        <v>2.1828703703703711E-2</v>
      </c>
      <c r="K820" s="5">
        <f t="shared" si="87"/>
        <v>1886</v>
      </c>
      <c r="L820" s="3">
        <v>1.0243055555555491E-2</v>
      </c>
      <c r="N820" s="1" t="s">
        <v>42</v>
      </c>
      <c r="O820" s="1" t="s">
        <v>286</v>
      </c>
      <c r="P820" s="1" t="s">
        <v>227</v>
      </c>
      <c r="Q820" s="1" t="s">
        <v>76</v>
      </c>
      <c r="S820" s="1" t="s">
        <v>46</v>
      </c>
      <c r="T820" s="1" t="s">
        <v>47</v>
      </c>
      <c r="U820" s="1" t="s">
        <v>156</v>
      </c>
      <c r="V820" s="1" t="s">
        <v>49</v>
      </c>
      <c r="W820" s="1" t="s">
        <v>268</v>
      </c>
      <c r="X820" s="1" t="s">
        <v>975</v>
      </c>
      <c r="Y820" s="1" t="s">
        <v>126</v>
      </c>
      <c r="Z820" s="1" t="s">
        <v>127</v>
      </c>
      <c r="AA820" s="1" t="s">
        <v>576</v>
      </c>
      <c r="AB820" s="1" t="s">
        <v>577</v>
      </c>
      <c r="AC820" s="1">
        <v>0</v>
      </c>
      <c r="AD820" s="1" t="s">
        <v>56</v>
      </c>
      <c r="AE820" s="1" t="s">
        <v>181</v>
      </c>
      <c r="AF820" s="1" t="s">
        <v>113</v>
      </c>
      <c r="AG820" s="1" t="s">
        <v>972</v>
      </c>
      <c r="AH820" s="1" t="s">
        <v>165</v>
      </c>
      <c r="AI820" s="1" t="s">
        <v>75</v>
      </c>
      <c r="AK820" s="1" t="s">
        <v>86</v>
      </c>
      <c r="AL820" s="1" t="s">
        <v>86</v>
      </c>
      <c r="AM820" s="1">
        <v>10</v>
      </c>
      <c r="AN820" s="1">
        <v>0</v>
      </c>
      <c r="AO820" s="1">
        <f t="shared" si="88"/>
        <v>10</v>
      </c>
    </row>
    <row r="821" spans="1:41" x14ac:dyDescent="0.4">
      <c r="A821" s="1">
        <v>1</v>
      </c>
      <c r="B821" s="1" t="s">
        <v>948</v>
      </c>
      <c r="C821" s="1" t="s">
        <v>41</v>
      </c>
      <c r="D821" s="2">
        <v>38909</v>
      </c>
      <c r="E821" s="1">
        <v>192</v>
      </c>
      <c r="F821" s="1">
        <v>2</v>
      </c>
      <c r="G821" s="3">
        <v>0.67300925925925925</v>
      </c>
      <c r="H821" s="3">
        <v>0.67638888888888893</v>
      </c>
      <c r="I821" s="3">
        <v>3.3796296296296768E-3</v>
      </c>
      <c r="J821" s="3">
        <v>3.3796296296296768E-3</v>
      </c>
      <c r="K821" s="5">
        <f t="shared" si="87"/>
        <v>292</v>
      </c>
      <c r="L821" s="3">
        <v>6.5046296296294992E-3</v>
      </c>
      <c r="N821" s="1" t="s">
        <v>42</v>
      </c>
      <c r="O821" s="1" t="s">
        <v>286</v>
      </c>
      <c r="P821" s="1" t="s">
        <v>227</v>
      </c>
      <c r="Q821" s="1" t="s">
        <v>76</v>
      </c>
      <c r="S821" s="1" t="s">
        <v>46</v>
      </c>
      <c r="T821" s="1" t="s">
        <v>45</v>
      </c>
      <c r="U821" s="1" t="s">
        <v>66</v>
      </c>
      <c r="V821" s="1" t="s">
        <v>49</v>
      </c>
      <c r="W821" s="1" t="s">
        <v>77</v>
      </c>
      <c r="X821" s="1" t="s">
        <v>538</v>
      </c>
      <c r="Y821" s="1" t="s">
        <v>276</v>
      </c>
      <c r="Z821" s="1" t="s">
        <v>277</v>
      </c>
      <c r="AA821" s="1">
        <v>1</v>
      </c>
      <c r="AB821" s="1" t="s">
        <v>539</v>
      </c>
      <c r="AC821" s="1">
        <v>0</v>
      </c>
      <c r="AD821" s="1" t="s">
        <v>56</v>
      </c>
      <c r="AE821" s="1" t="s">
        <v>181</v>
      </c>
      <c r="AF821" s="1" t="s">
        <v>113</v>
      </c>
      <c r="AG821" s="1" t="s">
        <v>972</v>
      </c>
      <c r="AH821" s="1" t="s">
        <v>115</v>
      </c>
      <c r="AI821" s="1" t="s">
        <v>71</v>
      </c>
      <c r="AK821" s="1" t="s">
        <v>116</v>
      </c>
      <c r="AL821" s="1" t="s">
        <v>117</v>
      </c>
      <c r="AM821" s="1">
        <v>10</v>
      </c>
      <c r="AN821" s="1">
        <v>0</v>
      </c>
      <c r="AO821" s="1">
        <f t="shared" si="88"/>
        <v>10</v>
      </c>
    </row>
    <row r="822" spans="1:41" x14ac:dyDescent="0.4">
      <c r="A822" s="1">
        <v>1</v>
      </c>
      <c r="B822" s="1" t="s">
        <v>948</v>
      </c>
      <c r="C822" s="1" t="s">
        <v>41</v>
      </c>
      <c r="D822" s="2">
        <v>38909</v>
      </c>
      <c r="E822" s="1">
        <v>192</v>
      </c>
      <c r="F822" s="1">
        <v>3</v>
      </c>
      <c r="G822" s="3">
        <v>0.68289351851851843</v>
      </c>
      <c r="H822" s="3">
        <v>0.68520833333333331</v>
      </c>
      <c r="I822" s="3">
        <v>2.3148148148148806E-3</v>
      </c>
      <c r="J822" s="3">
        <v>2.3148148148148806E-3</v>
      </c>
      <c r="K822" s="5">
        <f t="shared" si="87"/>
        <v>200</v>
      </c>
      <c r="L822" s="3">
        <v>4.5949074074074225E-3</v>
      </c>
      <c r="N822" s="1" t="s">
        <v>42</v>
      </c>
      <c r="O822" s="1" t="s">
        <v>286</v>
      </c>
      <c r="P822" s="1" t="s">
        <v>227</v>
      </c>
      <c r="Q822" s="1" t="s">
        <v>76</v>
      </c>
      <c r="S822" s="1" t="s">
        <v>46</v>
      </c>
      <c r="T822" s="1" t="s">
        <v>124</v>
      </c>
      <c r="U822" s="1" t="s">
        <v>156</v>
      </c>
      <c r="V822" s="1" t="s">
        <v>102</v>
      </c>
      <c r="W822" s="1" t="s">
        <v>103</v>
      </c>
      <c r="X822" s="1" t="s">
        <v>96</v>
      </c>
      <c r="AB822" s="1" t="s">
        <v>104</v>
      </c>
      <c r="AC822" s="1">
        <v>0</v>
      </c>
      <c r="AD822" s="1" t="s">
        <v>105</v>
      </c>
      <c r="AE822" s="1" t="s">
        <v>70</v>
      </c>
      <c r="AF822" s="1" t="s">
        <v>113</v>
      </c>
      <c r="AG822" s="1" t="s">
        <v>976</v>
      </c>
      <c r="AH822" s="1" t="s">
        <v>157</v>
      </c>
      <c r="AI822" s="1" t="s">
        <v>75</v>
      </c>
      <c r="AK822" s="1" t="s">
        <v>116</v>
      </c>
      <c r="AL822" s="1" t="s">
        <v>117</v>
      </c>
      <c r="AM822" s="1">
        <v>2</v>
      </c>
      <c r="AN822" s="1">
        <v>0</v>
      </c>
      <c r="AO822" s="1">
        <f t="shared" si="88"/>
        <v>2</v>
      </c>
    </row>
    <row r="823" spans="1:41" x14ac:dyDescent="0.4">
      <c r="A823" s="1">
        <v>1</v>
      </c>
      <c r="B823" s="1" t="s">
        <v>948</v>
      </c>
      <c r="C823" s="1" t="s">
        <v>41</v>
      </c>
      <c r="D823" s="2">
        <v>38909</v>
      </c>
      <c r="E823" s="1">
        <v>192</v>
      </c>
      <c r="F823" s="1">
        <v>4</v>
      </c>
      <c r="G823" s="3">
        <v>0.68980324074074073</v>
      </c>
      <c r="H823" s="3">
        <v>0.6919791666666667</v>
      </c>
      <c r="I823" s="3">
        <v>2.17592592592597E-3</v>
      </c>
      <c r="J823" s="3">
        <v>2.17592592592597E-3</v>
      </c>
      <c r="K823" s="5">
        <f t="shared" si="87"/>
        <v>188</v>
      </c>
      <c r="L823" s="3">
        <v>5.5439814814814969E-3</v>
      </c>
      <c r="N823" s="1" t="s">
        <v>42</v>
      </c>
      <c r="O823" s="1" t="s">
        <v>286</v>
      </c>
      <c r="P823" s="1" t="s">
        <v>227</v>
      </c>
      <c r="Q823" s="1" t="s">
        <v>191</v>
      </c>
      <c r="S823" s="1" t="s">
        <v>46</v>
      </c>
      <c r="T823" s="1" t="s">
        <v>47</v>
      </c>
      <c r="U823" s="1" t="s">
        <v>66</v>
      </c>
      <c r="V823" s="1" t="s">
        <v>297</v>
      </c>
      <c r="W823" s="1" t="s">
        <v>977</v>
      </c>
      <c r="X823" s="1" t="s">
        <v>96</v>
      </c>
      <c r="Y823" s="1">
        <v>52</v>
      </c>
      <c r="AB823" s="1" t="s">
        <v>978</v>
      </c>
      <c r="AC823" s="1">
        <v>0</v>
      </c>
      <c r="AD823" s="1" t="s">
        <v>105</v>
      </c>
      <c r="AE823" s="1" t="s">
        <v>70</v>
      </c>
      <c r="AF823" s="1" t="s">
        <v>113</v>
      </c>
      <c r="AG823" s="1" t="s">
        <v>979</v>
      </c>
      <c r="AH823" s="1" t="s">
        <v>157</v>
      </c>
      <c r="AI823" s="1" t="s">
        <v>71</v>
      </c>
      <c r="AK823" s="1" t="s">
        <v>61</v>
      </c>
      <c r="AL823" s="1" t="s">
        <v>133</v>
      </c>
      <c r="AM823" s="1">
        <v>2</v>
      </c>
      <c r="AN823" s="1">
        <v>0</v>
      </c>
      <c r="AO823" s="1">
        <f t="shared" si="88"/>
        <v>2</v>
      </c>
    </row>
    <row r="824" spans="1:41" x14ac:dyDescent="0.4">
      <c r="A824" s="1">
        <v>1</v>
      </c>
      <c r="B824" s="1" t="s">
        <v>948</v>
      </c>
      <c r="C824" s="1" t="s">
        <v>41</v>
      </c>
      <c r="D824" s="2">
        <v>38909</v>
      </c>
      <c r="E824" s="1">
        <v>192</v>
      </c>
      <c r="F824" s="1">
        <v>5</v>
      </c>
      <c r="G824" s="3">
        <v>0.6975231481481482</v>
      </c>
      <c r="H824" s="3">
        <v>0.70155092592592594</v>
      </c>
      <c r="I824" s="3">
        <v>4.0277777777777413E-3</v>
      </c>
      <c r="J824" s="3">
        <v>2.7314814814813904E-3</v>
      </c>
      <c r="K824" s="5">
        <f t="shared" si="87"/>
        <v>236</v>
      </c>
      <c r="L824" s="3">
        <v>7.7546296296293615E-4</v>
      </c>
      <c r="N824" s="1" t="s">
        <v>42</v>
      </c>
      <c r="O824" s="1" t="s">
        <v>286</v>
      </c>
      <c r="P824" s="1" t="s">
        <v>227</v>
      </c>
      <c r="Q824" s="1" t="s">
        <v>76</v>
      </c>
      <c r="S824" s="1" t="s">
        <v>46</v>
      </c>
      <c r="T824" s="1" t="s">
        <v>47</v>
      </c>
      <c r="U824" s="1" t="s">
        <v>92</v>
      </c>
      <c r="V824" s="1" t="s">
        <v>102</v>
      </c>
      <c r="W824" s="1" t="s">
        <v>103</v>
      </c>
      <c r="X824" s="1" t="s">
        <v>96</v>
      </c>
      <c r="AB824" s="1" t="s">
        <v>104</v>
      </c>
      <c r="AC824" s="1">
        <v>0</v>
      </c>
      <c r="AD824" s="1" t="s">
        <v>105</v>
      </c>
      <c r="AE824" s="1" t="s">
        <v>70</v>
      </c>
      <c r="AF824" s="1" t="s">
        <v>113</v>
      </c>
      <c r="AG824" s="1" t="s">
        <v>980</v>
      </c>
      <c r="AH824" s="1" t="s">
        <v>157</v>
      </c>
      <c r="AI824" s="1" t="s">
        <v>75</v>
      </c>
      <c r="AK824" s="1" t="s">
        <v>116</v>
      </c>
      <c r="AL824" s="1" t="s">
        <v>117</v>
      </c>
      <c r="AM824" s="1">
        <v>1</v>
      </c>
      <c r="AN824" s="1">
        <v>0</v>
      </c>
      <c r="AO824" s="1">
        <f t="shared" si="88"/>
        <v>1</v>
      </c>
    </row>
    <row r="825" spans="1:41" x14ac:dyDescent="0.4">
      <c r="A825" s="1">
        <v>1</v>
      </c>
      <c r="B825" s="1" t="s">
        <v>948</v>
      </c>
      <c r="C825" s="1" t="s">
        <v>41</v>
      </c>
      <c r="D825" s="2">
        <v>38909</v>
      </c>
      <c r="E825" s="1">
        <v>192</v>
      </c>
      <c r="F825" s="1">
        <v>6</v>
      </c>
      <c r="G825" s="3">
        <v>0.70232638888888888</v>
      </c>
      <c r="H825" s="3">
        <v>0.70482638888888882</v>
      </c>
      <c r="I825" s="3">
        <v>2.4999999999999467E-3</v>
      </c>
      <c r="J825" s="3">
        <v>2.4999999999999467E-3</v>
      </c>
      <c r="K825" s="5">
        <f t="shared" si="87"/>
        <v>216</v>
      </c>
      <c r="L825" s="3" t="s">
        <v>120</v>
      </c>
      <c r="N825" s="1" t="s">
        <v>42</v>
      </c>
      <c r="O825" s="1" t="s">
        <v>286</v>
      </c>
      <c r="P825" s="1" t="s">
        <v>227</v>
      </c>
      <c r="Q825" s="1" t="s">
        <v>45</v>
      </c>
      <c r="S825" s="1" t="s">
        <v>46</v>
      </c>
      <c r="T825" s="1" t="s">
        <v>47</v>
      </c>
      <c r="U825" s="1" t="s">
        <v>156</v>
      </c>
      <c r="V825" s="1" t="s">
        <v>102</v>
      </c>
      <c r="W825" s="1" t="s">
        <v>184</v>
      </c>
      <c r="X825" s="1" t="s">
        <v>96</v>
      </c>
      <c r="AB825" s="1" t="s">
        <v>104</v>
      </c>
      <c r="AC825" s="1">
        <v>0</v>
      </c>
      <c r="AD825" s="1" t="s">
        <v>105</v>
      </c>
      <c r="AE825" s="1" t="s">
        <v>70</v>
      </c>
      <c r="AG825" s="1" t="s">
        <v>979</v>
      </c>
      <c r="AH825" s="1" t="s">
        <v>157</v>
      </c>
      <c r="AI825" s="1" t="s">
        <v>75</v>
      </c>
      <c r="AK825" s="1" t="s">
        <v>86</v>
      </c>
      <c r="AL825" s="1" t="s">
        <v>86</v>
      </c>
      <c r="AM825" s="1">
        <v>2</v>
      </c>
      <c r="AN825" s="1">
        <v>0</v>
      </c>
      <c r="AO825" s="1">
        <f t="shared" si="88"/>
        <v>2</v>
      </c>
    </row>
    <row r="826" spans="1:41" x14ac:dyDescent="0.4">
      <c r="A826" s="1">
        <v>1</v>
      </c>
      <c r="B826" s="1" t="s">
        <v>948</v>
      </c>
      <c r="C826" s="1" t="s">
        <v>41</v>
      </c>
      <c r="D826" s="2">
        <v>38910</v>
      </c>
      <c r="E826" s="1">
        <v>193</v>
      </c>
      <c r="F826" s="1">
        <v>0.5</v>
      </c>
      <c r="G826" s="3">
        <v>0.64432870370370365</v>
      </c>
      <c r="H826" s="3">
        <v>0.64511574074074074</v>
      </c>
      <c r="I826" s="3">
        <v>7.8703703703708605E-4</v>
      </c>
      <c r="J826" s="3">
        <v>8.1018518518605198E-5</v>
      </c>
      <c r="K826" s="5">
        <f t="shared" si="87"/>
        <v>7</v>
      </c>
      <c r="L826" s="3">
        <v>4.155092592592613E-3</v>
      </c>
      <c r="N826" s="1" t="s">
        <v>42</v>
      </c>
      <c r="O826" s="1" t="s">
        <v>286</v>
      </c>
      <c r="P826" s="1" t="s">
        <v>227</v>
      </c>
      <c r="Q826" s="1" t="s">
        <v>45</v>
      </c>
      <c r="S826" s="1" t="s">
        <v>46</v>
      </c>
      <c r="T826" s="1" t="s">
        <v>47</v>
      </c>
      <c r="U826" s="1" t="s">
        <v>92</v>
      </c>
      <c r="AB826" s="1" t="s">
        <v>93</v>
      </c>
      <c r="AC826" s="1">
        <v>1</v>
      </c>
      <c r="AI826" s="1" t="s">
        <v>75</v>
      </c>
      <c r="AK826" s="1" t="s">
        <v>86</v>
      </c>
      <c r="AL826" s="1" t="s">
        <v>187</v>
      </c>
      <c r="AN826" s="1">
        <v>1</v>
      </c>
      <c r="AO826" s="1">
        <f t="shared" si="88"/>
        <v>1</v>
      </c>
    </row>
    <row r="827" spans="1:41" x14ac:dyDescent="0.4">
      <c r="A827" s="1">
        <v>1</v>
      </c>
      <c r="B827" s="1" t="s">
        <v>948</v>
      </c>
      <c r="C827" s="1" t="s">
        <v>41</v>
      </c>
      <c r="D827" s="2">
        <v>38910</v>
      </c>
      <c r="E827" s="1">
        <v>193</v>
      </c>
      <c r="F827" s="1">
        <v>1</v>
      </c>
      <c r="G827" s="3">
        <v>0.64927083333333335</v>
      </c>
      <c r="H827" s="3">
        <v>0.66127314814814808</v>
      </c>
      <c r="I827" s="3">
        <v>1.200231481481473E-2</v>
      </c>
      <c r="J827" s="3">
        <v>8.703703703703547E-3</v>
      </c>
      <c r="K827" s="5">
        <f t="shared" si="87"/>
        <v>752</v>
      </c>
      <c r="L827" s="3">
        <v>2.2546296296296342E-2</v>
      </c>
      <c r="N827" s="1" t="s">
        <v>42</v>
      </c>
      <c r="O827" s="1" t="s">
        <v>286</v>
      </c>
      <c r="P827" s="1" t="s">
        <v>227</v>
      </c>
      <c r="Q827" s="1" t="s">
        <v>45</v>
      </c>
      <c r="S827" s="1" t="s">
        <v>46</v>
      </c>
      <c r="T827" s="1" t="s">
        <v>47</v>
      </c>
      <c r="V827" s="1" t="s">
        <v>49</v>
      </c>
      <c r="W827" s="1" t="s">
        <v>268</v>
      </c>
      <c r="X827" s="1" t="s">
        <v>975</v>
      </c>
      <c r="Y827" s="1" t="s">
        <v>126</v>
      </c>
      <c r="Z827" s="1" t="s">
        <v>127</v>
      </c>
      <c r="AA827" s="1" t="s">
        <v>576</v>
      </c>
      <c r="AB827" s="1" t="s">
        <v>577</v>
      </c>
      <c r="AC827" s="1">
        <v>0</v>
      </c>
      <c r="AD827" s="1" t="s">
        <v>56</v>
      </c>
      <c r="AE827" s="1" t="s">
        <v>181</v>
      </c>
      <c r="AF827" s="1" t="s">
        <v>113</v>
      </c>
      <c r="AG827" s="1" t="s">
        <v>981</v>
      </c>
      <c r="AH827" s="1" t="s">
        <v>165</v>
      </c>
      <c r="AK827" s="1" t="s">
        <v>86</v>
      </c>
      <c r="AL827" s="1" t="s">
        <v>86</v>
      </c>
      <c r="AM827" s="1">
        <v>3</v>
      </c>
      <c r="AN827" s="1">
        <v>0</v>
      </c>
      <c r="AO827" s="1">
        <f t="shared" si="88"/>
        <v>3</v>
      </c>
    </row>
    <row r="828" spans="1:41" x14ac:dyDescent="0.4">
      <c r="A828" s="1">
        <v>1</v>
      </c>
      <c r="B828" s="1" t="s">
        <v>948</v>
      </c>
      <c r="C828" s="1" t="s">
        <v>41</v>
      </c>
      <c r="D828" s="2">
        <v>38910</v>
      </c>
      <c r="E828" s="1">
        <v>193</v>
      </c>
      <c r="F828" s="1">
        <v>2</v>
      </c>
      <c r="G828" s="3">
        <v>0.68381944444444442</v>
      </c>
      <c r="H828" s="3">
        <v>0.68516203703703704</v>
      </c>
      <c r="I828" s="3">
        <v>1.3425925925926174E-3</v>
      </c>
      <c r="J828" s="3">
        <v>1.3425925925926174E-3</v>
      </c>
      <c r="K828" s="5">
        <f t="shared" si="87"/>
        <v>116</v>
      </c>
      <c r="L828" s="3">
        <v>9.5717592592592382E-3</v>
      </c>
      <c r="N828" s="1" t="s">
        <v>42</v>
      </c>
      <c r="O828" s="1" t="s">
        <v>286</v>
      </c>
      <c r="P828" s="1" t="s">
        <v>227</v>
      </c>
      <c r="Q828" s="1" t="s">
        <v>132</v>
      </c>
      <c r="S828" s="1" t="s">
        <v>46</v>
      </c>
      <c r="T828" s="1" t="s">
        <v>47</v>
      </c>
      <c r="U828" s="1" t="s">
        <v>66</v>
      </c>
      <c r="V828" s="1" t="s">
        <v>102</v>
      </c>
      <c r="W828" s="1" t="s">
        <v>103</v>
      </c>
      <c r="X828" s="1" t="s">
        <v>96</v>
      </c>
      <c r="AB828" s="1" t="s">
        <v>104</v>
      </c>
      <c r="AC828" s="1">
        <v>0</v>
      </c>
      <c r="AD828" s="1" t="s">
        <v>105</v>
      </c>
      <c r="AE828" s="1" t="s">
        <v>70</v>
      </c>
      <c r="AG828" s="1" t="s">
        <v>982</v>
      </c>
      <c r="AH828" s="1" t="s">
        <v>157</v>
      </c>
      <c r="AI828" s="1" t="s">
        <v>71</v>
      </c>
      <c r="AK828" s="1" t="s">
        <v>86</v>
      </c>
      <c r="AL828" s="1" t="s">
        <v>87</v>
      </c>
      <c r="AM828" s="1">
        <v>1</v>
      </c>
      <c r="AN828" s="1">
        <v>0</v>
      </c>
      <c r="AO828" s="1">
        <f t="shared" si="88"/>
        <v>1</v>
      </c>
    </row>
    <row r="829" spans="1:41" x14ac:dyDescent="0.4">
      <c r="A829" s="1">
        <v>1</v>
      </c>
      <c r="B829" s="1" t="s">
        <v>948</v>
      </c>
      <c r="C829" s="1" t="s">
        <v>41</v>
      </c>
      <c r="D829" s="2">
        <v>38910</v>
      </c>
      <c r="E829" s="1">
        <v>193</v>
      </c>
      <c r="F829" s="1">
        <v>3</v>
      </c>
      <c r="G829" s="3">
        <v>0.69473379629629628</v>
      </c>
      <c r="H829" s="3">
        <v>0.69656249999999997</v>
      </c>
      <c r="I829" s="3">
        <v>1.8287037037036935E-3</v>
      </c>
      <c r="J829" s="3">
        <v>1.8287037037036935E-3</v>
      </c>
      <c r="K829" s="5">
        <f t="shared" si="87"/>
        <v>158</v>
      </c>
      <c r="L829" s="3">
        <v>1.0185185185186407E-3</v>
      </c>
      <c r="N829" s="1" t="s">
        <v>42</v>
      </c>
      <c r="O829" s="1" t="s">
        <v>286</v>
      </c>
      <c r="P829" s="1" t="s">
        <v>227</v>
      </c>
      <c r="Q829" s="1" t="s">
        <v>76</v>
      </c>
      <c r="S829" s="1" t="s">
        <v>46</v>
      </c>
      <c r="T829" s="1" t="s">
        <v>47</v>
      </c>
      <c r="U829" s="1" t="s">
        <v>66</v>
      </c>
      <c r="V829" s="1" t="s">
        <v>49</v>
      </c>
      <c r="W829" s="1" t="s">
        <v>77</v>
      </c>
      <c r="X829" s="1" t="s">
        <v>538</v>
      </c>
      <c r="Y829" s="1" t="s">
        <v>276</v>
      </c>
      <c r="Z829" s="1" t="s">
        <v>277</v>
      </c>
      <c r="AA829" s="1">
        <v>1</v>
      </c>
      <c r="AB829" s="1" t="s">
        <v>539</v>
      </c>
      <c r="AC829" s="1">
        <v>0</v>
      </c>
      <c r="AD829" s="1" t="s">
        <v>56</v>
      </c>
      <c r="AE829" s="1" t="s">
        <v>181</v>
      </c>
      <c r="AF829" s="1" t="s">
        <v>84</v>
      </c>
      <c r="AG829" s="1" t="s">
        <v>983</v>
      </c>
      <c r="AH829" s="1" t="s">
        <v>115</v>
      </c>
      <c r="AI829" s="1" t="s">
        <v>71</v>
      </c>
      <c r="AK829" s="1" t="s">
        <v>86</v>
      </c>
      <c r="AL829" s="1" t="s">
        <v>86</v>
      </c>
      <c r="AM829" s="1">
        <v>1</v>
      </c>
      <c r="AN829" s="1">
        <v>0</v>
      </c>
      <c r="AO829" s="1">
        <f t="shared" si="88"/>
        <v>1</v>
      </c>
    </row>
    <row r="830" spans="1:41" x14ac:dyDescent="0.4">
      <c r="A830" s="1">
        <v>1</v>
      </c>
      <c r="B830" s="1" t="s">
        <v>948</v>
      </c>
      <c r="C830" s="1" t="s">
        <v>41</v>
      </c>
      <c r="D830" s="2">
        <v>38910</v>
      </c>
      <c r="E830" s="1">
        <v>193</v>
      </c>
      <c r="F830" s="1">
        <v>4</v>
      </c>
      <c r="G830" s="3">
        <v>0.69758101851851861</v>
      </c>
      <c r="H830" s="3">
        <v>0.69930555555555562</v>
      </c>
      <c r="I830" s="3">
        <v>1.7245370370370106E-3</v>
      </c>
      <c r="J830" s="3">
        <v>1.7245370370370106E-3</v>
      </c>
      <c r="K830" s="5">
        <f t="shared" si="87"/>
        <v>149</v>
      </c>
      <c r="L830" s="3" t="s">
        <v>120</v>
      </c>
      <c r="N830" s="1" t="s">
        <v>42</v>
      </c>
      <c r="O830" s="1" t="s">
        <v>286</v>
      </c>
      <c r="P830" s="1" t="s">
        <v>227</v>
      </c>
      <c r="Q830" s="1" t="s">
        <v>76</v>
      </c>
      <c r="S830" s="1" t="s">
        <v>46</v>
      </c>
      <c r="T830" s="1" t="s">
        <v>47</v>
      </c>
      <c r="U830" s="1" t="s">
        <v>66</v>
      </c>
      <c r="V830" s="1" t="s">
        <v>102</v>
      </c>
      <c r="W830" s="1" t="s">
        <v>231</v>
      </c>
      <c r="X830" s="1" t="s">
        <v>96</v>
      </c>
      <c r="AB830" s="1" t="s">
        <v>104</v>
      </c>
      <c r="AC830" s="1">
        <v>0</v>
      </c>
      <c r="AD830" s="1" t="s">
        <v>105</v>
      </c>
      <c r="AE830" s="1" t="s">
        <v>70</v>
      </c>
      <c r="AF830" s="1" t="s">
        <v>113</v>
      </c>
      <c r="AG830" s="1" t="s">
        <v>984</v>
      </c>
      <c r="AH830" s="1" t="s">
        <v>157</v>
      </c>
      <c r="AI830" s="1" t="s">
        <v>71</v>
      </c>
      <c r="AK830" s="1" t="s">
        <v>116</v>
      </c>
      <c r="AL830" s="1" t="s">
        <v>117</v>
      </c>
      <c r="AM830" s="1">
        <v>1</v>
      </c>
      <c r="AN830" s="1">
        <v>0</v>
      </c>
      <c r="AO830" s="1">
        <f t="shared" si="88"/>
        <v>1</v>
      </c>
    </row>
    <row r="831" spans="1:41" x14ac:dyDescent="0.4">
      <c r="A831" s="1">
        <v>1</v>
      </c>
      <c r="B831" s="1" t="s">
        <v>948</v>
      </c>
      <c r="C831" s="1" t="s">
        <v>41</v>
      </c>
      <c r="D831" s="2">
        <v>38932</v>
      </c>
      <c r="E831" s="1">
        <v>215</v>
      </c>
      <c r="F831" s="1">
        <v>1</v>
      </c>
      <c r="G831" s="3">
        <v>0.40354166666666669</v>
      </c>
      <c r="H831" s="3">
        <v>0.41981481481481481</v>
      </c>
      <c r="I831" s="3">
        <v>1.627314814814812E-2</v>
      </c>
      <c r="J831" s="3">
        <v>1.627314814814812E-2</v>
      </c>
      <c r="K831" s="5">
        <f t="shared" si="87"/>
        <v>1406</v>
      </c>
      <c r="L831" s="3">
        <v>8.340277777777777E-2</v>
      </c>
      <c r="N831" s="1" t="s">
        <v>42</v>
      </c>
      <c r="O831" s="1" t="s">
        <v>286</v>
      </c>
      <c r="P831" s="1" t="s">
        <v>227</v>
      </c>
      <c r="Q831" s="1" t="s">
        <v>76</v>
      </c>
      <c r="S831" s="1" t="s">
        <v>46</v>
      </c>
      <c r="T831" s="1" t="s">
        <v>124</v>
      </c>
      <c r="U831" s="1" t="s">
        <v>48</v>
      </c>
      <c r="V831" s="1" t="s">
        <v>49</v>
      </c>
      <c r="W831" s="1" t="s">
        <v>308</v>
      </c>
      <c r="X831" s="1" t="s">
        <v>405</v>
      </c>
      <c r="Y831" s="1" t="s">
        <v>126</v>
      </c>
      <c r="Z831" s="1" t="s">
        <v>127</v>
      </c>
      <c r="AA831" s="1" t="s">
        <v>576</v>
      </c>
      <c r="AB831" s="1" t="s">
        <v>577</v>
      </c>
      <c r="AC831" s="1">
        <v>0</v>
      </c>
      <c r="AD831" s="1" t="s">
        <v>56</v>
      </c>
      <c r="AE831" s="1" t="s">
        <v>181</v>
      </c>
      <c r="AF831" s="1" t="s">
        <v>113</v>
      </c>
      <c r="AG831" s="1" t="s">
        <v>972</v>
      </c>
      <c r="AH831" s="1" t="s">
        <v>59</v>
      </c>
      <c r="AI831" s="1" t="s">
        <v>60</v>
      </c>
      <c r="AK831" s="1" t="s">
        <v>116</v>
      </c>
      <c r="AL831" s="1" t="s">
        <v>117</v>
      </c>
      <c r="AM831" s="1">
        <v>10</v>
      </c>
      <c r="AN831" s="1">
        <v>0</v>
      </c>
      <c r="AO831" s="1">
        <f t="shared" si="88"/>
        <v>10</v>
      </c>
    </row>
    <row r="832" spans="1:41" x14ac:dyDescent="0.4">
      <c r="A832" s="1">
        <v>1</v>
      </c>
      <c r="B832" s="1" t="s">
        <v>948</v>
      </c>
      <c r="C832" s="1" t="s">
        <v>41</v>
      </c>
      <c r="D832" s="2">
        <v>38932</v>
      </c>
      <c r="E832" s="1">
        <v>215</v>
      </c>
      <c r="F832" s="1">
        <v>2</v>
      </c>
      <c r="G832" s="3">
        <v>0.50321759259259258</v>
      </c>
      <c r="H832" s="3">
        <v>0.50868055555555558</v>
      </c>
      <c r="I832" s="3">
        <v>5.4629629629630028E-3</v>
      </c>
      <c r="J832" s="3">
        <v>5.4629629629630028E-3</v>
      </c>
      <c r="K832" s="5">
        <f t="shared" si="87"/>
        <v>472</v>
      </c>
      <c r="L832" s="3" t="s">
        <v>120</v>
      </c>
      <c r="N832" s="1" t="s">
        <v>251</v>
      </c>
      <c r="O832" s="1" t="s">
        <v>286</v>
      </c>
      <c r="P832" s="1" t="s">
        <v>227</v>
      </c>
      <c r="Q832" s="1" t="s">
        <v>76</v>
      </c>
      <c r="S832" s="1" t="s">
        <v>46</v>
      </c>
      <c r="T832" s="1" t="s">
        <v>47</v>
      </c>
      <c r="U832" s="1" t="s">
        <v>156</v>
      </c>
      <c r="V832" s="1" t="s">
        <v>49</v>
      </c>
      <c r="W832" s="1" t="s">
        <v>308</v>
      </c>
      <c r="X832" s="1" t="s">
        <v>405</v>
      </c>
      <c r="Y832" s="1" t="s">
        <v>126</v>
      </c>
      <c r="Z832" s="1" t="s">
        <v>127</v>
      </c>
      <c r="AA832" s="1" t="s">
        <v>576</v>
      </c>
      <c r="AB832" s="1" t="s">
        <v>577</v>
      </c>
      <c r="AC832" s="1">
        <v>0</v>
      </c>
      <c r="AD832" s="1" t="s">
        <v>56</v>
      </c>
      <c r="AE832" s="1" t="s">
        <v>181</v>
      </c>
      <c r="AF832" s="1" t="s">
        <v>113</v>
      </c>
      <c r="AG832" s="1" t="s">
        <v>985</v>
      </c>
      <c r="AH832" s="1" t="s">
        <v>59</v>
      </c>
      <c r="AI832" s="1" t="s">
        <v>255</v>
      </c>
      <c r="AK832" s="1" t="s">
        <v>116</v>
      </c>
      <c r="AL832" s="1" t="s">
        <v>117</v>
      </c>
      <c r="AM832" s="1">
        <v>1</v>
      </c>
      <c r="AN832" s="1">
        <v>0</v>
      </c>
      <c r="AO832" s="1">
        <f t="shared" si="88"/>
        <v>1</v>
      </c>
    </row>
    <row r="833" spans="1:41" x14ac:dyDescent="0.4">
      <c r="A833" s="1">
        <v>1</v>
      </c>
      <c r="B833" s="1" t="s">
        <v>948</v>
      </c>
      <c r="C833" s="1" t="s">
        <v>41</v>
      </c>
      <c r="D833" s="2">
        <v>38944</v>
      </c>
      <c r="E833" s="1">
        <v>227</v>
      </c>
      <c r="F833" s="1">
        <v>0.5</v>
      </c>
      <c r="G833" s="3">
        <v>0.27356481481481482</v>
      </c>
      <c r="H833" s="3">
        <v>0.27357638888888891</v>
      </c>
      <c r="I833" s="3">
        <v>1.1574074074094387E-5</v>
      </c>
      <c r="J833" s="3">
        <v>1.1574074074094387E-5</v>
      </c>
      <c r="K833" s="5">
        <f t="shared" si="87"/>
        <v>1</v>
      </c>
      <c r="L833" s="3">
        <v>5.3252314814814794E-2</v>
      </c>
      <c r="N833" s="1" t="s">
        <v>75</v>
      </c>
      <c r="O833" s="1" t="s">
        <v>286</v>
      </c>
      <c r="P833" s="1" t="s">
        <v>44</v>
      </c>
      <c r="Q833" s="1" t="s">
        <v>45</v>
      </c>
      <c r="T833" s="1" t="s">
        <v>47</v>
      </c>
      <c r="U833" s="1" t="s">
        <v>92</v>
      </c>
      <c r="AB833" s="1" t="s">
        <v>93</v>
      </c>
      <c r="AC833" s="1">
        <v>1</v>
      </c>
      <c r="AI833" s="1" t="s">
        <v>75</v>
      </c>
      <c r="AK833" s="1" t="s">
        <v>86</v>
      </c>
      <c r="AL833" s="1" t="s">
        <v>133</v>
      </c>
      <c r="AN833" s="1">
        <v>1</v>
      </c>
      <c r="AO833" s="1">
        <f t="shared" si="88"/>
        <v>1</v>
      </c>
    </row>
    <row r="834" spans="1:41" x14ac:dyDescent="0.4">
      <c r="A834" s="1">
        <v>1</v>
      </c>
      <c r="B834" s="1" t="s">
        <v>948</v>
      </c>
      <c r="C834" s="1" t="s">
        <v>41</v>
      </c>
      <c r="D834" s="2">
        <v>38944</v>
      </c>
      <c r="E834" s="1">
        <v>227</v>
      </c>
      <c r="F834" s="1">
        <v>1</v>
      </c>
      <c r="G834" s="3">
        <v>0.3268287037037037</v>
      </c>
      <c r="H834" s="3">
        <v>0.32747685185185188</v>
      </c>
      <c r="I834" s="3">
        <v>6.4814814814817545E-4</v>
      </c>
      <c r="J834" s="3">
        <v>6.4814814814817545E-4</v>
      </c>
      <c r="K834" s="5">
        <f t="shared" ref="K834:K897" si="89">HOUR(J834)*60*60+MINUTE(J834)*60+SECOND(J834)</f>
        <v>56</v>
      </c>
      <c r="L834" s="3">
        <v>4.9999999999999989E-2</v>
      </c>
      <c r="N834" s="1" t="s">
        <v>75</v>
      </c>
      <c r="O834" s="1" t="s">
        <v>286</v>
      </c>
      <c r="P834" s="1" t="s">
        <v>44</v>
      </c>
      <c r="Q834" s="1" t="s">
        <v>76</v>
      </c>
      <c r="T834" s="1" t="s">
        <v>124</v>
      </c>
      <c r="U834" s="1" t="s">
        <v>66</v>
      </c>
      <c r="V834" s="1" t="s">
        <v>102</v>
      </c>
      <c r="W834" s="1" t="s">
        <v>103</v>
      </c>
      <c r="X834" s="1" t="s">
        <v>96</v>
      </c>
      <c r="AB834" s="1" t="s">
        <v>104</v>
      </c>
      <c r="AC834" s="1">
        <v>0</v>
      </c>
      <c r="AD834" s="1" t="s">
        <v>105</v>
      </c>
      <c r="AE834" s="1" t="s">
        <v>70</v>
      </c>
      <c r="AF834" s="1" t="s">
        <v>113</v>
      </c>
      <c r="AG834" s="1" t="s">
        <v>986</v>
      </c>
      <c r="AH834" s="1" t="s">
        <v>157</v>
      </c>
      <c r="AI834" s="1" t="s">
        <v>75</v>
      </c>
      <c r="AK834" s="1" t="s">
        <v>86</v>
      </c>
      <c r="AL834" s="1" t="s">
        <v>133</v>
      </c>
      <c r="AM834" s="1">
        <v>2</v>
      </c>
      <c r="AN834" s="1">
        <v>0</v>
      </c>
      <c r="AO834" s="1">
        <f t="shared" si="88"/>
        <v>2</v>
      </c>
    </row>
    <row r="835" spans="1:41" x14ac:dyDescent="0.4">
      <c r="A835" s="1">
        <v>1</v>
      </c>
      <c r="B835" s="1" t="s">
        <v>948</v>
      </c>
      <c r="C835" s="1" t="s">
        <v>41</v>
      </c>
      <c r="D835" s="2">
        <v>38944</v>
      </c>
      <c r="E835" s="1">
        <v>227</v>
      </c>
      <c r="F835" s="1">
        <v>2</v>
      </c>
      <c r="G835" s="3">
        <v>0.37747685185185187</v>
      </c>
      <c r="H835" s="3">
        <v>0.3805324074074074</v>
      </c>
      <c r="I835" s="3">
        <v>3.0555555555555336E-3</v>
      </c>
      <c r="J835" s="3">
        <v>2.5925925925925908E-3</v>
      </c>
      <c r="K835" s="5">
        <f t="shared" si="89"/>
        <v>224</v>
      </c>
      <c r="L835" s="3">
        <v>8.6111111111111249E-3</v>
      </c>
      <c r="N835" s="1" t="s">
        <v>251</v>
      </c>
      <c r="O835" s="1" t="s">
        <v>286</v>
      </c>
      <c r="P835" s="1" t="s">
        <v>44</v>
      </c>
      <c r="Q835" s="1" t="s">
        <v>76</v>
      </c>
      <c r="T835" s="1" t="s">
        <v>47</v>
      </c>
      <c r="U835" s="1" t="s">
        <v>66</v>
      </c>
      <c r="V835" s="1" t="s">
        <v>49</v>
      </c>
      <c r="W835" s="1" t="s">
        <v>308</v>
      </c>
      <c r="X835" s="1" t="s">
        <v>405</v>
      </c>
      <c r="Y835" s="1" t="s">
        <v>126</v>
      </c>
      <c r="Z835" s="1" t="s">
        <v>127</v>
      </c>
      <c r="AA835" s="1" t="s">
        <v>576</v>
      </c>
      <c r="AB835" s="1" t="s">
        <v>577</v>
      </c>
      <c r="AC835" s="1">
        <v>0</v>
      </c>
      <c r="AD835" s="1" t="s">
        <v>56</v>
      </c>
      <c r="AE835" s="1" t="s">
        <v>181</v>
      </c>
      <c r="AF835" s="1" t="s">
        <v>84</v>
      </c>
      <c r="AG835" s="1" t="s">
        <v>987</v>
      </c>
      <c r="AH835" s="1" t="s">
        <v>59</v>
      </c>
      <c r="AI835" s="1" t="s">
        <v>257</v>
      </c>
      <c r="AK835" s="1" t="s">
        <v>86</v>
      </c>
      <c r="AL835" s="1" t="s">
        <v>87</v>
      </c>
      <c r="AM835" s="1">
        <v>1</v>
      </c>
      <c r="AN835" s="1">
        <v>0</v>
      </c>
      <c r="AO835" s="1">
        <f t="shared" ref="AO835:AO898" si="90">SUM(AM835:AN835)</f>
        <v>1</v>
      </c>
    </row>
    <row r="836" spans="1:41" x14ac:dyDescent="0.4">
      <c r="A836" s="1">
        <v>1</v>
      </c>
      <c r="B836" s="1" t="s">
        <v>948</v>
      </c>
      <c r="C836" s="1" t="s">
        <v>41</v>
      </c>
      <c r="D836" s="2">
        <v>38944</v>
      </c>
      <c r="E836" s="1">
        <v>227</v>
      </c>
      <c r="F836" s="1">
        <v>3</v>
      </c>
      <c r="G836" s="3">
        <v>0.38914351851851853</v>
      </c>
      <c r="H836" s="3">
        <v>0.39975694444444443</v>
      </c>
      <c r="I836" s="3">
        <v>1.0613425925925901E-2</v>
      </c>
      <c r="J836" s="3">
        <v>1.0613425925925901E-2</v>
      </c>
      <c r="K836" s="5">
        <f t="shared" si="89"/>
        <v>917</v>
      </c>
      <c r="L836" s="3">
        <v>0.24245370370370367</v>
      </c>
      <c r="N836" s="1" t="s">
        <v>251</v>
      </c>
      <c r="O836" s="1" t="s">
        <v>286</v>
      </c>
      <c r="P836" s="1" t="s">
        <v>44</v>
      </c>
      <c r="Q836" s="1" t="s">
        <v>76</v>
      </c>
      <c r="T836" s="1" t="s">
        <v>47</v>
      </c>
      <c r="U836" s="1" t="s">
        <v>156</v>
      </c>
      <c r="V836" s="1" t="s">
        <v>49</v>
      </c>
      <c r="W836" s="1" t="s">
        <v>308</v>
      </c>
      <c r="X836" s="1" t="s">
        <v>405</v>
      </c>
      <c r="Y836" s="1" t="s">
        <v>126</v>
      </c>
      <c r="Z836" s="1" t="s">
        <v>127</v>
      </c>
      <c r="AA836" s="1" t="s">
        <v>576</v>
      </c>
      <c r="AB836" s="1" t="s">
        <v>577</v>
      </c>
      <c r="AC836" s="1">
        <v>0</v>
      </c>
      <c r="AD836" s="1" t="s">
        <v>56</v>
      </c>
      <c r="AE836" s="1" t="s">
        <v>181</v>
      </c>
      <c r="AF836" s="1" t="s">
        <v>84</v>
      </c>
      <c r="AG836" s="1" t="s">
        <v>972</v>
      </c>
      <c r="AH836" s="1" t="s">
        <v>59</v>
      </c>
      <c r="AI836" s="1" t="s">
        <v>255</v>
      </c>
      <c r="AK836" s="1" t="s">
        <v>86</v>
      </c>
      <c r="AL836" s="1" t="s">
        <v>187</v>
      </c>
      <c r="AM836" s="1">
        <v>10</v>
      </c>
      <c r="AN836" s="1">
        <v>0</v>
      </c>
      <c r="AO836" s="1">
        <f t="shared" si="90"/>
        <v>10</v>
      </c>
    </row>
    <row r="837" spans="1:41" x14ac:dyDescent="0.4">
      <c r="A837" s="1">
        <v>1</v>
      </c>
      <c r="B837" s="1" t="s">
        <v>948</v>
      </c>
      <c r="C837" s="1" t="s">
        <v>41</v>
      </c>
      <c r="D837" s="2">
        <v>38944</v>
      </c>
      <c r="E837" s="1">
        <v>227</v>
      </c>
      <c r="F837" s="1">
        <v>4</v>
      </c>
      <c r="G837" s="3">
        <v>0.6422106481481481</v>
      </c>
      <c r="H837" s="3">
        <v>0.64225694444444448</v>
      </c>
      <c r="I837" s="3">
        <v>4.6296296296377548E-5</v>
      </c>
      <c r="J837" s="3">
        <v>4.6296296296377548E-5</v>
      </c>
      <c r="K837" s="5">
        <f t="shared" si="89"/>
        <v>4</v>
      </c>
      <c r="L837" s="3" t="s">
        <v>120</v>
      </c>
      <c r="N837" s="1" t="s">
        <v>42</v>
      </c>
      <c r="O837" s="1" t="s">
        <v>286</v>
      </c>
      <c r="P837" s="1" t="s">
        <v>44</v>
      </c>
      <c r="Q837" s="1" t="s">
        <v>76</v>
      </c>
      <c r="S837" s="1" t="s">
        <v>46</v>
      </c>
      <c r="T837" s="1" t="s">
        <v>47</v>
      </c>
      <c r="U837" s="1" t="s">
        <v>156</v>
      </c>
      <c r="V837" s="1" t="s">
        <v>67</v>
      </c>
      <c r="W837" s="1" t="s">
        <v>68</v>
      </c>
      <c r="Y837" s="1" t="s">
        <v>68</v>
      </c>
      <c r="AB837" s="1" t="s">
        <v>69</v>
      </c>
      <c r="AC837" s="1">
        <v>0</v>
      </c>
      <c r="AD837" s="1" t="s">
        <v>68</v>
      </c>
      <c r="AE837" s="1" t="s">
        <v>70</v>
      </c>
      <c r="AI837" s="1" t="s">
        <v>75</v>
      </c>
      <c r="AK837" s="1" t="s">
        <v>86</v>
      </c>
      <c r="AL837" s="1" t="s">
        <v>133</v>
      </c>
      <c r="AN837" s="1">
        <v>1</v>
      </c>
      <c r="AO837" s="1">
        <f t="shared" si="90"/>
        <v>1</v>
      </c>
    </row>
    <row r="838" spans="1:41" x14ac:dyDescent="0.4">
      <c r="A838" s="1">
        <v>1</v>
      </c>
      <c r="B838" s="1" t="s">
        <v>948</v>
      </c>
      <c r="C838" s="1" t="s">
        <v>41</v>
      </c>
      <c r="D838" s="2">
        <v>38945</v>
      </c>
      <c r="E838" s="1">
        <v>228</v>
      </c>
      <c r="F838" s="1">
        <v>1</v>
      </c>
      <c r="G838" s="3">
        <v>0.2699537037037037</v>
      </c>
      <c r="H838" s="3">
        <v>0.27048611111111109</v>
      </c>
      <c r="I838" s="3">
        <v>5.3240740740739811E-4</v>
      </c>
      <c r="J838" s="3">
        <v>5.3240740740739811E-4</v>
      </c>
      <c r="K838" s="5">
        <f t="shared" si="89"/>
        <v>46</v>
      </c>
      <c r="L838" s="3">
        <v>5.6250000000000466E-3</v>
      </c>
      <c r="N838" s="1" t="s">
        <v>42</v>
      </c>
      <c r="O838" s="1" t="s">
        <v>286</v>
      </c>
      <c r="P838" s="1" t="s">
        <v>44</v>
      </c>
      <c r="Q838" s="1" t="s">
        <v>76</v>
      </c>
      <c r="T838" s="1" t="s">
        <v>47</v>
      </c>
      <c r="U838" s="1" t="s">
        <v>66</v>
      </c>
      <c r="V838" s="1" t="s">
        <v>49</v>
      </c>
      <c r="W838" s="1" t="s">
        <v>168</v>
      </c>
      <c r="X838" s="1" t="s">
        <v>96</v>
      </c>
      <c r="AB838" s="1" t="s">
        <v>258</v>
      </c>
      <c r="AC838" s="1">
        <v>0</v>
      </c>
      <c r="AD838" s="1" t="s">
        <v>105</v>
      </c>
      <c r="AE838" s="1" t="s">
        <v>70</v>
      </c>
      <c r="AG838" s="1" t="s">
        <v>960</v>
      </c>
      <c r="AH838" s="1" t="s">
        <v>157</v>
      </c>
      <c r="AI838" s="1" t="s">
        <v>122</v>
      </c>
      <c r="AJ838" s="1" t="s">
        <v>147</v>
      </c>
      <c r="AK838" s="1" t="s">
        <v>86</v>
      </c>
      <c r="AL838" s="1" t="s">
        <v>86</v>
      </c>
      <c r="AM838" s="1">
        <v>2</v>
      </c>
      <c r="AN838" s="1">
        <v>0</v>
      </c>
      <c r="AO838" s="1">
        <f t="shared" si="90"/>
        <v>2</v>
      </c>
    </row>
    <row r="839" spans="1:41" x14ac:dyDescent="0.4">
      <c r="A839" s="1">
        <v>1</v>
      </c>
      <c r="B839" s="1" t="s">
        <v>948</v>
      </c>
      <c r="C839" s="1" t="s">
        <v>41</v>
      </c>
      <c r="D839" s="2">
        <v>38945</v>
      </c>
      <c r="E839" s="1">
        <v>228</v>
      </c>
      <c r="F839" s="1">
        <v>2</v>
      </c>
      <c r="G839" s="3">
        <v>0.27611111111111114</v>
      </c>
      <c r="H839" s="3">
        <v>0.28181712962962963</v>
      </c>
      <c r="I839" s="3">
        <v>5.7060185185184853E-3</v>
      </c>
      <c r="J839" s="3">
        <v>5.7060185185184853E-3</v>
      </c>
      <c r="K839" s="5">
        <f t="shared" si="89"/>
        <v>493</v>
      </c>
      <c r="L839" s="3">
        <v>1.7534722222222243E-2</v>
      </c>
      <c r="N839" s="1" t="s">
        <v>42</v>
      </c>
      <c r="O839" s="1" t="s">
        <v>286</v>
      </c>
      <c r="P839" s="1" t="s">
        <v>44</v>
      </c>
      <c r="Q839" s="1" t="s">
        <v>76</v>
      </c>
      <c r="T839" s="1" t="s">
        <v>124</v>
      </c>
      <c r="U839" s="1" t="s">
        <v>156</v>
      </c>
      <c r="V839" s="1" t="s">
        <v>49</v>
      </c>
      <c r="W839" s="1" t="s">
        <v>308</v>
      </c>
      <c r="X839" s="1" t="s">
        <v>405</v>
      </c>
      <c r="Y839" s="1" t="s">
        <v>126</v>
      </c>
      <c r="Z839" s="1" t="s">
        <v>127</v>
      </c>
      <c r="AA839" s="1" t="s">
        <v>576</v>
      </c>
      <c r="AB839" s="1" t="s">
        <v>577</v>
      </c>
      <c r="AC839" s="1">
        <v>0</v>
      </c>
      <c r="AD839" s="1" t="s">
        <v>56</v>
      </c>
      <c r="AE839" s="1" t="s">
        <v>181</v>
      </c>
      <c r="AF839" s="1" t="s">
        <v>113</v>
      </c>
      <c r="AG839" s="1" t="s">
        <v>988</v>
      </c>
      <c r="AH839" s="1" t="s">
        <v>59</v>
      </c>
      <c r="AI839" s="1" t="s">
        <v>75</v>
      </c>
      <c r="AK839" s="1" t="s">
        <v>116</v>
      </c>
      <c r="AL839" s="1" t="s">
        <v>117</v>
      </c>
      <c r="AM839" s="1">
        <v>1</v>
      </c>
      <c r="AN839" s="1">
        <v>0</v>
      </c>
      <c r="AO839" s="1">
        <f t="shared" si="90"/>
        <v>1</v>
      </c>
    </row>
    <row r="840" spans="1:41" x14ac:dyDescent="0.4">
      <c r="A840" s="1">
        <v>1</v>
      </c>
      <c r="B840" s="1" t="s">
        <v>948</v>
      </c>
      <c r="C840" s="1" t="s">
        <v>41</v>
      </c>
      <c r="D840" s="2">
        <v>38945</v>
      </c>
      <c r="E840" s="1">
        <v>228</v>
      </c>
      <c r="F840" s="1">
        <v>3</v>
      </c>
      <c r="G840" s="3">
        <v>0.29935185185185187</v>
      </c>
      <c r="H840" s="3">
        <v>0.30037037037037034</v>
      </c>
      <c r="I840" s="3">
        <v>1.0185185185184742E-3</v>
      </c>
      <c r="J840" s="3">
        <v>1.0185185185184742E-3</v>
      </c>
      <c r="K840" s="5">
        <f t="shared" si="89"/>
        <v>88</v>
      </c>
      <c r="L840" s="3">
        <v>7.6388888888889728E-4</v>
      </c>
      <c r="N840" s="1" t="s">
        <v>42</v>
      </c>
      <c r="O840" s="1" t="s">
        <v>286</v>
      </c>
      <c r="P840" s="1" t="s">
        <v>44</v>
      </c>
      <c r="Q840" s="1" t="s">
        <v>76</v>
      </c>
      <c r="T840" s="1" t="s">
        <v>124</v>
      </c>
      <c r="U840" s="1" t="s">
        <v>156</v>
      </c>
      <c r="V840" s="1" t="s">
        <v>49</v>
      </c>
      <c r="W840" s="1" t="s">
        <v>168</v>
      </c>
      <c r="X840" s="1" t="s">
        <v>313</v>
      </c>
      <c r="AB840" s="1" t="s">
        <v>258</v>
      </c>
      <c r="AC840" s="1">
        <v>0</v>
      </c>
      <c r="AD840" s="1" t="s">
        <v>56</v>
      </c>
      <c r="AF840" s="1" t="s">
        <v>113</v>
      </c>
      <c r="AG840" s="1" t="s">
        <v>989</v>
      </c>
      <c r="AH840" s="1" t="s">
        <v>157</v>
      </c>
      <c r="AI840" s="1" t="s">
        <v>75</v>
      </c>
      <c r="AK840" s="1" t="s">
        <v>86</v>
      </c>
      <c r="AL840" s="1" t="s">
        <v>133</v>
      </c>
      <c r="AM840" s="1">
        <v>1</v>
      </c>
      <c r="AN840" s="1">
        <v>0</v>
      </c>
      <c r="AO840" s="1">
        <f t="shared" si="90"/>
        <v>1</v>
      </c>
    </row>
    <row r="841" spans="1:41" x14ac:dyDescent="0.4">
      <c r="A841" s="1">
        <v>1</v>
      </c>
      <c r="B841" s="1" t="s">
        <v>948</v>
      </c>
      <c r="C841" s="1" t="s">
        <v>41</v>
      </c>
      <c r="D841" s="2">
        <v>38945</v>
      </c>
      <c r="E841" s="1">
        <v>228</v>
      </c>
      <c r="F841" s="1">
        <v>4</v>
      </c>
      <c r="G841" s="3">
        <v>0.30113425925925924</v>
      </c>
      <c r="H841" s="3">
        <v>0.30939814814814814</v>
      </c>
      <c r="I841" s="3">
        <v>8.2638888888889039E-3</v>
      </c>
      <c r="J841" s="3">
        <v>8.2638888888889039E-3</v>
      </c>
      <c r="K841" s="5">
        <f t="shared" si="89"/>
        <v>714</v>
      </c>
      <c r="L841" s="3">
        <v>0.20833333333333337</v>
      </c>
      <c r="N841" s="1" t="s">
        <v>42</v>
      </c>
      <c r="O841" s="1" t="s">
        <v>286</v>
      </c>
      <c r="P841" s="1" t="s">
        <v>44</v>
      </c>
      <c r="Q841" s="1" t="s">
        <v>76</v>
      </c>
      <c r="T841" s="1" t="s">
        <v>124</v>
      </c>
      <c r="U841" s="1" t="s">
        <v>156</v>
      </c>
      <c r="V841" s="1" t="s">
        <v>49</v>
      </c>
      <c r="W841" s="1" t="s">
        <v>308</v>
      </c>
      <c r="X841" s="1" t="s">
        <v>405</v>
      </c>
      <c r="Y841" s="1" t="s">
        <v>126</v>
      </c>
      <c r="Z841" s="1" t="s">
        <v>127</v>
      </c>
      <c r="AA841" s="1" t="s">
        <v>576</v>
      </c>
      <c r="AB841" s="1" t="s">
        <v>577</v>
      </c>
      <c r="AC841" s="1">
        <v>0</v>
      </c>
      <c r="AD841" s="1" t="s">
        <v>56</v>
      </c>
      <c r="AE841" s="1" t="s">
        <v>181</v>
      </c>
      <c r="AF841" s="1" t="s">
        <v>84</v>
      </c>
      <c r="AG841" s="1" t="s">
        <v>972</v>
      </c>
      <c r="AH841" s="1" t="s">
        <v>59</v>
      </c>
      <c r="AI841" s="1" t="s">
        <v>75</v>
      </c>
      <c r="AK841" s="1" t="s">
        <v>116</v>
      </c>
      <c r="AL841" s="1" t="s">
        <v>117</v>
      </c>
      <c r="AM841" s="1">
        <v>10</v>
      </c>
      <c r="AN841" s="1">
        <v>0</v>
      </c>
      <c r="AO841" s="1">
        <f t="shared" si="90"/>
        <v>10</v>
      </c>
    </row>
    <row r="842" spans="1:41" x14ac:dyDescent="0.4">
      <c r="A842" s="1">
        <v>1</v>
      </c>
      <c r="B842" s="1" t="s">
        <v>948</v>
      </c>
      <c r="C842" s="1" t="s">
        <v>41</v>
      </c>
      <c r="D842" s="2">
        <v>38945</v>
      </c>
      <c r="E842" s="1">
        <v>228</v>
      </c>
      <c r="F842" s="1">
        <v>5</v>
      </c>
      <c r="G842" s="3">
        <v>0.51773148148148151</v>
      </c>
      <c r="H842" s="3">
        <v>0.52724537037037034</v>
      </c>
      <c r="I842" s="3">
        <v>9.5138888888888218E-3</v>
      </c>
      <c r="J842" s="3">
        <v>9.5138888888888218E-3</v>
      </c>
      <c r="K842" s="5">
        <f t="shared" si="89"/>
        <v>822</v>
      </c>
      <c r="L842" s="3">
        <v>2.0254629629630205E-3</v>
      </c>
      <c r="N842" s="1" t="s">
        <v>75</v>
      </c>
      <c r="O842" s="1" t="s">
        <v>286</v>
      </c>
      <c r="P842" s="1" t="s">
        <v>44</v>
      </c>
      <c r="Q842" s="1" t="s">
        <v>76</v>
      </c>
      <c r="T842" s="1" t="s">
        <v>47</v>
      </c>
      <c r="U842" s="1" t="s">
        <v>66</v>
      </c>
      <c r="V842" s="1" t="s">
        <v>49</v>
      </c>
      <c r="W842" s="1" t="s">
        <v>308</v>
      </c>
      <c r="X842" s="1" t="s">
        <v>405</v>
      </c>
      <c r="Y842" s="1" t="s">
        <v>126</v>
      </c>
      <c r="Z842" s="1" t="s">
        <v>127</v>
      </c>
      <c r="AA842" s="1" t="s">
        <v>576</v>
      </c>
      <c r="AB842" s="1" t="s">
        <v>577</v>
      </c>
      <c r="AC842" s="1">
        <v>0</v>
      </c>
      <c r="AD842" s="1" t="s">
        <v>56</v>
      </c>
      <c r="AE842" s="1" t="s">
        <v>181</v>
      </c>
      <c r="AF842" s="1" t="s">
        <v>153</v>
      </c>
      <c r="AG842" s="1" t="s">
        <v>990</v>
      </c>
      <c r="AH842" s="1" t="s">
        <v>59</v>
      </c>
      <c r="AI842" s="1" t="s">
        <v>75</v>
      </c>
      <c r="AK842" s="1" t="s">
        <v>116</v>
      </c>
      <c r="AL842" s="1" t="s">
        <v>117</v>
      </c>
      <c r="AM842" s="1">
        <v>4</v>
      </c>
      <c r="AN842" s="1">
        <v>0</v>
      </c>
      <c r="AO842" s="1">
        <f t="shared" si="90"/>
        <v>4</v>
      </c>
    </row>
    <row r="843" spans="1:41" x14ac:dyDescent="0.4">
      <c r="A843" s="1">
        <v>1</v>
      </c>
      <c r="B843" s="1" t="s">
        <v>948</v>
      </c>
      <c r="C843" s="1" t="s">
        <v>41</v>
      </c>
      <c r="D843" s="2">
        <v>38945</v>
      </c>
      <c r="E843" s="1">
        <v>228</v>
      </c>
      <c r="F843" s="1">
        <v>5.5</v>
      </c>
      <c r="G843" s="3">
        <v>0.52927083333333336</v>
      </c>
      <c r="H843" s="3">
        <v>0.52930555555555558</v>
      </c>
      <c r="I843" s="3">
        <v>3.472222222222765E-5</v>
      </c>
      <c r="J843" s="3">
        <v>3.472222222222765E-5</v>
      </c>
      <c r="K843" s="5">
        <f t="shared" si="89"/>
        <v>3</v>
      </c>
      <c r="L843" s="3">
        <v>4.4791666666665897E-3</v>
      </c>
      <c r="N843" s="1" t="s">
        <v>75</v>
      </c>
      <c r="O843" s="1" t="s">
        <v>286</v>
      </c>
      <c r="P843" s="1" t="s">
        <v>44</v>
      </c>
      <c r="Q843" s="1" t="s">
        <v>76</v>
      </c>
      <c r="T843" s="1" t="s">
        <v>47</v>
      </c>
      <c r="U843" s="1" t="s">
        <v>66</v>
      </c>
      <c r="AB843" s="1" t="s">
        <v>93</v>
      </c>
      <c r="AC843" s="1">
        <v>1</v>
      </c>
      <c r="AI843" s="1" t="s">
        <v>75</v>
      </c>
      <c r="AK843" s="1" t="s">
        <v>86</v>
      </c>
      <c r="AL843" s="1" t="s">
        <v>87</v>
      </c>
      <c r="AN843" s="1">
        <v>1</v>
      </c>
      <c r="AO843" s="1">
        <f t="shared" si="90"/>
        <v>1</v>
      </c>
    </row>
    <row r="844" spans="1:41" x14ac:dyDescent="0.4">
      <c r="A844" s="1">
        <v>1</v>
      </c>
      <c r="B844" s="1" t="s">
        <v>948</v>
      </c>
      <c r="C844" s="1" t="s">
        <v>41</v>
      </c>
      <c r="D844" s="2">
        <v>38945</v>
      </c>
      <c r="E844" s="1">
        <v>228</v>
      </c>
      <c r="F844" s="1">
        <v>6</v>
      </c>
      <c r="G844" s="3">
        <v>0.53378472222222217</v>
      </c>
      <c r="H844" s="3">
        <v>0.53609953703703705</v>
      </c>
      <c r="I844" s="3">
        <v>2.3148148148148806E-3</v>
      </c>
      <c r="J844" s="3">
        <v>2.3148148148148806E-3</v>
      </c>
      <c r="K844" s="5">
        <f t="shared" si="89"/>
        <v>200</v>
      </c>
      <c r="L844" s="3">
        <v>7.0659722222222276E-2</v>
      </c>
      <c r="N844" s="1" t="s">
        <v>75</v>
      </c>
      <c r="O844" s="1" t="s">
        <v>286</v>
      </c>
      <c r="P844" s="1" t="s">
        <v>44</v>
      </c>
      <c r="Q844" s="1" t="s">
        <v>76</v>
      </c>
      <c r="T844" s="1" t="s">
        <v>47</v>
      </c>
      <c r="U844" s="1" t="s">
        <v>66</v>
      </c>
      <c r="V844" s="1" t="s">
        <v>49</v>
      </c>
      <c r="W844" s="1" t="s">
        <v>308</v>
      </c>
      <c r="X844" s="1" t="s">
        <v>405</v>
      </c>
      <c r="Y844" s="1" t="s">
        <v>126</v>
      </c>
      <c r="Z844" s="1" t="s">
        <v>127</v>
      </c>
      <c r="AA844" s="1" t="s">
        <v>576</v>
      </c>
      <c r="AB844" s="1" t="s">
        <v>577</v>
      </c>
      <c r="AC844" s="1">
        <v>0</v>
      </c>
      <c r="AD844" s="1" t="s">
        <v>56</v>
      </c>
      <c r="AE844" s="1" t="s">
        <v>181</v>
      </c>
      <c r="AF844" s="1" t="s">
        <v>84</v>
      </c>
      <c r="AG844" s="1" t="s">
        <v>981</v>
      </c>
      <c r="AH844" s="1" t="s">
        <v>59</v>
      </c>
      <c r="AI844" s="1" t="s">
        <v>75</v>
      </c>
      <c r="AK844" s="1" t="s">
        <v>86</v>
      </c>
      <c r="AL844" s="1" t="s">
        <v>133</v>
      </c>
      <c r="AM844" s="1">
        <v>3</v>
      </c>
      <c r="AN844" s="1">
        <v>0</v>
      </c>
      <c r="AO844" s="1">
        <f t="shared" si="90"/>
        <v>3</v>
      </c>
    </row>
    <row r="845" spans="1:41" x14ac:dyDescent="0.4">
      <c r="A845" s="1">
        <v>1</v>
      </c>
      <c r="B845" s="1" t="s">
        <v>948</v>
      </c>
      <c r="C845" s="1" t="s">
        <v>41</v>
      </c>
      <c r="D845" s="2">
        <v>38945</v>
      </c>
      <c r="E845" s="1">
        <v>228</v>
      </c>
      <c r="F845" s="1">
        <v>8</v>
      </c>
      <c r="G845" s="3">
        <v>0.60675925925925933</v>
      </c>
      <c r="H845" s="3">
        <v>0.60752314814814812</v>
      </c>
      <c r="I845" s="3">
        <v>7.6388888888878625E-4</v>
      </c>
      <c r="J845" s="3">
        <v>7.6388888888878625E-4</v>
      </c>
      <c r="K845" s="5">
        <f t="shared" si="89"/>
        <v>66</v>
      </c>
      <c r="L845" s="3">
        <v>4.5648148148148215E-2</v>
      </c>
      <c r="N845" s="1" t="s">
        <v>42</v>
      </c>
      <c r="O845" s="1" t="s">
        <v>286</v>
      </c>
      <c r="P845" s="1" t="s">
        <v>44</v>
      </c>
      <c r="Q845" s="1" t="s">
        <v>191</v>
      </c>
      <c r="T845" s="1" t="s">
        <v>47</v>
      </c>
      <c r="U845" s="1" t="s">
        <v>156</v>
      </c>
      <c r="V845" s="1" t="s">
        <v>102</v>
      </c>
      <c r="W845" s="1" t="s">
        <v>103</v>
      </c>
      <c r="X845" s="1" t="s">
        <v>96</v>
      </c>
      <c r="AB845" s="1" t="s">
        <v>104</v>
      </c>
      <c r="AC845" s="1">
        <v>0</v>
      </c>
      <c r="AD845" s="1" t="s">
        <v>105</v>
      </c>
      <c r="AE845" s="1" t="s">
        <v>70</v>
      </c>
      <c r="AG845" s="1" t="s">
        <v>991</v>
      </c>
      <c r="AH845" s="1" t="s">
        <v>157</v>
      </c>
      <c r="AI845" s="1" t="s">
        <v>75</v>
      </c>
      <c r="AK845" s="1" t="s">
        <v>86</v>
      </c>
      <c r="AL845" s="1" t="s">
        <v>87</v>
      </c>
      <c r="AM845" s="1">
        <v>1</v>
      </c>
      <c r="AN845" s="1">
        <v>0</v>
      </c>
      <c r="AO845" s="1">
        <f t="shared" si="90"/>
        <v>1</v>
      </c>
    </row>
    <row r="846" spans="1:41" x14ac:dyDescent="0.4">
      <c r="A846" s="1">
        <v>1</v>
      </c>
      <c r="B846" s="1" t="s">
        <v>948</v>
      </c>
      <c r="C846" s="1" t="s">
        <v>41</v>
      </c>
      <c r="D846" s="2">
        <v>38945</v>
      </c>
      <c r="E846" s="1">
        <v>228</v>
      </c>
      <c r="F846" s="1">
        <v>9</v>
      </c>
      <c r="G846" s="3">
        <v>0.65317129629629633</v>
      </c>
      <c r="H846" s="3">
        <v>0.66476851851851848</v>
      </c>
      <c r="I846" s="3">
        <v>1.1597222222222148E-2</v>
      </c>
      <c r="J846" s="3">
        <v>1.4930555555554559E-3</v>
      </c>
      <c r="K846" s="5">
        <f t="shared" si="89"/>
        <v>129</v>
      </c>
      <c r="L846" s="3" t="s">
        <v>120</v>
      </c>
      <c r="N846" s="1" t="s">
        <v>75</v>
      </c>
      <c r="O846" s="1" t="s">
        <v>286</v>
      </c>
      <c r="P846" s="1" t="s">
        <v>44</v>
      </c>
      <c r="Q846" s="1" t="s">
        <v>76</v>
      </c>
      <c r="T846" s="1" t="s">
        <v>47</v>
      </c>
      <c r="U846" s="1" t="s">
        <v>66</v>
      </c>
      <c r="V846" s="1" t="s">
        <v>49</v>
      </c>
      <c r="W846" s="1" t="s">
        <v>308</v>
      </c>
      <c r="X846" s="1" t="s">
        <v>405</v>
      </c>
      <c r="Y846" s="1" t="s">
        <v>126</v>
      </c>
      <c r="Z846" s="1" t="s">
        <v>127</v>
      </c>
      <c r="AA846" s="1" t="s">
        <v>576</v>
      </c>
      <c r="AB846" s="1" t="s">
        <v>577</v>
      </c>
      <c r="AC846" s="1">
        <v>0</v>
      </c>
      <c r="AD846" s="1" t="s">
        <v>56</v>
      </c>
      <c r="AE846" s="1" t="s">
        <v>181</v>
      </c>
      <c r="AF846" s="1" t="s">
        <v>113</v>
      </c>
      <c r="AG846" s="1" t="s">
        <v>992</v>
      </c>
      <c r="AH846" s="1" t="s">
        <v>59</v>
      </c>
      <c r="AI846" s="1" t="s">
        <v>75</v>
      </c>
      <c r="AK846" s="1" t="s">
        <v>86</v>
      </c>
      <c r="AL846" s="1" t="s">
        <v>133</v>
      </c>
      <c r="AM846" s="1">
        <v>1</v>
      </c>
      <c r="AN846" s="1">
        <v>0</v>
      </c>
      <c r="AO846" s="1">
        <f t="shared" si="90"/>
        <v>1</v>
      </c>
    </row>
    <row r="847" spans="1:41" x14ac:dyDescent="0.4">
      <c r="A847" s="1">
        <v>1</v>
      </c>
      <c r="B847" s="1" t="s">
        <v>948</v>
      </c>
      <c r="C847" s="1" t="s">
        <v>41</v>
      </c>
      <c r="D847" s="2">
        <v>38958</v>
      </c>
      <c r="E847" s="1">
        <v>241</v>
      </c>
      <c r="F847" s="1">
        <v>1</v>
      </c>
      <c r="G847" s="3">
        <v>0.44481481481481483</v>
      </c>
      <c r="H847" s="3">
        <v>0.44756944444444446</v>
      </c>
      <c r="I847" s="3">
        <v>2.7546296296296346E-3</v>
      </c>
      <c r="J847" s="3">
        <v>2.7546296296296346E-3</v>
      </c>
      <c r="K847" s="5">
        <f t="shared" si="89"/>
        <v>238</v>
      </c>
      <c r="L847" s="3">
        <v>3.0624999999999958E-2</v>
      </c>
      <c r="N847" s="1" t="s">
        <v>75</v>
      </c>
      <c r="O847" s="1" t="s">
        <v>286</v>
      </c>
      <c r="P847" s="1" t="s">
        <v>44</v>
      </c>
      <c r="Q847" s="1" t="s">
        <v>76</v>
      </c>
      <c r="S847" s="1" t="s">
        <v>46</v>
      </c>
      <c r="T847" s="1" t="s">
        <v>47</v>
      </c>
      <c r="U847" s="1" t="s">
        <v>48</v>
      </c>
      <c r="V847" s="1" t="s">
        <v>49</v>
      </c>
      <c r="W847" s="1" t="s">
        <v>50</v>
      </c>
      <c r="X847" s="1" t="s">
        <v>405</v>
      </c>
      <c r="Y847" s="1" t="s">
        <v>406</v>
      </c>
      <c r="Z847" s="1" t="s">
        <v>407</v>
      </c>
      <c r="AA847" s="1" t="s">
        <v>408</v>
      </c>
      <c r="AB847" s="1" t="s">
        <v>409</v>
      </c>
      <c r="AC847" s="1">
        <v>0</v>
      </c>
      <c r="AD847" s="1" t="s">
        <v>105</v>
      </c>
      <c r="AE847" s="1" t="s">
        <v>181</v>
      </c>
      <c r="AF847" s="1" t="s">
        <v>113</v>
      </c>
      <c r="AG847" s="1" t="s">
        <v>993</v>
      </c>
      <c r="AH847" s="1" t="s">
        <v>59</v>
      </c>
      <c r="AI847" s="1" t="s">
        <v>75</v>
      </c>
      <c r="AK847" s="1" t="s">
        <v>116</v>
      </c>
      <c r="AL847" s="1" t="s">
        <v>117</v>
      </c>
      <c r="AM847" s="1">
        <v>1</v>
      </c>
      <c r="AN847" s="1">
        <v>0</v>
      </c>
      <c r="AO847" s="1">
        <f t="shared" si="90"/>
        <v>1</v>
      </c>
    </row>
    <row r="848" spans="1:41" x14ac:dyDescent="0.4">
      <c r="A848" s="1">
        <v>1</v>
      </c>
      <c r="B848" s="1" t="s">
        <v>948</v>
      </c>
      <c r="C848" s="1" t="s">
        <v>41</v>
      </c>
      <c r="D848" s="2">
        <v>38958</v>
      </c>
      <c r="E848" s="1">
        <v>241</v>
      </c>
      <c r="F848" s="1">
        <v>2</v>
      </c>
      <c r="G848" s="3">
        <v>0.47819444444444442</v>
      </c>
      <c r="H848" s="3">
        <v>0.47995370370370366</v>
      </c>
      <c r="I848" s="3">
        <v>1.7592592592592382E-3</v>
      </c>
      <c r="J848" s="3">
        <v>1.4351851851851505E-3</v>
      </c>
      <c r="K848" s="5">
        <f t="shared" si="89"/>
        <v>124</v>
      </c>
      <c r="L848" s="3">
        <v>0.1428240740740741</v>
      </c>
      <c r="N848" s="1" t="s">
        <v>75</v>
      </c>
      <c r="O848" s="1" t="s">
        <v>286</v>
      </c>
      <c r="P848" s="1" t="s">
        <v>44</v>
      </c>
      <c r="Q848" s="1" t="s">
        <v>76</v>
      </c>
      <c r="S848" s="1" t="s">
        <v>46</v>
      </c>
      <c r="T848" s="1" t="s">
        <v>47</v>
      </c>
      <c r="U848" s="1" t="s">
        <v>66</v>
      </c>
      <c r="V848" s="1" t="s">
        <v>49</v>
      </c>
      <c r="W848" s="1" t="s">
        <v>200</v>
      </c>
      <c r="X848" s="1" t="s">
        <v>567</v>
      </c>
      <c r="Y848" s="1" t="s">
        <v>126</v>
      </c>
      <c r="Z848" s="1" t="s">
        <v>202</v>
      </c>
      <c r="AA848" s="1" t="s">
        <v>397</v>
      </c>
      <c r="AB848" s="1" t="s">
        <v>398</v>
      </c>
      <c r="AC848" s="1">
        <v>0</v>
      </c>
      <c r="AD848" s="1" t="s">
        <v>56</v>
      </c>
      <c r="AE848" s="1" t="s">
        <v>83</v>
      </c>
      <c r="AG848" s="1" t="s">
        <v>961</v>
      </c>
      <c r="AH848" s="1" t="s">
        <v>206</v>
      </c>
      <c r="AI848" s="1" t="s">
        <v>75</v>
      </c>
      <c r="AK848" s="1" t="s">
        <v>86</v>
      </c>
      <c r="AL848" s="1" t="s">
        <v>87</v>
      </c>
      <c r="AM848" s="1">
        <v>3</v>
      </c>
      <c r="AN848" s="1">
        <v>0</v>
      </c>
      <c r="AO848" s="1">
        <f t="shared" si="90"/>
        <v>3</v>
      </c>
    </row>
    <row r="849" spans="1:41" x14ac:dyDescent="0.4">
      <c r="A849" s="1">
        <v>1</v>
      </c>
      <c r="B849" s="1" t="s">
        <v>948</v>
      </c>
      <c r="C849" s="1" t="s">
        <v>41</v>
      </c>
      <c r="D849" s="2">
        <v>38958</v>
      </c>
      <c r="E849" s="1">
        <v>241</v>
      </c>
      <c r="F849" s="1">
        <v>3</v>
      </c>
      <c r="G849" s="3">
        <v>0.62277777777777776</v>
      </c>
      <c r="H849" s="3">
        <v>0.62837962962962968</v>
      </c>
      <c r="I849" s="3">
        <v>5.6018518518519134E-3</v>
      </c>
      <c r="J849" s="3">
        <v>5.4745370370371527E-3</v>
      </c>
      <c r="K849" s="5">
        <f t="shared" si="89"/>
        <v>473</v>
      </c>
      <c r="L849" s="3">
        <v>6.1689814814813726E-3</v>
      </c>
      <c r="N849" s="1" t="s">
        <v>75</v>
      </c>
      <c r="O849" s="1" t="s">
        <v>286</v>
      </c>
      <c r="P849" s="1" t="s">
        <v>44</v>
      </c>
      <c r="Q849" s="1" t="s">
        <v>76</v>
      </c>
      <c r="S849" s="1" t="s">
        <v>46</v>
      </c>
      <c r="T849" s="1" t="s">
        <v>47</v>
      </c>
      <c r="U849" s="1" t="s">
        <v>66</v>
      </c>
      <c r="V849" s="1" t="s">
        <v>49</v>
      </c>
      <c r="W849" s="1" t="s">
        <v>77</v>
      </c>
      <c r="X849" s="1" t="s">
        <v>405</v>
      </c>
      <c r="Y849" s="1" t="s">
        <v>126</v>
      </c>
      <c r="Z849" s="1" t="s">
        <v>127</v>
      </c>
      <c r="AA849" s="1" t="s">
        <v>576</v>
      </c>
      <c r="AB849" s="1" t="s">
        <v>577</v>
      </c>
      <c r="AC849" s="1">
        <v>0</v>
      </c>
      <c r="AD849" s="1" t="s">
        <v>56</v>
      </c>
      <c r="AE849" s="1" t="s">
        <v>181</v>
      </c>
      <c r="AF849" s="1" t="s">
        <v>84</v>
      </c>
      <c r="AG849" s="1" t="s">
        <v>981</v>
      </c>
      <c r="AH849" s="1" t="s">
        <v>59</v>
      </c>
      <c r="AI849" s="1" t="s">
        <v>75</v>
      </c>
      <c r="AK849" s="1" t="s">
        <v>86</v>
      </c>
      <c r="AL849" s="1" t="s">
        <v>87</v>
      </c>
      <c r="AM849" s="1">
        <v>3</v>
      </c>
      <c r="AN849" s="1">
        <v>0</v>
      </c>
      <c r="AO849" s="1">
        <f t="shared" si="90"/>
        <v>3</v>
      </c>
    </row>
    <row r="850" spans="1:41" x14ac:dyDescent="0.4">
      <c r="A850" s="1">
        <v>1</v>
      </c>
      <c r="B850" s="1" t="s">
        <v>948</v>
      </c>
      <c r="C850" s="1" t="s">
        <v>41</v>
      </c>
      <c r="D850" s="2">
        <v>38958</v>
      </c>
      <c r="E850" s="1">
        <v>241</v>
      </c>
      <c r="F850" s="1">
        <v>4</v>
      </c>
      <c r="G850" s="3">
        <v>0.63454861111111105</v>
      </c>
      <c r="H850" s="3">
        <v>0.63635416666666667</v>
      </c>
      <c r="I850" s="3">
        <v>1.8055555555556158E-3</v>
      </c>
      <c r="J850" s="3">
        <v>1.8055555555556158E-3</v>
      </c>
      <c r="K850" s="5">
        <f t="shared" si="89"/>
        <v>156</v>
      </c>
      <c r="L850" s="3">
        <v>3.5000000000000031E-2</v>
      </c>
      <c r="N850" s="1" t="s">
        <v>75</v>
      </c>
      <c r="O850" s="1" t="s">
        <v>286</v>
      </c>
      <c r="P850" s="1" t="s">
        <v>44</v>
      </c>
      <c r="Q850" s="1" t="s">
        <v>45</v>
      </c>
      <c r="S850" s="1" t="s">
        <v>46</v>
      </c>
      <c r="T850" s="1" t="s">
        <v>124</v>
      </c>
      <c r="U850" s="1" t="s">
        <v>48</v>
      </c>
      <c r="V850" s="1" t="s">
        <v>49</v>
      </c>
      <c r="W850" s="1" t="s">
        <v>77</v>
      </c>
      <c r="X850" s="1" t="s">
        <v>405</v>
      </c>
      <c r="Y850" s="1" t="s">
        <v>126</v>
      </c>
      <c r="Z850" s="1" t="s">
        <v>127</v>
      </c>
      <c r="AA850" s="1" t="s">
        <v>576</v>
      </c>
      <c r="AB850" s="1" t="s">
        <v>577</v>
      </c>
      <c r="AC850" s="1">
        <v>0</v>
      </c>
      <c r="AD850" s="1" t="s">
        <v>56</v>
      </c>
      <c r="AE850" s="1" t="s">
        <v>181</v>
      </c>
      <c r="AF850" s="1" t="s">
        <v>113</v>
      </c>
      <c r="AG850" s="1" t="s">
        <v>990</v>
      </c>
      <c r="AH850" s="1" t="s">
        <v>59</v>
      </c>
      <c r="AI850" s="1" t="s">
        <v>75</v>
      </c>
      <c r="AK850" s="1" t="s">
        <v>61</v>
      </c>
      <c r="AL850" s="1" t="s">
        <v>133</v>
      </c>
      <c r="AM850" s="1">
        <v>4</v>
      </c>
      <c r="AN850" s="1">
        <v>0</v>
      </c>
      <c r="AO850" s="1">
        <f t="shared" si="90"/>
        <v>4</v>
      </c>
    </row>
    <row r="851" spans="1:41" x14ac:dyDescent="0.4">
      <c r="A851" s="1">
        <v>1</v>
      </c>
      <c r="B851" s="1" t="s">
        <v>948</v>
      </c>
      <c r="C851" s="1" t="s">
        <v>41</v>
      </c>
      <c r="D851" s="2">
        <v>38958</v>
      </c>
      <c r="E851" s="1">
        <v>241</v>
      </c>
      <c r="F851" s="1">
        <v>5</v>
      </c>
      <c r="G851" s="3">
        <v>0.6713541666666667</v>
      </c>
      <c r="H851" s="3">
        <v>0.67561342592592588</v>
      </c>
      <c r="I851" s="3">
        <v>4.2592592592591849E-3</v>
      </c>
      <c r="J851" s="3">
        <v>3.9699074074072138E-3</v>
      </c>
      <c r="K851" s="5">
        <f t="shared" si="89"/>
        <v>343</v>
      </c>
      <c r="L851" s="3">
        <v>2.2395833333333393E-2</v>
      </c>
      <c r="N851" s="1" t="s">
        <v>75</v>
      </c>
      <c r="O851" s="1" t="s">
        <v>286</v>
      </c>
      <c r="P851" s="1" t="s">
        <v>44</v>
      </c>
      <c r="Q851" s="1" t="s">
        <v>76</v>
      </c>
      <c r="S851" s="1" t="s">
        <v>46</v>
      </c>
      <c r="T851" s="1" t="s">
        <v>124</v>
      </c>
      <c r="U851" s="1" t="s">
        <v>48</v>
      </c>
      <c r="V851" s="1" t="s">
        <v>49</v>
      </c>
      <c r="W851" s="1" t="s">
        <v>77</v>
      </c>
      <c r="X851" s="1" t="s">
        <v>405</v>
      </c>
      <c r="Y851" s="1" t="s">
        <v>126</v>
      </c>
      <c r="Z851" s="1" t="s">
        <v>127</v>
      </c>
      <c r="AA851" s="1" t="s">
        <v>576</v>
      </c>
      <c r="AB851" s="1" t="s">
        <v>577</v>
      </c>
      <c r="AC851" s="1">
        <v>0</v>
      </c>
      <c r="AD851" s="1" t="s">
        <v>56</v>
      </c>
      <c r="AE851" s="1" t="s">
        <v>181</v>
      </c>
      <c r="AF851" s="1" t="s">
        <v>113</v>
      </c>
      <c r="AG851" s="1" t="s">
        <v>990</v>
      </c>
      <c r="AH851" s="1" t="s">
        <v>59</v>
      </c>
      <c r="AI851" s="1" t="s">
        <v>75</v>
      </c>
      <c r="AK851" s="1" t="s">
        <v>116</v>
      </c>
      <c r="AL851" s="1" t="s">
        <v>117</v>
      </c>
      <c r="AM851" s="1">
        <v>4</v>
      </c>
      <c r="AN851" s="1">
        <v>0</v>
      </c>
      <c r="AO851" s="1">
        <f t="shared" si="90"/>
        <v>4</v>
      </c>
    </row>
    <row r="852" spans="1:41" x14ac:dyDescent="0.4">
      <c r="A852" s="1">
        <v>1</v>
      </c>
      <c r="B852" s="1" t="s">
        <v>948</v>
      </c>
      <c r="C852" s="1" t="s">
        <v>41</v>
      </c>
      <c r="D852" s="2">
        <v>38958</v>
      </c>
      <c r="E852" s="1">
        <v>241</v>
      </c>
      <c r="F852" s="1">
        <v>6</v>
      </c>
      <c r="G852" s="3">
        <v>0.69800925925925927</v>
      </c>
      <c r="H852" s="3">
        <v>0.70082175925925927</v>
      </c>
      <c r="I852" s="3">
        <v>2.8124999999999956E-3</v>
      </c>
      <c r="J852" s="3">
        <v>2.8124999999999956E-3</v>
      </c>
      <c r="K852" s="5">
        <f t="shared" si="89"/>
        <v>243</v>
      </c>
      <c r="L852" s="3" t="s">
        <v>120</v>
      </c>
      <c r="N852" s="1" t="s">
        <v>75</v>
      </c>
      <c r="O852" s="1" t="s">
        <v>286</v>
      </c>
      <c r="P852" s="1" t="s">
        <v>44</v>
      </c>
      <c r="Q852" s="1" t="s">
        <v>76</v>
      </c>
      <c r="S852" s="1" t="s">
        <v>46</v>
      </c>
      <c r="T852" s="1" t="s">
        <v>124</v>
      </c>
      <c r="U852" s="1" t="s">
        <v>48</v>
      </c>
      <c r="V852" s="1" t="s">
        <v>49</v>
      </c>
      <c r="W852" s="1" t="s">
        <v>77</v>
      </c>
      <c r="X852" s="1" t="s">
        <v>405</v>
      </c>
      <c r="Y852" s="1" t="s">
        <v>126</v>
      </c>
      <c r="Z852" s="1" t="s">
        <v>127</v>
      </c>
      <c r="AA852" s="1" t="s">
        <v>576</v>
      </c>
      <c r="AB852" s="1" t="s">
        <v>577</v>
      </c>
      <c r="AC852" s="1">
        <v>0</v>
      </c>
      <c r="AD852" s="1" t="s">
        <v>56</v>
      </c>
      <c r="AE852" s="1" t="s">
        <v>181</v>
      </c>
      <c r="AF852" s="1" t="s">
        <v>113</v>
      </c>
      <c r="AG852" s="1" t="s">
        <v>990</v>
      </c>
      <c r="AH852" s="1" t="s">
        <v>59</v>
      </c>
      <c r="AI852" s="1" t="s">
        <v>75</v>
      </c>
      <c r="AK852" s="1" t="s">
        <v>116</v>
      </c>
      <c r="AL852" s="1" t="s">
        <v>717</v>
      </c>
      <c r="AM852" s="1">
        <v>4</v>
      </c>
      <c r="AN852" s="1">
        <v>0</v>
      </c>
      <c r="AO852" s="1">
        <f t="shared" si="90"/>
        <v>4</v>
      </c>
    </row>
    <row r="853" spans="1:41" x14ac:dyDescent="0.4">
      <c r="A853" s="1">
        <v>1</v>
      </c>
      <c r="B853" s="1" t="s">
        <v>948</v>
      </c>
      <c r="C853" s="1" t="s">
        <v>41</v>
      </c>
      <c r="D853" s="2">
        <v>38960</v>
      </c>
      <c r="E853" s="1">
        <v>243</v>
      </c>
      <c r="F853" s="1">
        <v>1</v>
      </c>
      <c r="G853" s="3">
        <v>0.33152777777777781</v>
      </c>
      <c r="H853" s="3">
        <v>0.34384259259259259</v>
      </c>
      <c r="I853" s="3">
        <v>1.2314814814814778E-2</v>
      </c>
      <c r="J853" s="3">
        <v>1.1851851851851836E-2</v>
      </c>
      <c r="K853" s="5">
        <f t="shared" si="89"/>
        <v>1024</v>
      </c>
      <c r="L853" s="3">
        <v>0.13766203703703705</v>
      </c>
      <c r="N853" s="1" t="s">
        <v>42</v>
      </c>
      <c r="O853" s="1" t="s">
        <v>286</v>
      </c>
      <c r="P853" s="1" t="s">
        <v>44</v>
      </c>
      <c r="Q853" s="1" t="s">
        <v>45</v>
      </c>
      <c r="S853" s="1" t="s">
        <v>46</v>
      </c>
      <c r="T853" s="1" t="s">
        <v>124</v>
      </c>
      <c r="U853" s="1" t="s">
        <v>156</v>
      </c>
      <c r="V853" s="1" t="s">
        <v>49</v>
      </c>
      <c r="W853" s="1" t="s">
        <v>77</v>
      </c>
      <c r="X853" s="1" t="s">
        <v>375</v>
      </c>
      <c r="Y853" s="1" t="s">
        <v>376</v>
      </c>
      <c r="Z853" s="1">
        <v>2</v>
      </c>
      <c r="AB853" s="1" t="s">
        <v>377</v>
      </c>
      <c r="AC853" s="1">
        <v>0</v>
      </c>
      <c r="AD853" s="1" t="s">
        <v>56</v>
      </c>
      <c r="AE853" s="1" t="s">
        <v>83</v>
      </c>
      <c r="AF853" s="1" t="s">
        <v>84</v>
      </c>
      <c r="AG853" s="1" t="s">
        <v>994</v>
      </c>
      <c r="AH853" s="1" t="s">
        <v>59</v>
      </c>
      <c r="AI853" s="1" t="s">
        <v>75</v>
      </c>
      <c r="AK853" s="1" t="s">
        <v>86</v>
      </c>
      <c r="AL853" s="1" t="s">
        <v>87</v>
      </c>
      <c r="AM853" s="1">
        <v>2</v>
      </c>
      <c r="AN853" s="1">
        <v>0</v>
      </c>
      <c r="AO853" s="1">
        <f t="shared" si="90"/>
        <v>2</v>
      </c>
    </row>
    <row r="854" spans="1:41" x14ac:dyDescent="0.4">
      <c r="A854" s="1">
        <v>1</v>
      </c>
      <c r="B854" s="1" t="s">
        <v>948</v>
      </c>
      <c r="C854" s="1" t="s">
        <v>41</v>
      </c>
      <c r="D854" s="2">
        <v>38960</v>
      </c>
      <c r="E854" s="1">
        <v>243</v>
      </c>
      <c r="F854" s="1">
        <v>1.5</v>
      </c>
      <c r="G854" s="3">
        <v>0.48150462962962964</v>
      </c>
      <c r="H854" s="3">
        <v>0.48162037037037037</v>
      </c>
      <c r="I854" s="3">
        <v>1.1574074074072183E-4</v>
      </c>
      <c r="J854" s="3">
        <v>1.1574074074072183E-4</v>
      </c>
      <c r="K854" s="5">
        <f t="shared" si="89"/>
        <v>10</v>
      </c>
      <c r="L854" s="3">
        <v>0.12700231481481478</v>
      </c>
      <c r="N854" s="1" t="s">
        <v>42</v>
      </c>
      <c r="O854" s="1" t="s">
        <v>286</v>
      </c>
      <c r="P854" s="1" t="s">
        <v>44</v>
      </c>
      <c r="Q854" s="1" t="s">
        <v>76</v>
      </c>
      <c r="S854" s="1" t="s">
        <v>46</v>
      </c>
      <c r="T854" s="1" t="s">
        <v>45</v>
      </c>
      <c r="U854" s="1" t="s">
        <v>66</v>
      </c>
      <c r="AB854" s="1" t="s">
        <v>93</v>
      </c>
      <c r="AC854" s="1">
        <v>1</v>
      </c>
      <c r="AG854" s="1" t="s">
        <v>995</v>
      </c>
      <c r="AI854" s="1" t="s">
        <v>71</v>
      </c>
      <c r="AK854" s="1" t="s">
        <v>86</v>
      </c>
      <c r="AL854" s="1" t="s">
        <v>187</v>
      </c>
      <c r="AM854" s="1">
        <v>1</v>
      </c>
      <c r="AN854" s="1">
        <v>0</v>
      </c>
      <c r="AO854" s="1">
        <f t="shared" si="90"/>
        <v>1</v>
      </c>
    </row>
    <row r="855" spans="1:41" x14ac:dyDescent="0.4">
      <c r="A855" s="1">
        <v>1</v>
      </c>
      <c r="B855" s="1" t="s">
        <v>948</v>
      </c>
      <c r="C855" s="1" t="s">
        <v>41</v>
      </c>
      <c r="D855" s="2">
        <v>38960</v>
      </c>
      <c r="E855" s="1">
        <v>243</v>
      </c>
      <c r="F855" s="1">
        <v>3</v>
      </c>
      <c r="G855" s="3">
        <v>0.60862268518518514</v>
      </c>
      <c r="H855" s="3">
        <v>0.60887731481481489</v>
      </c>
      <c r="I855" s="3">
        <v>2.5462962962974345E-4</v>
      </c>
      <c r="J855" s="3">
        <v>2.5462962962974345E-4</v>
      </c>
      <c r="K855" s="5">
        <f t="shared" si="89"/>
        <v>22</v>
      </c>
      <c r="L855" s="3">
        <v>4.6180555555555447E-2</v>
      </c>
      <c r="N855" s="1" t="s">
        <v>42</v>
      </c>
      <c r="O855" s="1" t="s">
        <v>286</v>
      </c>
      <c r="P855" s="1" t="s">
        <v>44</v>
      </c>
      <c r="Q855" s="1" t="s">
        <v>76</v>
      </c>
      <c r="S855" s="1" t="s">
        <v>46</v>
      </c>
      <c r="T855" s="1" t="s">
        <v>47</v>
      </c>
      <c r="U855" s="1" t="s">
        <v>92</v>
      </c>
      <c r="V855" s="1" t="s">
        <v>102</v>
      </c>
      <c r="W855" s="1" t="s">
        <v>231</v>
      </c>
      <c r="X855" s="1" t="s">
        <v>96</v>
      </c>
      <c r="AB855" s="1" t="s">
        <v>104</v>
      </c>
      <c r="AC855" s="1">
        <v>0</v>
      </c>
      <c r="AD855" s="1" t="s">
        <v>105</v>
      </c>
      <c r="AE855" s="1" t="s">
        <v>70</v>
      </c>
      <c r="AF855" s="1" t="s">
        <v>113</v>
      </c>
      <c r="AG855" s="1" t="s">
        <v>996</v>
      </c>
      <c r="AH855" s="1" t="s">
        <v>157</v>
      </c>
      <c r="AI855" s="1" t="s">
        <v>75</v>
      </c>
      <c r="AK855" s="1" t="s">
        <v>86</v>
      </c>
      <c r="AL855" s="1" t="s">
        <v>187</v>
      </c>
      <c r="AM855" s="1">
        <v>3</v>
      </c>
      <c r="AN855" s="1">
        <v>0</v>
      </c>
      <c r="AO855" s="1">
        <f t="shared" si="90"/>
        <v>3</v>
      </c>
    </row>
    <row r="856" spans="1:41" x14ac:dyDescent="0.4">
      <c r="A856" s="1">
        <v>1</v>
      </c>
      <c r="B856" s="1" t="s">
        <v>948</v>
      </c>
      <c r="C856" s="1" t="s">
        <v>41</v>
      </c>
      <c r="D856" s="2">
        <v>38960</v>
      </c>
      <c r="E856" s="1">
        <v>243</v>
      </c>
      <c r="F856" s="1">
        <v>4</v>
      </c>
      <c r="G856" s="3">
        <v>0.65505787037037033</v>
      </c>
      <c r="H856" s="3">
        <v>0.66027777777777774</v>
      </c>
      <c r="I856" s="3">
        <v>5.2199074074074092E-3</v>
      </c>
      <c r="J856" s="3">
        <v>5.2199074074074092E-3</v>
      </c>
      <c r="K856" s="5">
        <f t="shared" si="89"/>
        <v>451</v>
      </c>
      <c r="L856" s="3" t="s">
        <v>120</v>
      </c>
      <c r="N856" s="1" t="s">
        <v>75</v>
      </c>
      <c r="O856" s="1" t="s">
        <v>286</v>
      </c>
      <c r="P856" s="1" t="s">
        <v>44</v>
      </c>
      <c r="Q856" s="1" t="s">
        <v>76</v>
      </c>
      <c r="S856" s="1" t="s">
        <v>46</v>
      </c>
      <c r="T856" s="1" t="s">
        <v>124</v>
      </c>
      <c r="U856" s="1" t="s">
        <v>48</v>
      </c>
      <c r="V856" s="1" t="s">
        <v>49</v>
      </c>
      <c r="W856" s="1" t="s">
        <v>77</v>
      </c>
      <c r="X856" s="1" t="s">
        <v>375</v>
      </c>
      <c r="Y856" s="1" t="s">
        <v>376</v>
      </c>
      <c r="Z856" s="1">
        <v>2</v>
      </c>
      <c r="AB856" s="1" t="s">
        <v>377</v>
      </c>
      <c r="AC856" s="1">
        <v>0</v>
      </c>
      <c r="AD856" s="1" t="s">
        <v>56</v>
      </c>
      <c r="AE856" s="1" t="s">
        <v>83</v>
      </c>
      <c r="AF856" s="1" t="s">
        <v>84</v>
      </c>
      <c r="AG856" s="1" t="s">
        <v>997</v>
      </c>
      <c r="AH856" s="1" t="s">
        <v>59</v>
      </c>
      <c r="AI856" s="1" t="s">
        <v>75</v>
      </c>
      <c r="AK856" s="1" t="s">
        <v>86</v>
      </c>
      <c r="AL856" s="1" t="s">
        <v>133</v>
      </c>
      <c r="AM856" s="1">
        <v>4</v>
      </c>
      <c r="AN856" s="1">
        <v>0</v>
      </c>
      <c r="AO856" s="1">
        <f t="shared" si="90"/>
        <v>4</v>
      </c>
    </row>
    <row r="857" spans="1:41" x14ac:dyDescent="0.4">
      <c r="A857" s="1">
        <v>1</v>
      </c>
      <c r="B857" s="1" t="s">
        <v>948</v>
      </c>
      <c r="C857" s="1" t="s">
        <v>41</v>
      </c>
      <c r="D857" s="2">
        <v>38965</v>
      </c>
      <c r="E857" s="1">
        <v>248</v>
      </c>
      <c r="F857" s="1">
        <v>1</v>
      </c>
      <c r="G857" s="3">
        <v>0.60193287037037035</v>
      </c>
      <c r="H857" s="3">
        <v>0.60203703703703704</v>
      </c>
      <c r="I857" s="3">
        <v>1.0416666666668295E-4</v>
      </c>
      <c r="J857" s="3">
        <v>1.0416666666668295E-4</v>
      </c>
      <c r="K857" s="5">
        <f t="shared" si="89"/>
        <v>9</v>
      </c>
      <c r="L857" s="3" t="s">
        <v>120</v>
      </c>
      <c r="N857" s="1" t="s">
        <v>42</v>
      </c>
      <c r="O857" s="1" t="s">
        <v>286</v>
      </c>
      <c r="P857" s="1" t="s">
        <v>44</v>
      </c>
      <c r="Q857" s="1" t="s">
        <v>76</v>
      </c>
      <c r="S857" s="1" t="s">
        <v>46</v>
      </c>
      <c r="T857" s="1" t="s">
        <v>45</v>
      </c>
      <c r="AB857" s="1" t="s">
        <v>93</v>
      </c>
      <c r="AC857" s="1">
        <v>1</v>
      </c>
      <c r="AG857" s="1" t="s">
        <v>998</v>
      </c>
      <c r="AK857" s="1" t="s">
        <v>86</v>
      </c>
      <c r="AL857" s="1" t="s">
        <v>133</v>
      </c>
      <c r="AM857" s="1">
        <v>1</v>
      </c>
      <c r="AN857" s="1">
        <v>0</v>
      </c>
      <c r="AO857" s="1">
        <f t="shared" si="90"/>
        <v>1</v>
      </c>
    </row>
    <row r="858" spans="1:41" x14ac:dyDescent="0.4">
      <c r="A858" s="1">
        <v>1</v>
      </c>
      <c r="B858" s="1" t="s">
        <v>948</v>
      </c>
      <c r="C858" s="1" t="s">
        <v>41</v>
      </c>
      <c r="D858" s="2">
        <v>38972</v>
      </c>
      <c r="E858" s="1">
        <v>255</v>
      </c>
      <c r="F858" s="1">
        <v>4</v>
      </c>
      <c r="G858" s="3">
        <v>0.48188657407407409</v>
      </c>
      <c r="H858" s="3">
        <v>0.48916666666666669</v>
      </c>
      <c r="I858" s="3">
        <v>7.2800925925926019E-3</v>
      </c>
      <c r="J858" s="3">
        <v>7.2800925925926019E-3</v>
      </c>
      <c r="K858" s="5">
        <f t="shared" si="89"/>
        <v>629</v>
      </c>
      <c r="L858" s="3">
        <v>2.7546296296295791E-3</v>
      </c>
      <c r="N858" s="1" t="s">
        <v>42</v>
      </c>
      <c r="O858" s="1" t="s">
        <v>286</v>
      </c>
      <c r="P858" s="1" t="s">
        <v>44</v>
      </c>
      <c r="Q858" s="1" t="s">
        <v>76</v>
      </c>
      <c r="S858" s="1" t="s">
        <v>46</v>
      </c>
      <c r="T858" s="1" t="s">
        <v>47</v>
      </c>
      <c r="U858" s="1" t="s">
        <v>156</v>
      </c>
      <c r="V858" s="1" t="s">
        <v>297</v>
      </c>
      <c r="W858" s="1" t="s">
        <v>167</v>
      </c>
      <c r="X858" s="1" t="s">
        <v>538</v>
      </c>
      <c r="Y858" s="1" t="s">
        <v>753</v>
      </c>
      <c r="Z858" s="1" t="s">
        <v>999</v>
      </c>
      <c r="AA858" s="1" t="s">
        <v>1000</v>
      </c>
      <c r="AB858" s="1" t="s">
        <v>1001</v>
      </c>
      <c r="AC858" s="1">
        <v>0</v>
      </c>
      <c r="AD858" s="1" t="s">
        <v>105</v>
      </c>
      <c r="AE858" s="1" t="s">
        <v>181</v>
      </c>
      <c r="AF858" s="1" t="s">
        <v>84</v>
      </c>
      <c r="AG858" s="1" t="s">
        <v>1002</v>
      </c>
      <c r="AI858" s="1" t="s">
        <v>75</v>
      </c>
      <c r="AK858" s="1" t="s">
        <v>86</v>
      </c>
      <c r="AL858" s="1" t="s">
        <v>87</v>
      </c>
      <c r="AM858" s="1">
        <v>1</v>
      </c>
      <c r="AN858" s="1">
        <v>0</v>
      </c>
      <c r="AO858" s="1">
        <f t="shared" si="90"/>
        <v>1</v>
      </c>
    </row>
    <row r="859" spans="1:41" x14ac:dyDescent="0.4">
      <c r="A859" s="1">
        <v>1</v>
      </c>
      <c r="B859" s="1" t="s">
        <v>948</v>
      </c>
      <c r="C859" s="1" t="s">
        <v>41</v>
      </c>
      <c r="D859" s="2">
        <v>38972</v>
      </c>
      <c r="E859" s="1">
        <v>255</v>
      </c>
      <c r="F859" s="1">
        <v>5</v>
      </c>
      <c r="G859" s="3">
        <v>0.49192129629629627</v>
      </c>
      <c r="H859" s="3">
        <v>0.49329861111111112</v>
      </c>
      <c r="I859" s="3">
        <v>1.3773148148148451E-3</v>
      </c>
      <c r="J859" s="3">
        <v>1.3773148148148451E-3</v>
      </c>
      <c r="K859" s="5">
        <f t="shared" si="89"/>
        <v>119</v>
      </c>
      <c r="L859" s="3">
        <v>3.9004629629629806E-3</v>
      </c>
      <c r="N859" s="1" t="s">
        <v>42</v>
      </c>
      <c r="O859" s="1" t="s">
        <v>286</v>
      </c>
      <c r="P859" s="1" t="s">
        <v>44</v>
      </c>
      <c r="Q859" s="1" t="s">
        <v>76</v>
      </c>
      <c r="S859" s="1" t="s">
        <v>46</v>
      </c>
      <c r="T859" s="1" t="s">
        <v>45</v>
      </c>
      <c r="U859" s="1" t="s">
        <v>156</v>
      </c>
      <c r="V859" s="1" t="s">
        <v>102</v>
      </c>
      <c r="W859" s="1" t="s">
        <v>788</v>
      </c>
      <c r="X859" s="1" t="s">
        <v>798</v>
      </c>
      <c r="Y859" s="1" t="s">
        <v>52</v>
      </c>
      <c r="Z859" s="1" t="s">
        <v>799</v>
      </c>
      <c r="AA859" s="1" t="s">
        <v>800</v>
      </c>
      <c r="AB859" s="1" t="s">
        <v>801</v>
      </c>
      <c r="AC859" s="1">
        <v>0</v>
      </c>
      <c r="AD859" s="1" t="s">
        <v>56</v>
      </c>
      <c r="AE859" s="1" t="s">
        <v>83</v>
      </c>
      <c r="AF859" s="1" t="s">
        <v>153</v>
      </c>
      <c r="AG859" s="1" t="s">
        <v>1003</v>
      </c>
      <c r="AH859" s="1" t="s">
        <v>157</v>
      </c>
      <c r="AI859" s="1" t="s">
        <v>75</v>
      </c>
      <c r="AK859" s="1" t="s">
        <v>86</v>
      </c>
      <c r="AL859" s="1" t="s">
        <v>86</v>
      </c>
      <c r="AM859" s="1">
        <v>1</v>
      </c>
      <c r="AN859" s="1">
        <v>0</v>
      </c>
      <c r="AO859" s="1">
        <f t="shared" si="90"/>
        <v>1</v>
      </c>
    </row>
    <row r="860" spans="1:41" x14ac:dyDescent="0.4">
      <c r="A860" s="1">
        <v>1</v>
      </c>
      <c r="B860" s="1" t="s">
        <v>948</v>
      </c>
      <c r="C860" s="1" t="s">
        <v>41</v>
      </c>
      <c r="D860" s="2">
        <v>38972</v>
      </c>
      <c r="E860" s="1">
        <v>255</v>
      </c>
      <c r="F860" s="1">
        <v>5.2</v>
      </c>
      <c r="G860" s="3">
        <v>0.4971990740740741</v>
      </c>
      <c r="H860" s="3">
        <v>0.49722222222222223</v>
      </c>
      <c r="I860" s="3">
        <v>2.3148148148133263E-5</v>
      </c>
      <c r="J860" s="3">
        <v>2.3148148148133263E-5</v>
      </c>
      <c r="K860" s="5">
        <f t="shared" si="89"/>
        <v>2</v>
      </c>
      <c r="L860" s="3">
        <v>1.5671296296296267E-2</v>
      </c>
      <c r="N860" s="1" t="s">
        <v>42</v>
      </c>
      <c r="O860" s="1" t="s">
        <v>286</v>
      </c>
      <c r="P860" s="1" t="s">
        <v>44</v>
      </c>
      <c r="Q860" s="1" t="s">
        <v>76</v>
      </c>
      <c r="S860" s="1" t="s">
        <v>46</v>
      </c>
      <c r="T860" s="1" t="s">
        <v>47</v>
      </c>
      <c r="U860" s="1" t="s">
        <v>156</v>
      </c>
      <c r="AB860" s="1" t="s">
        <v>93</v>
      </c>
      <c r="AC860" s="1">
        <v>1</v>
      </c>
      <c r="AD860" s="1" t="s">
        <v>105</v>
      </c>
      <c r="AI860" s="1" t="s">
        <v>75</v>
      </c>
      <c r="AK860" s="1" t="s">
        <v>61</v>
      </c>
      <c r="AL860" s="1" t="s">
        <v>133</v>
      </c>
      <c r="AN860" s="1">
        <v>1</v>
      </c>
      <c r="AO860" s="1">
        <f t="shared" si="90"/>
        <v>1</v>
      </c>
    </row>
    <row r="861" spans="1:41" x14ac:dyDescent="0.4">
      <c r="A861" s="1">
        <v>1</v>
      </c>
      <c r="B861" s="1" t="s">
        <v>948</v>
      </c>
      <c r="C861" s="1" t="s">
        <v>41</v>
      </c>
      <c r="D861" s="2">
        <v>38972</v>
      </c>
      <c r="E861" s="1">
        <v>255</v>
      </c>
      <c r="F861" s="1">
        <v>5.3</v>
      </c>
      <c r="G861" s="3">
        <v>0.5128935185185185</v>
      </c>
      <c r="H861" s="3">
        <v>0.51597222222222217</v>
      </c>
      <c r="I861" s="3">
        <v>3.0787037037036669E-3</v>
      </c>
      <c r="J861" s="3">
        <v>1.5046296296283845E-4</v>
      </c>
      <c r="K861" s="5">
        <f t="shared" si="89"/>
        <v>13</v>
      </c>
      <c r="L861" s="3">
        <v>6.1226851851852171E-3</v>
      </c>
      <c r="N861" s="1" t="s">
        <v>42</v>
      </c>
      <c r="O861" s="1" t="s">
        <v>286</v>
      </c>
      <c r="P861" s="1" t="s">
        <v>44</v>
      </c>
      <c r="Q861" s="1" t="s">
        <v>76</v>
      </c>
      <c r="S861" s="1" t="s">
        <v>46</v>
      </c>
      <c r="T861" s="1" t="s">
        <v>47</v>
      </c>
      <c r="U861" s="1" t="s">
        <v>156</v>
      </c>
      <c r="V861" s="1" t="s">
        <v>67</v>
      </c>
      <c r="W861" s="1" t="s">
        <v>68</v>
      </c>
      <c r="Y861" s="1" t="s">
        <v>68</v>
      </c>
      <c r="AB861" s="1" t="s">
        <v>69</v>
      </c>
      <c r="AC861" s="1">
        <v>0</v>
      </c>
      <c r="AD861" s="1" t="s">
        <v>68</v>
      </c>
      <c r="AE861" s="1" t="s">
        <v>70</v>
      </c>
      <c r="AG861" s="1" t="s">
        <v>1004</v>
      </c>
      <c r="AI861" s="1" t="s">
        <v>75</v>
      </c>
      <c r="AK861" s="1" t="s">
        <v>86</v>
      </c>
      <c r="AL861" s="1" t="s">
        <v>187</v>
      </c>
      <c r="AM861" s="1">
        <v>2</v>
      </c>
      <c r="AN861" s="1">
        <v>0</v>
      </c>
      <c r="AO861" s="1">
        <f t="shared" si="90"/>
        <v>2</v>
      </c>
    </row>
    <row r="862" spans="1:41" x14ac:dyDescent="0.4">
      <c r="A862" s="1">
        <v>1</v>
      </c>
      <c r="B862" s="1" t="s">
        <v>948</v>
      </c>
      <c r="C862" s="1" t="s">
        <v>41</v>
      </c>
      <c r="D862" s="2">
        <v>38972</v>
      </c>
      <c r="E862" s="1">
        <v>255</v>
      </c>
      <c r="F862" s="1">
        <v>5.4</v>
      </c>
      <c r="G862" s="3">
        <v>0.52209490740740738</v>
      </c>
      <c r="H862" s="3">
        <v>0.5370949074074074</v>
      </c>
      <c r="I862" s="3">
        <v>1.5000000000000013E-2</v>
      </c>
      <c r="J862" s="3">
        <v>1.2500000000001954E-3</v>
      </c>
      <c r="K862" s="5">
        <f t="shared" si="89"/>
        <v>108</v>
      </c>
      <c r="L862" s="3">
        <v>2.4189814814815636E-3</v>
      </c>
      <c r="N862" s="1" t="s">
        <v>42</v>
      </c>
      <c r="O862" s="1" t="s">
        <v>286</v>
      </c>
      <c r="P862" s="1" t="s">
        <v>44</v>
      </c>
      <c r="Q862" s="1" t="s">
        <v>76</v>
      </c>
      <c r="S862" s="1" t="s">
        <v>46</v>
      </c>
      <c r="T862" s="1" t="s">
        <v>47</v>
      </c>
      <c r="U862" s="1" t="s">
        <v>66</v>
      </c>
      <c r="V862" s="1" t="s">
        <v>67</v>
      </c>
      <c r="W862" s="1" t="s">
        <v>68</v>
      </c>
      <c r="Y862" s="1" t="s">
        <v>68</v>
      </c>
      <c r="AB862" s="1" t="s">
        <v>69</v>
      </c>
      <c r="AC862" s="1">
        <v>0</v>
      </c>
      <c r="AD862" s="1" t="s">
        <v>68</v>
      </c>
      <c r="AE862" s="1" t="s">
        <v>70</v>
      </c>
      <c r="AG862" s="1" t="s">
        <v>1004</v>
      </c>
      <c r="AI862" s="1" t="s">
        <v>71</v>
      </c>
      <c r="AK862" s="1" t="s">
        <v>86</v>
      </c>
      <c r="AL862" s="1" t="s">
        <v>87</v>
      </c>
      <c r="AM862" s="1">
        <v>2</v>
      </c>
      <c r="AN862" s="1">
        <v>0</v>
      </c>
      <c r="AO862" s="1">
        <f t="shared" si="90"/>
        <v>2</v>
      </c>
    </row>
    <row r="863" spans="1:41" x14ac:dyDescent="0.4">
      <c r="A863" s="1">
        <v>1</v>
      </c>
      <c r="B863" s="1" t="s">
        <v>948</v>
      </c>
      <c r="C863" s="1" t="s">
        <v>41</v>
      </c>
      <c r="D863" s="2">
        <v>38972</v>
      </c>
      <c r="E863" s="1">
        <v>255</v>
      </c>
      <c r="F863" s="1">
        <v>5.42</v>
      </c>
      <c r="G863" s="3">
        <v>0.53951388888888896</v>
      </c>
      <c r="H863" s="3">
        <v>0.54074074074074074</v>
      </c>
      <c r="I863" s="3">
        <v>1.2268518518517846E-3</v>
      </c>
      <c r="J863" s="3">
        <v>3.356481481481266E-4</v>
      </c>
      <c r="K863" s="5">
        <f t="shared" si="89"/>
        <v>29</v>
      </c>
      <c r="L863" s="3">
        <v>1.5277777777777946E-3</v>
      </c>
      <c r="N863" s="1" t="s">
        <v>42</v>
      </c>
      <c r="O863" s="1" t="s">
        <v>286</v>
      </c>
      <c r="P863" s="1" t="s">
        <v>44</v>
      </c>
      <c r="Q863" s="1" t="s">
        <v>76</v>
      </c>
      <c r="S863" s="1" t="s">
        <v>46</v>
      </c>
      <c r="T863" s="1" t="s">
        <v>47</v>
      </c>
      <c r="U863" s="1" t="s">
        <v>66</v>
      </c>
      <c r="AB863" s="1" t="s">
        <v>93</v>
      </c>
      <c r="AC863" s="1">
        <v>1</v>
      </c>
      <c r="AI863" s="1" t="s">
        <v>71</v>
      </c>
      <c r="AK863" s="1" t="s">
        <v>86</v>
      </c>
      <c r="AL863" s="1" t="s">
        <v>87</v>
      </c>
      <c r="AN863" s="1">
        <v>1</v>
      </c>
      <c r="AO863" s="1">
        <f t="shared" si="90"/>
        <v>1</v>
      </c>
    </row>
    <row r="864" spans="1:41" x14ac:dyDescent="0.4">
      <c r="A864" s="1">
        <v>1</v>
      </c>
      <c r="B864" s="1" t="s">
        <v>948</v>
      </c>
      <c r="C864" s="1" t="s">
        <v>41</v>
      </c>
      <c r="D864" s="2">
        <v>38972</v>
      </c>
      <c r="E864" s="1">
        <v>255</v>
      </c>
      <c r="F864" s="1">
        <v>5.44</v>
      </c>
      <c r="G864" s="3">
        <v>0.54226851851851854</v>
      </c>
      <c r="H864" s="3">
        <v>0.54230324074074077</v>
      </c>
      <c r="I864" s="3">
        <v>3.472222222222765E-5</v>
      </c>
      <c r="J864" s="3">
        <v>3.472222222222765E-5</v>
      </c>
      <c r="K864" s="5">
        <f t="shared" si="89"/>
        <v>3</v>
      </c>
      <c r="L864" s="3">
        <v>4.6516203703703685E-2</v>
      </c>
      <c r="N864" s="1" t="s">
        <v>42</v>
      </c>
      <c r="O864" s="1" t="s">
        <v>286</v>
      </c>
      <c r="P864" s="1" t="s">
        <v>44</v>
      </c>
      <c r="Q864" s="1" t="s">
        <v>45</v>
      </c>
      <c r="S864" s="1" t="s">
        <v>46</v>
      </c>
      <c r="AB864" s="1" t="s">
        <v>93</v>
      </c>
      <c r="AC864" s="1">
        <v>1</v>
      </c>
      <c r="AK864" s="1" t="s">
        <v>86</v>
      </c>
      <c r="AL864" s="1" t="s">
        <v>133</v>
      </c>
      <c r="AN864" s="1">
        <v>1</v>
      </c>
      <c r="AO864" s="1">
        <f t="shared" si="90"/>
        <v>1</v>
      </c>
    </row>
    <row r="865" spans="1:41" x14ac:dyDescent="0.4">
      <c r="A865" s="1">
        <v>1</v>
      </c>
      <c r="B865" s="1" t="s">
        <v>948</v>
      </c>
      <c r="C865" s="1" t="s">
        <v>41</v>
      </c>
      <c r="D865" s="2">
        <v>38972</v>
      </c>
      <c r="E865" s="1">
        <v>255</v>
      </c>
      <c r="F865" s="1">
        <v>5.6</v>
      </c>
      <c r="G865" s="3">
        <v>0.58881944444444445</v>
      </c>
      <c r="H865" s="3">
        <v>0.58886574074074072</v>
      </c>
      <c r="I865" s="3">
        <v>4.6296296296266526E-5</v>
      </c>
      <c r="J865" s="3">
        <v>4.6296296296266526E-5</v>
      </c>
      <c r="K865" s="5">
        <f t="shared" si="89"/>
        <v>4</v>
      </c>
      <c r="L865" s="3">
        <v>7.511574074074101E-3</v>
      </c>
      <c r="N865" s="1" t="s">
        <v>42</v>
      </c>
      <c r="O865" s="1" t="s">
        <v>286</v>
      </c>
      <c r="P865" s="1" t="s">
        <v>44</v>
      </c>
      <c r="Q865" s="1" t="s">
        <v>76</v>
      </c>
      <c r="S865" s="1" t="s">
        <v>46</v>
      </c>
      <c r="T865" s="1" t="s">
        <v>45</v>
      </c>
      <c r="U865" s="1" t="s">
        <v>156</v>
      </c>
      <c r="AB865" s="1" t="s">
        <v>93</v>
      </c>
      <c r="AC865" s="1">
        <v>1</v>
      </c>
      <c r="AG865" s="1" t="s">
        <v>1005</v>
      </c>
      <c r="AI865" s="1" t="s">
        <v>75</v>
      </c>
      <c r="AK865" s="1" t="s">
        <v>86</v>
      </c>
      <c r="AL865" s="1" t="s">
        <v>133</v>
      </c>
      <c r="AM865" s="1">
        <v>1</v>
      </c>
      <c r="AN865" s="1">
        <v>0</v>
      </c>
      <c r="AO865" s="1">
        <f t="shared" si="90"/>
        <v>1</v>
      </c>
    </row>
    <row r="866" spans="1:41" x14ac:dyDescent="0.4">
      <c r="A866" s="1">
        <v>1</v>
      </c>
      <c r="B866" s="1" t="s">
        <v>948</v>
      </c>
      <c r="C866" s="1" t="s">
        <v>41</v>
      </c>
      <c r="D866" s="2">
        <v>38972</v>
      </c>
      <c r="E866" s="1">
        <v>255</v>
      </c>
      <c r="F866" s="1">
        <v>5.7</v>
      </c>
      <c r="G866" s="3">
        <v>0.59637731481481482</v>
      </c>
      <c r="H866" s="3">
        <v>0.59641203703703705</v>
      </c>
      <c r="I866" s="3">
        <v>3.472222222222765E-5</v>
      </c>
      <c r="J866" s="3">
        <v>3.472222222222765E-5</v>
      </c>
      <c r="K866" s="5">
        <f t="shared" si="89"/>
        <v>3</v>
      </c>
      <c r="L866" s="3">
        <v>6.2847222222222054E-3</v>
      </c>
      <c r="N866" s="1" t="s">
        <v>42</v>
      </c>
      <c r="O866" s="1" t="s">
        <v>286</v>
      </c>
      <c r="P866" s="1" t="s">
        <v>44</v>
      </c>
      <c r="Q866" s="1" t="s">
        <v>76</v>
      </c>
      <c r="S866" s="1" t="s">
        <v>46</v>
      </c>
      <c r="T866" s="1" t="s">
        <v>47</v>
      </c>
      <c r="U866" s="1" t="s">
        <v>92</v>
      </c>
      <c r="AB866" s="1" t="s">
        <v>93</v>
      </c>
      <c r="AC866" s="1">
        <v>1</v>
      </c>
      <c r="AG866" s="1" t="s">
        <v>1006</v>
      </c>
      <c r="AI866" s="1" t="s">
        <v>75</v>
      </c>
      <c r="AK866" s="1" t="s">
        <v>86</v>
      </c>
      <c r="AL866" s="1" t="s">
        <v>133</v>
      </c>
      <c r="AM866" s="1">
        <v>1</v>
      </c>
      <c r="AN866" s="1">
        <v>0</v>
      </c>
      <c r="AO866" s="1">
        <f t="shared" si="90"/>
        <v>1</v>
      </c>
    </row>
    <row r="867" spans="1:41" x14ac:dyDescent="0.4">
      <c r="A867" s="1">
        <v>1</v>
      </c>
      <c r="B867" s="1" t="s">
        <v>948</v>
      </c>
      <c r="C867" s="1" t="s">
        <v>41</v>
      </c>
      <c r="D867" s="2">
        <v>38972</v>
      </c>
      <c r="E867" s="1">
        <v>255</v>
      </c>
      <c r="F867" s="1">
        <v>5.8</v>
      </c>
      <c r="G867" s="3">
        <v>0.60269675925925925</v>
      </c>
      <c r="H867" s="3">
        <v>0.60274305555555552</v>
      </c>
      <c r="I867" s="3">
        <v>4.6296296296266526E-5</v>
      </c>
      <c r="J867" s="3">
        <v>4.6296296296266526E-5</v>
      </c>
      <c r="K867" s="5">
        <f t="shared" si="89"/>
        <v>4</v>
      </c>
      <c r="L867" s="3">
        <v>1.782407407407427E-3</v>
      </c>
      <c r="N867" s="1" t="s">
        <v>42</v>
      </c>
      <c r="O867" s="1" t="s">
        <v>286</v>
      </c>
      <c r="P867" s="1" t="s">
        <v>44</v>
      </c>
      <c r="Q867" s="1" t="s">
        <v>76</v>
      </c>
      <c r="S867" s="1" t="s">
        <v>46</v>
      </c>
      <c r="T867" s="1" t="s">
        <v>47</v>
      </c>
      <c r="U867" s="1" t="s">
        <v>156</v>
      </c>
      <c r="AB867" s="1" t="s">
        <v>93</v>
      </c>
      <c r="AC867" s="1">
        <v>1</v>
      </c>
      <c r="AI867" s="1" t="s">
        <v>75</v>
      </c>
      <c r="AK867" s="1" t="s">
        <v>86</v>
      </c>
      <c r="AL867" s="1" t="s">
        <v>87</v>
      </c>
      <c r="AN867" s="1">
        <v>1</v>
      </c>
      <c r="AO867" s="1">
        <f t="shared" si="90"/>
        <v>1</v>
      </c>
    </row>
    <row r="868" spans="1:41" x14ac:dyDescent="0.4">
      <c r="A868" s="1">
        <v>1</v>
      </c>
      <c r="B868" s="1" t="s">
        <v>948</v>
      </c>
      <c r="C868" s="1" t="s">
        <v>41</v>
      </c>
      <c r="D868" s="2">
        <v>38972</v>
      </c>
      <c r="E868" s="1">
        <v>255</v>
      </c>
      <c r="F868" s="1">
        <v>5.9</v>
      </c>
      <c r="G868" s="3">
        <v>0.60452546296296295</v>
      </c>
      <c r="H868" s="3">
        <v>0.60464120370370367</v>
      </c>
      <c r="I868" s="3">
        <v>1.1574074074072183E-4</v>
      </c>
      <c r="J868" s="3">
        <v>1.1574074074072183E-4</v>
      </c>
      <c r="K868" s="5">
        <f t="shared" si="89"/>
        <v>10</v>
      </c>
      <c r="L868" s="3">
        <v>6.0069444444444953E-3</v>
      </c>
      <c r="N868" s="1" t="s">
        <v>42</v>
      </c>
      <c r="O868" s="1" t="s">
        <v>286</v>
      </c>
      <c r="P868" s="1" t="s">
        <v>44</v>
      </c>
      <c r="Q868" s="1" t="s">
        <v>76</v>
      </c>
      <c r="S868" s="1" t="s">
        <v>46</v>
      </c>
      <c r="T868" s="1" t="s">
        <v>47</v>
      </c>
      <c r="U868" s="1" t="s">
        <v>156</v>
      </c>
      <c r="AB868" s="1" t="s">
        <v>93</v>
      </c>
      <c r="AC868" s="1">
        <v>1</v>
      </c>
      <c r="AI868" s="1" t="s">
        <v>75</v>
      </c>
      <c r="AK868" s="1" t="s">
        <v>86</v>
      </c>
      <c r="AL868" s="1" t="s">
        <v>187</v>
      </c>
      <c r="AN868" s="1">
        <v>1</v>
      </c>
      <c r="AO868" s="1">
        <f t="shared" si="90"/>
        <v>1</v>
      </c>
    </row>
    <row r="869" spans="1:41" x14ac:dyDescent="0.4">
      <c r="A869" s="1">
        <v>1</v>
      </c>
      <c r="B869" s="1" t="s">
        <v>948</v>
      </c>
      <c r="C869" s="1" t="s">
        <v>41</v>
      </c>
      <c r="D869" s="2">
        <v>38972</v>
      </c>
      <c r="E869" s="1">
        <v>255</v>
      </c>
      <c r="F869" s="1">
        <v>6</v>
      </c>
      <c r="G869" s="3">
        <v>0.61064814814814816</v>
      </c>
      <c r="H869" s="3">
        <v>0.6173495370370371</v>
      </c>
      <c r="I869" s="3">
        <v>6.7013888888889372E-3</v>
      </c>
      <c r="J869" s="3">
        <v>9.2592592592599665E-4</v>
      </c>
      <c r="K869" s="5">
        <f t="shared" si="89"/>
        <v>80</v>
      </c>
      <c r="L869" s="3">
        <v>1.2314814814814778E-2</v>
      </c>
      <c r="N869" s="1" t="s">
        <v>42</v>
      </c>
      <c r="O869" s="1" t="s">
        <v>286</v>
      </c>
      <c r="P869" s="1" t="s">
        <v>44</v>
      </c>
      <c r="Q869" s="1" t="s">
        <v>76</v>
      </c>
      <c r="S869" s="1" t="s">
        <v>46</v>
      </c>
      <c r="T869" s="1" t="s">
        <v>47</v>
      </c>
      <c r="U869" s="1" t="s">
        <v>156</v>
      </c>
      <c r="V869" s="1" t="s">
        <v>49</v>
      </c>
      <c r="W869" s="1" t="s">
        <v>77</v>
      </c>
      <c r="X869" s="1" t="s">
        <v>1007</v>
      </c>
      <c r="Y869" s="1" t="s">
        <v>126</v>
      </c>
      <c r="Z869" s="1" t="s">
        <v>618</v>
      </c>
      <c r="AA869" s="1" t="s">
        <v>619</v>
      </c>
      <c r="AB869" s="1" t="s">
        <v>620</v>
      </c>
      <c r="AC869" s="1">
        <v>0</v>
      </c>
      <c r="AD869" s="1" t="s">
        <v>56</v>
      </c>
      <c r="AE869" s="1" t="s">
        <v>83</v>
      </c>
      <c r="AF869" s="1" t="s">
        <v>84</v>
      </c>
      <c r="AG869" s="1" t="s">
        <v>1008</v>
      </c>
      <c r="AI869" s="1" t="s">
        <v>75</v>
      </c>
      <c r="AK869" s="1" t="s">
        <v>61</v>
      </c>
      <c r="AL869" s="1" t="s">
        <v>61</v>
      </c>
      <c r="AM869" s="1">
        <v>2</v>
      </c>
      <c r="AN869" s="1">
        <v>0</v>
      </c>
      <c r="AO869" s="1">
        <f t="shared" si="90"/>
        <v>2</v>
      </c>
    </row>
    <row r="870" spans="1:41" x14ac:dyDescent="0.4">
      <c r="A870" s="1">
        <v>1</v>
      </c>
      <c r="B870" s="1" t="s">
        <v>948</v>
      </c>
      <c r="C870" s="1" t="s">
        <v>41</v>
      </c>
      <c r="D870" s="2">
        <v>38972</v>
      </c>
      <c r="E870" s="1">
        <v>255</v>
      </c>
      <c r="F870" s="1">
        <v>6.5</v>
      </c>
      <c r="G870" s="3">
        <v>0.62966435185185188</v>
      </c>
      <c r="H870" s="3">
        <v>0.6347800925925926</v>
      </c>
      <c r="I870" s="3">
        <v>5.1157407407407263E-3</v>
      </c>
      <c r="J870" s="3">
        <v>6.3657407407413658E-4</v>
      </c>
      <c r="K870" s="5">
        <f t="shared" si="89"/>
        <v>55</v>
      </c>
      <c r="L870" s="3">
        <v>3.0439814814814392E-3</v>
      </c>
      <c r="N870" s="1" t="s">
        <v>42</v>
      </c>
      <c r="O870" s="1" t="s">
        <v>286</v>
      </c>
      <c r="P870" s="1" t="s">
        <v>44</v>
      </c>
      <c r="Q870" s="1" t="s">
        <v>45</v>
      </c>
      <c r="S870" s="1" t="s">
        <v>46</v>
      </c>
      <c r="T870" s="1" t="s">
        <v>47</v>
      </c>
      <c r="U870" s="1" t="s">
        <v>156</v>
      </c>
      <c r="V870" s="1" t="s">
        <v>67</v>
      </c>
      <c r="W870" s="1" t="s">
        <v>68</v>
      </c>
      <c r="Y870" s="1" t="s">
        <v>68</v>
      </c>
      <c r="AB870" s="1" t="s">
        <v>69</v>
      </c>
      <c r="AC870" s="1">
        <v>0</v>
      </c>
      <c r="AD870" s="1" t="s">
        <v>68</v>
      </c>
      <c r="AE870" s="1" t="s">
        <v>70</v>
      </c>
      <c r="AI870" s="1" t="s">
        <v>75</v>
      </c>
      <c r="AK870" s="1" t="s">
        <v>61</v>
      </c>
      <c r="AL870" s="1" t="s">
        <v>61</v>
      </c>
      <c r="AN870" s="1">
        <v>1</v>
      </c>
      <c r="AO870" s="1">
        <f t="shared" si="90"/>
        <v>1</v>
      </c>
    </row>
    <row r="871" spans="1:41" x14ac:dyDescent="0.4">
      <c r="A871" s="1">
        <v>1</v>
      </c>
      <c r="B871" s="1" t="s">
        <v>948</v>
      </c>
      <c r="C871" s="1" t="s">
        <v>41</v>
      </c>
      <c r="D871" s="2">
        <v>38972</v>
      </c>
      <c r="E871" s="1">
        <v>255</v>
      </c>
      <c r="F871" s="1">
        <v>7</v>
      </c>
      <c r="G871" s="3">
        <v>0.63782407407407404</v>
      </c>
      <c r="H871" s="3">
        <v>0.63805555555555549</v>
      </c>
      <c r="I871" s="3">
        <v>2.3148148148144365E-4</v>
      </c>
      <c r="J871" s="3">
        <v>2.3148148148144365E-4</v>
      </c>
      <c r="K871" s="5">
        <f t="shared" si="89"/>
        <v>20</v>
      </c>
      <c r="L871" s="3">
        <v>1.0092592592592653E-2</v>
      </c>
      <c r="N871" s="1" t="s">
        <v>42</v>
      </c>
      <c r="O871" s="1" t="s">
        <v>286</v>
      </c>
      <c r="P871" s="1" t="s">
        <v>44</v>
      </c>
      <c r="Q871" s="1" t="s">
        <v>76</v>
      </c>
      <c r="S871" s="1" t="s">
        <v>46</v>
      </c>
      <c r="T871" s="1" t="s">
        <v>45</v>
      </c>
      <c r="U871" s="1" t="s">
        <v>48</v>
      </c>
      <c r="V871" s="1" t="s">
        <v>102</v>
      </c>
      <c r="W871" s="1" t="s">
        <v>231</v>
      </c>
      <c r="X871" s="1" t="s">
        <v>96</v>
      </c>
      <c r="AB871" s="1" t="s">
        <v>104</v>
      </c>
      <c r="AC871" s="1">
        <v>0</v>
      </c>
      <c r="AD871" s="1" t="s">
        <v>105</v>
      </c>
      <c r="AE871" s="1" t="s">
        <v>70</v>
      </c>
      <c r="AF871" s="1" t="s">
        <v>84</v>
      </c>
      <c r="AG871" s="1" t="s">
        <v>1008</v>
      </c>
      <c r="AH871" s="1" t="s">
        <v>157</v>
      </c>
      <c r="AI871" s="1" t="s">
        <v>60</v>
      </c>
      <c r="AK871" s="1" t="s">
        <v>86</v>
      </c>
      <c r="AL871" s="1" t="s">
        <v>187</v>
      </c>
      <c r="AM871" s="1">
        <v>2</v>
      </c>
      <c r="AN871" s="1">
        <v>0</v>
      </c>
      <c r="AO871" s="1">
        <f t="shared" si="90"/>
        <v>2</v>
      </c>
    </row>
    <row r="872" spans="1:41" x14ac:dyDescent="0.4">
      <c r="A872" s="1">
        <v>1</v>
      </c>
      <c r="B872" s="1" t="s">
        <v>948</v>
      </c>
      <c r="C872" s="1" t="s">
        <v>41</v>
      </c>
      <c r="D872" s="2">
        <v>38972</v>
      </c>
      <c r="E872" s="1">
        <v>255</v>
      </c>
      <c r="F872" s="1">
        <v>7.5</v>
      </c>
      <c r="G872" s="3">
        <v>0.64814814814814814</v>
      </c>
      <c r="H872" s="3">
        <v>0.64870370370370367</v>
      </c>
      <c r="I872" s="3">
        <v>5.5555555555553138E-4</v>
      </c>
      <c r="J872" s="3">
        <v>1.5046296296283845E-4</v>
      </c>
      <c r="K872" s="5">
        <f t="shared" si="89"/>
        <v>13</v>
      </c>
      <c r="L872" s="3">
        <v>2.4884259259259078E-3</v>
      </c>
      <c r="N872" s="1" t="s">
        <v>42</v>
      </c>
      <c r="O872" s="1" t="s">
        <v>286</v>
      </c>
      <c r="P872" s="1" t="s">
        <v>44</v>
      </c>
      <c r="Q872" s="1" t="s">
        <v>76</v>
      </c>
      <c r="S872" s="1" t="s">
        <v>46</v>
      </c>
      <c r="T872" s="1" t="s">
        <v>47</v>
      </c>
      <c r="U872" s="1" t="s">
        <v>92</v>
      </c>
      <c r="AB872" s="1" t="s">
        <v>93</v>
      </c>
      <c r="AC872" s="1">
        <v>1</v>
      </c>
      <c r="AF872" s="1" t="s">
        <v>153</v>
      </c>
      <c r="AG872" s="1" t="s">
        <v>1009</v>
      </c>
      <c r="AI872" s="1" t="s">
        <v>75</v>
      </c>
      <c r="AK872" s="1" t="s">
        <v>86</v>
      </c>
      <c r="AL872" s="1" t="s">
        <v>87</v>
      </c>
      <c r="AM872" s="1">
        <v>1</v>
      </c>
      <c r="AN872" s="1">
        <v>0</v>
      </c>
      <c r="AO872" s="1">
        <f t="shared" si="90"/>
        <v>1</v>
      </c>
    </row>
    <row r="873" spans="1:41" x14ac:dyDescent="0.4">
      <c r="A873" s="1">
        <v>1</v>
      </c>
      <c r="B873" s="1" t="s">
        <v>948</v>
      </c>
      <c r="C873" s="1" t="s">
        <v>41</v>
      </c>
      <c r="D873" s="2">
        <v>38972</v>
      </c>
      <c r="E873" s="1">
        <v>255</v>
      </c>
      <c r="F873" s="1">
        <v>8</v>
      </c>
      <c r="G873" s="3">
        <v>0.65119212962962958</v>
      </c>
      <c r="H873" s="3">
        <v>0.65241898148148147</v>
      </c>
      <c r="I873" s="3">
        <v>1.2268518518518956E-3</v>
      </c>
      <c r="J873" s="3">
        <v>1.1342592592592515E-3</v>
      </c>
      <c r="K873" s="5">
        <f t="shared" si="89"/>
        <v>98</v>
      </c>
      <c r="L873" s="3">
        <v>6.2499999999998668E-4</v>
      </c>
      <c r="N873" s="1" t="s">
        <v>42</v>
      </c>
      <c r="O873" s="1" t="s">
        <v>286</v>
      </c>
      <c r="P873" s="1" t="s">
        <v>44</v>
      </c>
      <c r="Q873" s="1" t="s">
        <v>76</v>
      </c>
      <c r="S873" s="1" t="s">
        <v>46</v>
      </c>
      <c r="T873" s="1" t="s">
        <v>47</v>
      </c>
      <c r="U873" s="1" t="s">
        <v>66</v>
      </c>
      <c r="V873" s="1" t="s">
        <v>49</v>
      </c>
      <c r="W873" s="1" t="s">
        <v>168</v>
      </c>
      <c r="X873" s="1" t="s">
        <v>96</v>
      </c>
      <c r="Y873" s="1" t="s">
        <v>376</v>
      </c>
      <c r="AB873" s="1" t="s">
        <v>1010</v>
      </c>
      <c r="AC873" s="1">
        <v>0</v>
      </c>
      <c r="AD873" s="1" t="s">
        <v>56</v>
      </c>
      <c r="AE873" s="1" t="s">
        <v>70</v>
      </c>
      <c r="AF873" s="1" t="s">
        <v>84</v>
      </c>
      <c r="AG873" s="1" t="s">
        <v>1011</v>
      </c>
      <c r="AH873" s="1" t="s">
        <v>157</v>
      </c>
      <c r="AI873" s="1" t="s">
        <v>71</v>
      </c>
      <c r="AK873" s="1" t="s">
        <v>116</v>
      </c>
      <c r="AL873" s="1" t="s">
        <v>174</v>
      </c>
      <c r="AM873" s="1">
        <v>3</v>
      </c>
      <c r="AN873" s="1">
        <v>0</v>
      </c>
      <c r="AO873" s="1">
        <f t="shared" si="90"/>
        <v>3</v>
      </c>
    </row>
    <row r="874" spans="1:41" x14ac:dyDescent="0.4">
      <c r="A874" s="1">
        <v>1</v>
      </c>
      <c r="B874" s="1" t="s">
        <v>948</v>
      </c>
      <c r="C874" s="1" t="s">
        <v>41</v>
      </c>
      <c r="D874" s="2">
        <v>38972</v>
      </c>
      <c r="E874" s="1">
        <v>255</v>
      </c>
      <c r="F874" s="1">
        <v>8.5</v>
      </c>
      <c r="G874" s="3">
        <v>0.65304398148148146</v>
      </c>
      <c r="H874" s="3">
        <v>0.65312499999999996</v>
      </c>
      <c r="I874" s="3">
        <v>8.1018518518494176E-5</v>
      </c>
      <c r="J874" s="3">
        <v>8.1018518518494176E-5</v>
      </c>
      <c r="K874" s="5">
        <f t="shared" si="89"/>
        <v>7</v>
      </c>
      <c r="L874" s="3">
        <v>1.0532407407407574E-3</v>
      </c>
      <c r="N874" s="1" t="s">
        <v>42</v>
      </c>
      <c r="O874" s="1" t="s">
        <v>286</v>
      </c>
      <c r="P874" s="1" t="s">
        <v>44</v>
      </c>
      <c r="Q874" s="1" t="s">
        <v>76</v>
      </c>
      <c r="S874" s="1" t="s">
        <v>46</v>
      </c>
      <c r="AB874" s="1" t="s">
        <v>93</v>
      </c>
      <c r="AC874" s="1">
        <v>1</v>
      </c>
      <c r="AG874" s="1" t="s">
        <v>1011</v>
      </c>
      <c r="AK874" s="1" t="s">
        <v>61</v>
      </c>
      <c r="AL874" s="1" t="s">
        <v>61</v>
      </c>
      <c r="AM874" s="1">
        <v>3</v>
      </c>
      <c r="AN874" s="1">
        <v>0</v>
      </c>
      <c r="AO874" s="1">
        <f t="shared" si="90"/>
        <v>3</v>
      </c>
    </row>
    <row r="875" spans="1:41" x14ac:dyDescent="0.4">
      <c r="A875" s="1">
        <v>1</v>
      </c>
      <c r="B875" s="1" t="s">
        <v>948</v>
      </c>
      <c r="C875" s="1" t="s">
        <v>41</v>
      </c>
      <c r="D875" s="2">
        <v>38972</v>
      </c>
      <c r="E875" s="1">
        <v>255</v>
      </c>
      <c r="F875" s="1">
        <v>8.6999999999999993</v>
      </c>
      <c r="G875" s="3">
        <v>0.65417824074074071</v>
      </c>
      <c r="H875" s="3">
        <v>0.65418981481481475</v>
      </c>
      <c r="I875" s="3">
        <v>1.1574074074038876E-5</v>
      </c>
      <c r="J875" s="3">
        <v>1.1574074074038876E-5</v>
      </c>
      <c r="K875" s="5">
        <f t="shared" si="89"/>
        <v>1</v>
      </c>
      <c r="L875" s="3">
        <v>4.0740740740741188E-3</v>
      </c>
      <c r="N875" s="1" t="s">
        <v>42</v>
      </c>
      <c r="O875" s="1" t="s">
        <v>286</v>
      </c>
      <c r="P875" s="1" t="s">
        <v>44</v>
      </c>
      <c r="Q875" s="1" t="s">
        <v>76</v>
      </c>
      <c r="S875" s="1" t="s">
        <v>46</v>
      </c>
      <c r="T875" s="1" t="s">
        <v>47</v>
      </c>
      <c r="U875" s="1" t="s">
        <v>66</v>
      </c>
      <c r="AB875" s="1" t="s">
        <v>93</v>
      </c>
      <c r="AC875" s="1">
        <v>1</v>
      </c>
      <c r="AG875" s="1" t="s">
        <v>1011</v>
      </c>
      <c r="AI875" s="1" t="s">
        <v>71</v>
      </c>
      <c r="AK875" s="1" t="s">
        <v>86</v>
      </c>
      <c r="AL875" s="1" t="s">
        <v>133</v>
      </c>
      <c r="AM875" s="1">
        <v>3</v>
      </c>
      <c r="AN875" s="1">
        <v>0</v>
      </c>
      <c r="AO875" s="1">
        <f t="shared" si="90"/>
        <v>3</v>
      </c>
    </row>
    <row r="876" spans="1:41" x14ac:dyDescent="0.4">
      <c r="A876" s="1">
        <v>1</v>
      </c>
      <c r="B876" s="1" t="s">
        <v>948</v>
      </c>
      <c r="C876" s="1" t="s">
        <v>41</v>
      </c>
      <c r="D876" s="2">
        <v>38972</v>
      </c>
      <c r="E876" s="1">
        <v>255</v>
      </c>
      <c r="F876" s="1">
        <v>9</v>
      </c>
      <c r="G876" s="3">
        <v>0.65826388888888887</v>
      </c>
      <c r="H876" s="3">
        <v>0.66771990740740739</v>
      </c>
      <c r="I876" s="3">
        <v>9.4560185185185164E-3</v>
      </c>
      <c r="J876" s="3">
        <v>9.4560185185185164E-3</v>
      </c>
      <c r="K876" s="5">
        <f t="shared" si="89"/>
        <v>817</v>
      </c>
      <c r="L876" s="3">
        <v>4.7106481481481444E-3</v>
      </c>
      <c r="N876" s="1" t="s">
        <v>42</v>
      </c>
      <c r="O876" s="1" t="s">
        <v>286</v>
      </c>
      <c r="P876" s="1" t="s">
        <v>44</v>
      </c>
      <c r="Q876" s="1" t="s">
        <v>76</v>
      </c>
      <c r="S876" s="1" t="s">
        <v>46</v>
      </c>
      <c r="T876" s="1" t="s">
        <v>124</v>
      </c>
      <c r="U876" s="1" t="s">
        <v>66</v>
      </c>
      <c r="V876" s="1" t="s">
        <v>49</v>
      </c>
      <c r="W876" s="1" t="s">
        <v>77</v>
      </c>
      <c r="X876" s="1" t="s">
        <v>405</v>
      </c>
      <c r="Y876" s="1" t="s">
        <v>126</v>
      </c>
      <c r="Z876" s="1" t="s">
        <v>127</v>
      </c>
      <c r="AA876" s="1" t="s">
        <v>576</v>
      </c>
      <c r="AB876" s="1" t="s">
        <v>577</v>
      </c>
      <c r="AC876" s="1">
        <v>0</v>
      </c>
      <c r="AD876" s="1" t="s">
        <v>56</v>
      </c>
      <c r="AE876" s="1" t="s">
        <v>181</v>
      </c>
      <c r="AF876" s="1" t="s">
        <v>84</v>
      </c>
      <c r="AG876" s="1" t="s">
        <v>972</v>
      </c>
      <c r="AH876" s="1" t="s">
        <v>59</v>
      </c>
      <c r="AI876" s="1" t="s">
        <v>71</v>
      </c>
      <c r="AK876" s="1" t="s">
        <v>86</v>
      </c>
      <c r="AL876" s="1" t="s">
        <v>87</v>
      </c>
      <c r="AM876" s="1">
        <v>10</v>
      </c>
      <c r="AN876" s="1">
        <v>0</v>
      </c>
      <c r="AO876" s="1">
        <f t="shared" si="90"/>
        <v>10</v>
      </c>
    </row>
    <row r="877" spans="1:41" x14ac:dyDescent="0.4">
      <c r="A877" s="1">
        <v>1</v>
      </c>
      <c r="B877" s="1" t="s">
        <v>948</v>
      </c>
      <c r="C877" s="1" t="s">
        <v>41</v>
      </c>
      <c r="D877" s="2">
        <v>38972</v>
      </c>
      <c r="E877" s="1">
        <v>255</v>
      </c>
      <c r="F877" s="1">
        <v>9.5</v>
      </c>
      <c r="G877" s="3">
        <v>0.67243055555555553</v>
      </c>
      <c r="H877" s="3">
        <v>0.67314814814814816</v>
      </c>
      <c r="I877" s="3">
        <v>7.1759259259263075E-4</v>
      </c>
      <c r="J877" s="3">
        <v>3.472222222222765E-4</v>
      </c>
      <c r="K877" s="5">
        <f t="shared" si="89"/>
        <v>30</v>
      </c>
      <c r="L877" s="3" t="s">
        <v>120</v>
      </c>
      <c r="N877" s="1" t="s">
        <v>42</v>
      </c>
      <c r="O877" s="1" t="s">
        <v>286</v>
      </c>
      <c r="P877" s="1" t="s">
        <v>44</v>
      </c>
      <c r="Q877" s="1" t="s">
        <v>45</v>
      </c>
      <c r="S877" s="1" t="s">
        <v>46</v>
      </c>
      <c r="T877" s="1" t="s">
        <v>47</v>
      </c>
      <c r="U877" s="1" t="s">
        <v>156</v>
      </c>
      <c r="AB877" s="1" t="s">
        <v>93</v>
      </c>
      <c r="AC877" s="1">
        <v>1</v>
      </c>
      <c r="AI877" s="1" t="s">
        <v>75</v>
      </c>
      <c r="AK877" s="1" t="s">
        <v>86</v>
      </c>
      <c r="AL877" s="1" t="s">
        <v>187</v>
      </c>
      <c r="AN877" s="1">
        <v>1</v>
      </c>
      <c r="AO877" s="1">
        <f t="shared" si="90"/>
        <v>1</v>
      </c>
    </row>
    <row r="878" spans="1:41" x14ac:dyDescent="0.4">
      <c r="A878" s="1">
        <v>1</v>
      </c>
      <c r="B878" s="1" t="s">
        <v>948</v>
      </c>
      <c r="C878" s="1" t="s">
        <v>41</v>
      </c>
      <c r="D878" s="2">
        <v>38973</v>
      </c>
      <c r="E878" s="1">
        <v>256</v>
      </c>
      <c r="F878" s="1">
        <v>0.7</v>
      </c>
      <c r="G878" s="3">
        <v>0.27288194444444441</v>
      </c>
      <c r="H878" s="3">
        <v>0.28157407407407409</v>
      </c>
      <c r="I878" s="3">
        <v>8.6921296296296746E-3</v>
      </c>
      <c r="J878" s="3">
        <v>5.4398148148160352E-4</v>
      </c>
      <c r="K878" s="5">
        <f t="shared" si="89"/>
        <v>47</v>
      </c>
      <c r="L878" s="3">
        <v>3.6921296296296147E-3</v>
      </c>
      <c r="N878" s="1" t="s">
        <v>42</v>
      </c>
      <c r="O878" s="1" t="s">
        <v>286</v>
      </c>
      <c r="P878" s="1" t="s">
        <v>44</v>
      </c>
      <c r="Q878" s="1" t="s">
        <v>76</v>
      </c>
      <c r="S878" s="1" t="s">
        <v>46</v>
      </c>
      <c r="T878" s="1" t="s">
        <v>47</v>
      </c>
      <c r="U878" s="1" t="s">
        <v>156</v>
      </c>
      <c r="AB878" s="1" t="s">
        <v>93</v>
      </c>
      <c r="AC878" s="1">
        <v>1</v>
      </c>
      <c r="AG878" s="1" t="s">
        <v>996</v>
      </c>
      <c r="AI878" s="1" t="s">
        <v>75</v>
      </c>
      <c r="AK878" s="1" t="s">
        <v>86</v>
      </c>
      <c r="AL878" s="1" t="s">
        <v>87</v>
      </c>
      <c r="AM878" s="1">
        <v>3</v>
      </c>
      <c r="AN878" s="1">
        <v>0</v>
      </c>
      <c r="AO878" s="1">
        <f t="shared" si="90"/>
        <v>3</v>
      </c>
    </row>
    <row r="879" spans="1:41" x14ac:dyDescent="0.4">
      <c r="A879" s="1">
        <v>1</v>
      </c>
      <c r="B879" s="1" t="s">
        <v>948</v>
      </c>
      <c r="C879" s="1" t="s">
        <v>41</v>
      </c>
      <c r="D879" s="2">
        <v>38973</v>
      </c>
      <c r="E879" s="1">
        <v>256</v>
      </c>
      <c r="F879" s="1">
        <v>0.8</v>
      </c>
      <c r="G879" s="3">
        <v>0.2852662037037037</v>
      </c>
      <c r="H879" s="3">
        <v>0.28541666666666665</v>
      </c>
      <c r="I879" s="3">
        <v>1.5046296296294948E-4</v>
      </c>
      <c r="J879" s="3">
        <v>1.5046296296294948E-4</v>
      </c>
      <c r="K879" s="5">
        <f t="shared" si="89"/>
        <v>13</v>
      </c>
      <c r="L879" s="3">
        <v>3.8587962962963018E-2</v>
      </c>
      <c r="N879" s="1" t="s">
        <v>42</v>
      </c>
      <c r="O879" s="1" t="s">
        <v>286</v>
      </c>
      <c r="P879" s="1" t="s">
        <v>44</v>
      </c>
      <c r="Q879" s="1" t="s">
        <v>76</v>
      </c>
      <c r="S879" s="1" t="s">
        <v>46</v>
      </c>
      <c r="T879" s="1" t="s">
        <v>47</v>
      </c>
      <c r="U879" s="1" t="s">
        <v>156</v>
      </c>
      <c r="AB879" s="1" t="s">
        <v>93</v>
      </c>
      <c r="AC879" s="1">
        <v>1</v>
      </c>
      <c r="AG879" s="1" t="s">
        <v>996</v>
      </c>
      <c r="AI879" s="1" t="s">
        <v>75</v>
      </c>
      <c r="AK879" s="1" t="s">
        <v>86</v>
      </c>
      <c r="AL879" s="1" t="s">
        <v>87</v>
      </c>
      <c r="AM879" s="1">
        <v>3</v>
      </c>
      <c r="AN879" s="1">
        <v>0</v>
      </c>
      <c r="AO879" s="1">
        <f t="shared" si="90"/>
        <v>3</v>
      </c>
    </row>
    <row r="880" spans="1:41" x14ac:dyDescent="0.4">
      <c r="A880" s="1">
        <v>1</v>
      </c>
      <c r="B880" s="1" t="s">
        <v>948</v>
      </c>
      <c r="C880" s="1" t="s">
        <v>41</v>
      </c>
      <c r="D880" s="2">
        <v>38973</v>
      </c>
      <c r="E880" s="1">
        <v>256</v>
      </c>
      <c r="F880" s="1">
        <v>1</v>
      </c>
      <c r="G880" s="3">
        <v>0.32400462962962967</v>
      </c>
      <c r="H880" s="3">
        <v>0.32899305555555552</v>
      </c>
      <c r="I880" s="3">
        <v>4.9884259259258545E-3</v>
      </c>
      <c r="J880" s="3">
        <v>2.8587962962962066E-3</v>
      </c>
      <c r="K880" s="5">
        <f t="shared" si="89"/>
        <v>247</v>
      </c>
      <c r="L880" s="3">
        <v>4.652777777777839E-3</v>
      </c>
      <c r="N880" s="1" t="s">
        <v>42</v>
      </c>
      <c r="O880" s="1" t="s">
        <v>286</v>
      </c>
      <c r="P880" s="1" t="s">
        <v>44</v>
      </c>
      <c r="Q880" s="1" t="s">
        <v>76</v>
      </c>
      <c r="S880" s="1" t="s">
        <v>46</v>
      </c>
      <c r="T880" s="1" t="s">
        <v>124</v>
      </c>
      <c r="U880" s="1" t="s">
        <v>48</v>
      </c>
      <c r="V880" s="1" t="s">
        <v>49</v>
      </c>
      <c r="W880" s="1" t="s">
        <v>77</v>
      </c>
      <c r="X880" s="1" t="s">
        <v>309</v>
      </c>
      <c r="Y880" s="1" t="s">
        <v>79</v>
      </c>
      <c r="Z880" s="1" t="s">
        <v>656</v>
      </c>
      <c r="AA880" s="1" t="s">
        <v>657</v>
      </c>
      <c r="AB880" s="1" t="s">
        <v>658</v>
      </c>
      <c r="AC880" s="1">
        <v>0</v>
      </c>
      <c r="AD880" s="1" t="s">
        <v>56</v>
      </c>
      <c r="AE880" s="1" t="s">
        <v>83</v>
      </c>
      <c r="AF880" s="1" t="s">
        <v>113</v>
      </c>
      <c r="AG880" s="1" t="s">
        <v>1012</v>
      </c>
      <c r="AH880" s="1" t="s">
        <v>115</v>
      </c>
      <c r="AI880" s="1" t="s">
        <v>60</v>
      </c>
      <c r="AK880" s="1" t="s">
        <v>116</v>
      </c>
      <c r="AL880" s="1" t="s">
        <v>174</v>
      </c>
      <c r="AM880" s="1">
        <v>1</v>
      </c>
      <c r="AN880" s="1">
        <v>0</v>
      </c>
      <c r="AO880" s="1">
        <f t="shared" si="90"/>
        <v>1</v>
      </c>
    </row>
    <row r="881" spans="1:41" x14ac:dyDescent="0.4">
      <c r="A881" s="1">
        <v>1</v>
      </c>
      <c r="B881" s="1" t="s">
        <v>948</v>
      </c>
      <c r="C881" s="1" t="s">
        <v>41</v>
      </c>
      <c r="D881" s="2">
        <v>38973</v>
      </c>
      <c r="E881" s="1">
        <v>256</v>
      </c>
      <c r="F881" s="1">
        <v>2</v>
      </c>
      <c r="G881" s="3">
        <v>0.33364583333333336</v>
      </c>
      <c r="H881" s="3">
        <v>0.34638888888888886</v>
      </c>
      <c r="I881" s="3">
        <v>1.2743055555555494E-2</v>
      </c>
      <c r="J881" s="3">
        <v>1.2743055555555494E-2</v>
      </c>
      <c r="K881" s="5">
        <f t="shared" si="89"/>
        <v>1101</v>
      </c>
      <c r="L881" s="3">
        <v>8.5416666666666696E-3</v>
      </c>
      <c r="N881" s="1" t="s">
        <v>42</v>
      </c>
      <c r="O881" s="1" t="s">
        <v>286</v>
      </c>
      <c r="P881" s="1" t="s">
        <v>44</v>
      </c>
      <c r="Q881" s="1" t="s">
        <v>45</v>
      </c>
      <c r="S881" s="1" t="s">
        <v>46</v>
      </c>
      <c r="T881" s="1" t="s">
        <v>124</v>
      </c>
      <c r="V881" s="1" t="s">
        <v>49</v>
      </c>
      <c r="W881" s="1" t="s">
        <v>77</v>
      </c>
      <c r="X881" s="1" t="s">
        <v>405</v>
      </c>
      <c r="Y881" s="1" t="s">
        <v>126</v>
      </c>
      <c r="Z881" s="1" t="s">
        <v>127</v>
      </c>
      <c r="AA881" s="1" t="s">
        <v>576</v>
      </c>
      <c r="AB881" s="1" t="s">
        <v>577</v>
      </c>
      <c r="AC881" s="1">
        <v>0</v>
      </c>
      <c r="AD881" s="1" t="s">
        <v>56</v>
      </c>
      <c r="AE881" s="1" t="s">
        <v>181</v>
      </c>
      <c r="AF881" s="1" t="s">
        <v>84</v>
      </c>
      <c r="AG881" s="1" t="s">
        <v>972</v>
      </c>
      <c r="AH881" s="1" t="s">
        <v>59</v>
      </c>
      <c r="AK881" s="1" t="s">
        <v>86</v>
      </c>
      <c r="AL881" s="1" t="s">
        <v>86</v>
      </c>
      <c r="AM881" s="1">
        <v>10</v>
      </c>
      <c r="AN881" s="1">
        <v>0</v>
      </c>
      <c r="AO881" s="1">
        <f t="shared" si="90"/>
        <v>10</v>
      </c>
    </row>
    <row r="882" spans="1:41" x14ac:dyDescent="0.4">
      <c r="A882" s="1">
        <v>1</v>
      </c>
      <c r="B882" s="1" t="s">
        <v>948</v>
      </c>
      <c r="C882" s="1" t="s">
        <v>41</v>
      </c>
      <c r="D882" s="2">
        <v>38973</v>
      </c>
      <c r="E882" s="1">
        <v>256</v>
      </c>
      <c r="F882" s="1">
        <v>2.1</v>
      </c>
      <c r="G882" s="3">
        <v>0.35493055555555553</v>
      </c>
      <c r="H882" s="3">
        <v>0.35509259259259257</v>
      </c>
      <c r="I882" s="3">
        <v>1.6203703703704386E-4</v>
      </c>
      <c r="J882" s="3">
        <v>1.6203703703704386E-4</v>
      </c>
      <c r="K882" s="5">
        <f t="shared" si="89"/>
        <v>14</v>
      </c>
      <c r="L882" s="3">
        <v>6.2569444444444455E-2</v>
      </c>
      <c r="N882" s="1" t="s">
        <v>42</v>
      </c>
      <c r="O882" s="1" t="s">
        <v>286</v>
      </c>
      <c r="P882" s="1" t="s">
        <v>44</v>
      </c>
      <c r="Q882" s="1" t="s">
        <v>76</v>
      </c>
      <c r="S882" s="1" t="s">
        <v>46</v>
      </c>
      <c r="T882" s="1" t="s">
        <v>47</v>
      </c>
      <c r="U882" s="1" t="s">
        <v>156</v>
      </c>
      <c r="V882" s="1" t="s">
        <v>67</v>
      </c>
      <c r="W882" s="1" t="s">
        <v>68</v>
      </c>
      <c r="Y882" s="1" t="s">
        <v>68</v>
      </c>
      <c r="AB882" s="1" t="s">
        <v>69</v>
      </c>
      <c r="AC882" s="1">
        <v>0</v>
      </c>
      <c r="AD882" s="1" t="s">
        <v>68</v>
      </c>
      <c r="AE882" s="1" t="s">
        <v>70</v>
      </c>
      <c r="AI882" s="1" t="s">
        <v>75</v>
      </c>
      <c r="AK882" s="1" t="s">
        <v>61</v>
      </c>
      <c r="AL882" s="1" t="s">
        <v>133</v>
      </c>
      <c r="AN882" s="1">
        <v>1</v>
      </c>
      <c r="AO882" s="1">
        <f t="shared" si="90"/>
        <v>1</v>
      </c>
    </row>
    <row r="883" spans="1:41" x14ac:dyDescent="0.4">
      <c r="A883" s="1">
        <v>1</v>
      </c>
      <c r="B883" s="1" t="s">
        <v>948</v>
      </c>
      <c r="C883" s="1" t="s">
        <v>41</v>
      </c>
      <c r="D883" s="2">
        <v>38973</v>
      </c>
      <c r="E883" s="1">
        <v>256</v>
      </c>
      <c r="F883" s="1">
        <v>2.2000000000000002</v>
      </c>
      <c r="G883" s="3">
        <v>0.41766203703703703</v>
      </c>
      <c r="H883" s="3">
        <v>0.4177777777777778</v>
      </c>
      <c r="I883" s="3">
        <v>1.1574074074077734E-4</v>
      </c>
      <c r="J883" s="3">
        <v>1.1574074074077734E-4</v>
      </c>
      <c r="K883" s="5">
        <f t="shared" si="89"/>
        <v>10</v>
      </c>
      <c r="L883" s="3">
        <v>5.4467592592592595E-2</v>
      </c>
      <c r="N883" s="1" t="s">
        <v>42</v>
      </c>
      <c r="O883" s="1" t="s">
        <v>286</v>
      </c>
      <c r="P883" s="1" t="s">
        <v>44</v>
      </c>
      <c r="Q883" s="1" t="s">
        <v>76</v>
      </c>
      <c r="S883" s="1" t="s">
        <v>46</v>
      </c>
      <c r="T883" s="1" t="s">
        <v>124</v>
      </c>
      <c r="U883" s="1" t="s">
        <v>156</v>
      </c>
      <c r="V883" s="1" t="s">
        <v>67</v>
      </c>
      <c r="W883" s="1" t="s">
        <v>68</v>
      </c>
      <c r="Y883" s="1" t="s">
        <v>68</v>
      </c>
      <c r="AB883" s="1" t="s">
        <v>69</v>
      </c>
      <c r="AC883" s="1">
        <v>0</v>
      </c>
      <c r="AD883" s="1" t="s">
        <v>68</v>
      </c>
      <c r="AE883" s="1" t="s">
        <v>70</v>
      </c>
      <c r="AI883" s="1" t="s">
        <v>75</v>
      </c>
      <c r="AK883" s="1" t="s">
        <v>86</v>
      </c>
      <c r="AL883" s="1" t="s">
        <v>133</v>
      </c>
      <c r="AN883" s="1">
        <v>1</v>
      </c>
      <c r="AO883" s="1">
        <f t="shared" si="90"/>
        <v>1</v>
      </c>
    </row>
    <row r="884" spans="1:41" x14ac:dyDescent="0.4">
      <c r="A884" s="1">
        <v>1</v>
      </c>
      <c r="B884" s="1" t="s">
        <v>948</v>
      </c>
      <c r="C884" s="1" t="s">
        <v>41</v>
      </c>
      <c r="D884" s="2">
        <v>38973</v>
      </c>
      <c r="E884" s="1">
        <v>256</v>
      </c>
      <c r="F884" s="1">
        <v>2.2999999999999998</v>
      </c>
      <c r="G884" s="3">
        <v>0.4722453703703704</v>
      </c>
      <c r="H884" s="3">
        <v>0.47225694444444444</v>
      </c>
      <c r="I884" s="3">
        <v>1.1574074074038876E-5</v>
      </c>
      <c r="J884" s="3">
        <v>1.1574074074038876E-5</v>
      </c>
      <c r="K884" s="5">
        <f t="shared" si="89"/>
        <v>1</v>
      </c>
      <c r="L884" s="3">
        <v>4.8148148148148273E-3</v>
      </c>
      <c r="N884" s="1" t="s">
        <v>42</v>
      </c>
      <c r="O884" s="1" t="s">
        <v>286</v>
      </c>
      <c r="P884" s="1" t="s">
        <v>44</v>
      </c>
      <c r="Q884" s="1" t="s">
        <v>191</v>
      </c>
      <c r="S884" s="1" t="s">
        <v>46</v>
      </c>
      <c r="T884" s="1" t="s">
        <v>47</v>
      </c>
      <c r="U884" s="1" t="s">
        <v>156</v>
      </c>
      <c r="V884" s="1" t="s">
        <v>67</v>
      </c>
      <c r="W884" s="1" t="s">
        <v>68</v>
      </c>
      <c r="Y884" s="1" t="s">
        <v>68</v>
      </c>
      <c r="AB884" s="1" t="s">
        <v>69</v>
      </c>
      <c r="AC884" s="1">
        <v>0</v>
      </c>
      <c r="AD884" s="1" t="s">
        <v>68</v>
      </c>
      <c r="AE884" s="1" t="s">
        <v>70</v>
      </c>
      <c r="AI884" s="1" t="s">
        <v>75</v>
      </c>
      <c r="AK884" s="1" t="s">
        <v>86</v>
      </c>
      <c r="AL884" s="1" t="s">
        <v>187</v>
      </c>
      <c r="AN884" s="1">
        <v>1</v>
      </c>
      <c r="AO884" s="1">
        <f t="shared" si="90"/>
        <v>1</v>
      </c>
    </row>
    <row r="885" spans="1:41" x14ac:dyDescent="0.4">
      <c r="A885" s="1">
        <v>1</v>
      </c>
      <c r="B885" s="1" t="s">
        <v>948</v>
      </c>
      <c r="C885" s="1" t="s">
        <v>41</v>
      </c>
      <c r="D885" s="2">
        <v>38973</v>
      </c>
      <c r="E885" s="1">
        <v>256</v>
      </c>
      <c r="F885" s="1">
        <v>2.4</v>
      </c>
      <c r="G885" s="3">
        <v>0.47707175925925926</v>
      </c>
      <c r="H885" s="3">
        <v>0.4770833333333333</v>
      </c>
      <c r="I885" s="3">
        <v>1.1574074074038876E-5</v>
      </c>
      <c r="J885" s="3">
        <v>1.1574074074038876E-5</v>
      </c>
      <c r="K885" s="5">
        <f t="shared" si="89"/>
        <v>1</v>
      </c>
      <c r="L885" s="3">
        <v>4.3634259259259789E-3</v>
      </c>
      <c r="N885" s="1" t="s">
        <v>42</v>
      </c>
      <c r="O885" s="1" t="s">
        <v>286</v>
      </c>
      <c r="P885" s="1" t="s">
        <v>44</v>
      </c>
      <c r="Q885" s="1" t="s">
        <v>191</v>
      </c>
      <c r="S885" s="1" t="s">
        <v>46</v>
      </c>
      <c r="T885" s="1" t="s">
        <v>47</v>
      </c>
      <c r="U885" s="1" t="s">
        <v>156</v>
      </c>
      <c r="V885" s="1" t="s">
        <v>67</v>
      </c>
      <c r="W885" s="1" t="s">
        <v>68</v>
      </c>
      <c r="Y885" s="1" t="s">
        <v>68</v>
      </c>
      <c r="AB885" s="1" t="s">
        <v>69</v>
      </c>
      <c r="AC885" s="1">
        <v>0</v>
      </c>
      <c r="AD885" s="1" t="s">
        <v>68</v>
      </c>
      <c r="AE885" s="1" t="s">
        <v>70</v>
      </c>
      <c r="AI885" s="1" t="s">
        <v>75</v>
      </c>
      <c r="AK885" s="1" t="s">
        <v>86</v>
      </c>
      <c r="AL885" s="1" t="s">
        <v>87</v>
      </c>
      <c r="AN885" s="1">
        <v>1</v>
      </c>
      <c r="AO885" s="1">
        <f t="shared" si="90"/>
        <v>1</v>
      </c>
    </row>
    <row r="886" spans="1:41" x14ac:dyDescent="0.4">
      <c r="A886" s="1">
        <v>1</v>
      </c>
      <c r="B886" s="1" t="s">
        <v>948</v>
      </c>
      <c r="C886" s="1" t="s">
        <v>41</v>
      </c>
      <c r="D886" s="2">
        <v>38973</v>
      </c>
      <c r="E886" s="1">
        <v>256</v>
      </c>
      <c r="F886" s="1">
        <v>2.5</v>
      </c>
      <c r="G886" s="3">
        <v>0.48144675925925928</v>
      </c>
      <c r="H886" s="3">
        <v>0.48155092592592591</v>
      </c>
      <c r="I886" s="3">
        <v>1.0416666666662744E-4</v>
      </c>
      <c r="J886" s="3">
        <v>1.0416666666662744E-4</v>
      </c>
      <c r="K886" s="5">
        <f t="shared" si="89"/>
        <v>9</v>
      </c>
      <c r="L886" s="3">
        <v>1.7708333333333381E-2</v>
      </c>
      <c r="N886" s="1" t="s">
        <v>42</v>
      </c>
      <c r="O886" s="1" t="s">
        <v>286</v>
      </c>
      <c r="P886" s="1" t="s">
        <v>44</v>
      </c>
      <c r="Q886" s="1" t="s">
        <v>76</v>
      </c>
      <c r="S886" s="1" t="s">
        <v>46</v>
      </c>
      <c r="T886" s="1" t="s">
        <v>124</v>
      </c>
      <c r="V886" s="1" t="s">
        <v>67</v>
      </c>
      <c r="W886" s="1" t="s">
        <v>68</v>
      </c>
      <c r="Y886" s="1" t="s">
        <v>68</v>
      </c>
      <c r="AB886" s="1" t="s">
        <v>69</v>
      </c>
      <c r="AC886" s="1">
        <v>0</v>
      </c>
      <c r="AD886" s="1" t="s">
        <v>68</v>
      </c>
      <c r="AE886" s="1" t="s">
        <v>70</v>
      </c>
      <c r="AG886" s="1" t="s">
        <v>949</v>
      </c>
      <c r="AK886" s="1" t="s">
        <v>86</v>
      </c>
      <c r="AL886" s="1" t="s">
        <v>187</v>
      </c>
      <c r="AM886" s="1">
        <v>4</v>
      </c>
      <c r="AN886" s="1">
        <v>0</v>
      </c>
      <c r="AO886" s="1">
        <f t="shared" si="90"/>
        <v>4</v>
      </c>
    </row>
    <row r="887" spans="1:41" x14ac:dyDescent="0.4">
      <c r="A887" s="1">
        <v>1</v>
      </c>
      <c r="B887" s="1" t="s">
        <v>948</v>
      </c>
      <c r="C887" s="1" t="s">
        <v>41</v>
      </c>
      <c r="D887" s="2">
        <v>38973</v>
      </c>
      <c r="E887" s="1">
        <v>256</v>
      </c>
      <c r="F887" s="1">
        <v>2.6</v>
      </c>
      <c r="G887" s="3">
        <v>0.49925925925925929</v>
      </c>
      <c r="H887" s="3">
        <v>0.50006944444444446</v>
      </c>
      <c r="I887" s="3">
        <v>8.101851851851638E-4</v>
      </c>
      <c r="J887" s="3">
        <v>9.2592592592477541E-5</v>
      </c>
      <c r="K887" s="5">
        <f t="shared" si="89"/>
        <v>8</v>
      </c>
      <c r="L887" s="3">
        <v>5.138888888888915E-3</v>
      </c>
      <c r="N887" s="1" t="s">
        <v>42</v>
      </c>
      <c r="O887" s="1" t="s">
        <v>286</v>
      </c>
      <c r="P887" s="1" t="s">
        <v>44</v>
      </c>
      <c r="Q887" s="1" t="s">
        <v>76</v>
      </c>
      <c r="S887" s="1" t="s">
        <v>46</v>
      </c>
      <c r="T887" s="1" t="s">
        <v>47</v>
      </c>
      <c r="U887" s="1" t="s">
        <v>66</v>
      </c>
      <c r="V887" s="1" t="s">
        <v>67</v>
      </c>
      <c r="W887" s="1" t="s">
        <v>68</v>
      </c>
      <c r="Y887" s="1" t="s">
        <v>68</v>
      </c>
      <c r="AB887" s="1" t="s">
        <v>69</v>
      </c>
      <c r="AC887" s="1">
        <v>0</v>
      </c>
      <c r="AD887" s="1" t="s">
        <v>68</v>
      </c>
      <c r="AE887" s="1" t="s">
        <v>70</v>
      </c>
      <c r="AG887" s="1" t="s">
        <v>949</v>
      </c>
      <c r="AI887" s="1" t="s">
        <v>71</v>
      </c>
      <c r="AK887" s="1" t="s">
        <v>86</v>
      </c>
      <c r="AL887" s="1" t="s">
        <v>87</v>
      </c>
      <c r="AM887" s="1">
        <v>4</v>
      </c>
      <c r="AN887" s="1">
        <v>0</v>
      </c>
      <c r="AO887" s="1">
        <f t="shared" si="90"/>
        <v>4</v>
      </c>
    </row>
    <row r="888" spans="1:41" x14ac:dyDescent="0.4">
      <c r="A888" s="1">
        <v>1</v>
      </c>
      <c r="B888" s="1" t="s">
        <v>948</v>
      </c>
      <c r="C888" s="1" t="s">
        <v>41</v>
      </c>
      <c r="D888" s="2">
        <v>38973</v>
      </c>
      <c r="E888" s="1">
        <v>256</v>
      </c>
      <c r="F888" s="1">
        <v>2.7</v>
      </c>
      <c r="G888" s="3">
        <v>0.50520833333333337</v>
      </c>
      <c r="H888" s="3">
        <v>0.50527777777777783</v>
      </c>
      <c r="I888" s="3">
        <v>6.94444444444553E-5</v>
      </c>
      <c r="J888" s="3">
        <v>6.94444444444553E-5</v>
      </c>
      <c r="K888" s="5">
        <f t="shared" si="89"/>
        <v>6</v>
      </c>
      <c r="L888" s="3">
        <v>6.0775462962962878E-2</v>
      </c>
      <c r="N888" s="1" t="s">
        <v>42</v>
      </c>
      <c r="O888" s="1" t="s">
        <v>286</v>
      </c>
      <c r="P888" s="1" t="s">
        <v>44</v>
      </c>
      <c r="Q888" s="1" t="s">
        <v>76</v>
      </c>
      <c r="S888" s="1" t="s">
        <v>46</v>
      </c>
      <c r="T888" s="1" t="s">
        <v>47</v>
      </c>
      <c r="U888" s="1" t="s">
        <v>48</v>
      </c>
      <c r="V888" s="1" t="s">
        <v>67</v>
      </c>
      <c r="W888" s="1" t="s">
        <v>68</v>
      </c>
      <c r="Y888" s="1" t="s">
        <v>68</v>
      </c>
      <c r="AB888" s="1" t="s">
        <v>69</v>
      </c>
      <c r="AC888" s="1">
        <v>0</v>
      </c>
      <c r="AD888" s="1" t="s">
        <v>68</v>
      </c>
      <c r="AE888" s="1" t="s">
        <v>70</v>
      </c>
      <c r="AG888" s="1" t="s">
        <v>949</v>
      </c>
      <c r="AI888" s="1" t="s">
        <v>60</v>
      </c>
      <c r="AK888" s="1" t="s">
        <v>86</v>
      </c>
      <c r="AL888" s="1" t="s">
        <v>87</v>
      </c>
      <c r="AM888" s="1">
        <v>4</v>
      </c>
      <c r="AN888" s="1">
        <v>0</v>
      </c>
      <c r="AO888" s="1">
        <f t="shared" si="90"/>
        <v>4</v>
      </c>
    </row>
    <row r="889" spans="1:41" x14ac:dyDescent="0.4">
      <c r="A889" s="1">
        <v>1</v>
      </c>
      <c r="B889" s="1" t="s">
        <v>948</v>
      </c>
      <c r="C889" s="1" t="s">
        <v>41</v>
      </c>
      <c r="D889" s="2">
        <v>38973</v>
      </c>
      <c r="E889" s="1">
        <v>256</v>
      </c>
      <c r="F889" s="1">
        <v>2.8</v>
      </c>
      <c r="G889" s="3">
        <v>0.5660532407407407</v>
      </c>
      <c r="H889" s="3">
        <v>0.57906250000000004</v>
      </c>
      <c r="I889" s="3">
        <v>1.3009259259259331E-2</v>
      </c>
      <c r="J889" s="3">
        <v>3.472222222222765E-5</v>
      </c>
      <c r="K889" s="5">
        <f t="shared" si="89"/>
        <v>3</v>
      </c>
      <c r="L889" s="3">
        <v>3.0937499999999951E-2</v>
      </c>
      <c r="N889" s="1" t="s">
        <v>75</v>
      </c>
      <c r="O889" s="1" t="s">
        <v>286</v>
      </c>
      <c r="P889" s="1" t="s">
        <v>44</v>
      </c>
      <c r="Q889" s="1" t="s">
        <v>191</v>
      </c>
      <c r="S889" s="1" t="s">
        <v>46</v>
      </c>
      <c r="T889" s="1" t="s">
        <v>47</v>
      </c>
      <c r="U889" s="1" t="s">
        <v>66</v>
      </c>
      <c r="V889" s="1" t="s">
        <v>67</v>
      </c>
      <c r="W889" s="1" t="s">
        <v>68</v>
      </c>
      <c r="Y889" s="1" t="s">
        <v>68</v>
      </c>
      <c r="AB889" s="1" t="s">
        <v>69</v>
      </c>
      <c r="AC889" s="1">
        <v>0</v>
      </c>
      <c r="AD889" s="1" t="s">
        <v>68</v>
      </c>
      <c r="AE889" s="1" t="s">
        <v>70</v>
      </c>
      <c r="AG889" s="1" t="s">
        <v>1013</v>
      </c>
      <c r="AI889" s="1" t="s">
        <v>75</v>
      </c>
      <c r="AK889" s="1" t="s">
        <v>86</v>
      </c>
      <c r="AL889" s="1" t="s">
        <v>87</v>
      </c>
      <c r="AM889" s="1">
        <v>6</v>
      </c>
      <c r="AN889" s="1">
        <v>0</v>
      </c>
      <c r="AO889" s="1">
        <f t="shared" si="90"/>
        <v>6</v>
      </c>
    </row>
    <row r="890" spans="1:41" x14ac:dyDescent="0.4">
      <c r="A890" s="1">
        <v>1</v>
      </c>
      <c r="B890" s="1" t="s">
        <v>948</v>
      </c>
      <c r="C890" s="1" t="s">
        <v>41</v>
      </c>
      <c r="D890" s="2">
        <v>38973</v>
      </c>
      <c r="E890" s="1">
        <v>256</v>
      </c>
      <c r="F890" s="1">
        <v>2.9</v>
      </c>
      <c r="G890" s="3">
        <v>0.61</v>
      </c>
      <c r="H890" s="3">
        <v>0.6100578703703704</v>
      </c>
      <c r="I890" s="3">
        <v>5.7870370370416424E-5</v>
      </c>
      <c r="J890" s="3">
        <v>5.7870370370416424E-5</v>
      </c>
      <c r="K890" s="5">
        <f t="shared" si="89"/>
        <v>5</v>
      </c>
      <c r="L890" s="3">
        <v>2.0937499999999942E-2</v>
      </c>
      <c r="N890" s="1" t="s">
        <v>42</v>
      </c>
      <c r="O890" s="1" t="s">
        <v>286</v>
      </c>
      <c r="P890" s="1" t="s">
        <v>44</v>
      </c>
      <c r="Q890" s="1" t="s">
        <v>76</v>
      </c>
      <c r="S890" s="1" t="s">
        <v>46</v>
      </c>
      <c r="T890" s="1" t="s">
        <v>47</v>
      </c>
      <c r="U890" s="1" t="s">
        <v>48</v>
      </c>
      <c r="V890" s="1" t="s">
        <v>67</v>
      </c>
      <c r="W890" s="1" t="s">
        <v>68</v>
      </c>
      <c r="Y890" s="1" t="s">
        <v>68</v>
      </c>
      <c r="AB890" s="1" t="s">
        <v>69</v>
      </c>
      <c r="AC890" s="1">
        <v>0</v>
      </c>
      <c r="AD890" s="1" t="s">
        <v>68</v>
      </c>
      <c r="AE890" s="1" t="s">
        <v>70</v>
      </c>
      <c r="AG890" s="1" t="s">
        <v>1013</v>
      </c>
      <c r="AI890" s="1" t="s">
        <v>60</v>
      </c>
      <c r="AK890" s="1" t="s">
        <v>86</v>
      </c>
      <c r="AL890" s="1" t="s">
        <v>133</v>
      </c>
      <c r="AM890" s="1">
        <v>6</v>
      </c>
      <c r="AN890" s="1">
        <v>0</v>
      </c>
      <c r="AO890" s="1">
        <f t="shared" si="90"/>
        <v>6</v>
      </c>
    </row>
    <row r="891" spans="1:41" x14ac:dyDescent="0.4">
      <c r="A891" s="1">
        <v>1</v>
      </c>
      <c r="B891" s="1" t="s">
        <v>948</v>
      </c>
      <c r="C891" s="1" t="s">
        <v>41</v>
      </c>
      <c r="D891" s="2">
        <v>38973</v>
      </c>
      <c r="E891" s="1">
        <v>256</v>
      </c>
      <c r="F891" s="1">
        <v>2.95</v>
      </c>
      <c r="G891" s="3">
        <v>0.63099537037037035</v>
      </c>
      <c r="H891" s="3">
        <v>0.63156250000000003</v>
      </c>
      <c r="I891" s="3">
        <v>5.6712962962968128E-4</v>
      </c>
      <c r="J891" s="3">
        <v>2.1990740740740478E-4</v>
      </c>
      <c r="K891" s="5">
        <f t="shared" si="89"/>
        <v>19</v>
      </c>
      <c r="L891" s="3">
        <v>6.4120370370369661E-3</v>
      </c>
      <c r="N891" s="1" t="s">
        <v>42</v>
      </c>
      <c r="O891" s="1" t="s">
        <v>286</v>
      </c>
      <c r="P891" s="1" t="s">
        <v>44</v>
      </c>
      <c r="Q891" s="1" t="s">
        <v>76</v>
      </c>
      <c r="S891" s="1" t="s">
        <v>46</v>
      </c>
      <c r="T891" s="1" t="s">
        <v>47</v>
      </c>
      <c r="U891" s="1" t="s">
        <v>48</v>
      </c>
      <c r="V891" s="1" t="s">
        <v>67</v>
      </c>
      <c r="W891" s="1" t="s">
        <v>68</v>
      </c>
      <c r="Y891" s="1" t="s">
        <v>68</v>
      </c>
      <c r="AB891" s="1" t="s">
        <v>69</v>
      </c>
      <c r="AC891" s="1">
        <v>0</v>
      </c>
      <c r="AD891" s="1" t="s">
        <v>68</v>
      </c>
      <c r="AE891" s="1" t="s">
        <v>70</v>
      </c>
      <c r="AG891" s="1" t="s">
        <v>1013</v>
      </c>
      <c r="AI891" s="1" t="s">
        <v>60</v>
      </c>
      <c r="AK891" s="1" t="s">
        <v>86</v>
      </c>
      <c r="AL891" s="1" t="s">
        <v>133</v>
      </c>
      <c r="AM891" s="1">
        <v>6</v>
      </c>
      <c r="AN891" s="1">
        <v>0</v>
      </c>
      <c r="AO891" s="1">
        <f t="shared" si="90"/>
        <v>6</v>
      </c>
    </row>
    <row r="892" spans="1:41" x14ac:dyDescent="0.4">
      <c r="A892" s="1">
        <v>1</v>
      </c>
      <c r="B892" s="1" t="s">
        <v>948</v>
      </c>
      <c r="C892" s="1" t="s">
        <v>41</v>
      </c>
      <c r="D892" s="2">
        <v>38973</v>
      </c>
      <c r="E892" s="1">
        <v>256</v>
      </c>
      <c r="F892" s="1">
        <v>2.97</v>
      </c>
      <c r="G892" s="3">
        <v>0.63797453703703699</v>
      </c>
      <c r="H892" s="3">
        <v>0.63804398148148145</v>
      </c>
      <c r="I892" s="3">
        <v>6.94444444444553E-5</v>
      </c>
      <c r="J892" s="3">
        <v>6.94444444444553E-5</v>
      </c>
      <c r="K892" s="5">
        <f t="shared" si="89"/>
        <v>6</v>
      </c>
      <c r="L892" s="3">
        <v>2.1875000000000089E-3</v>
      </c>
      <c r="N892" s="1" t="s">
        <v>42</v>
      </c>
      <c r="O892" s="1" t="s">
        <v>286</v>
      </c>
      <c r="P892" s="1" t="s">
        <v>44</v>
      </c>
      <c r="Q892" s="1" t="s">
        <v>76</v>
      </c>
      <c r="S892" s="1" t="s">
        <v>46</v>
      </c>
      <c r="T892" s="1" t="s">
        <v>47</v>
      </c>
      <c r="V892" s="1" t="s">
        <v>67</v>
      </c>
      <c r="W892" s="1" t="s">
        <v>68</v>
      </c>
      <c r="Y892" s="1" t="s">
        <v>68</v>
      </c>
      <c r="AB892" s="1" t="s">
        <v>69</v>
      </c>
      <c r="AC892" s="1">
        <v>0</v>
      </c>
      <c r="AD892" s="1" t="s">
        <v>68</v>
      </c>
      <c r="AE892" s="1" t="s">
        <v>70</v>
      </c>
      <c r="AG892" s="1" t="s">
        <v>1013</v>
      </c>
      <c r="AK892" s="1" t="s">
        <v>86</v>
      </c>
      <c r="AL892" s="1" t="s">
        <v>133</v>
      </c>
      <c r="AM892" s="1">
        <v>6</v>
      </c>
      <c r="AN892" s="1">
        <v>0</v>
      </c>
      <c r="AO892" s="1">
        <f t="shared" si="90"/>
        <v>6</v>
      </c>
    </row>
    <row r="893" spans="1:41" x14ac:dyDescent="0.4">
      <c r="A893" s="1">
        <v>1</v>
      </c>
      <c r="B893" s="1" t="s">
        <v>948</v>
      </c>
      <c r="C893" s="1" t="s">
        <v>41</v>
      </c>
      <c r="D893" s="2">
        <v>38973</v>
      </c>
      <c r="E893" s="1">
        <v>256</v>
      </c>
      <c r="F893" s="1">
        <v>3</v>
      </c>
      <c r="G893" s="3">
        <v>0.64023148148148146</v>
      </c>
      <c r="H893" s="3">
        <v>0.64252314814814815</v>
      </c>
      <c r="I893" s="3">
        <v>2.2916666666666918E-3</v>
      </c>
      <c r="J893" s="3">
        <v>1.388888888888884E-3</v>
      </c>
      <c r="K893" s="5">
        <f t="shared" si="89"/>
        <v>120</v>
      </c>
      <c r="L893" s="3">
        <v>1.533564814814814E-2</v>
      </c>
      <c r="N893" s="1" t="s">
        <v>42</v>
      </c>
      <c r="O893" s="1" t="s">
        <v>286</v>
      </c>
      <c r="P893" s="1" t="s">
        <v>44</v>
      </c>
      <c r="Q893" s="1" t="s">
        <v>76</v>
      </c>
      <c r="S893" s="1" t="s">
        <v>46</v>
      </c>
      <c r="T893" s="1" t="s">
        <v>45</v>
      </c>
      <c r="U893" s="1" t="s">
        <v>48</v>
      </c>
      <c r="V893" s="1" t="s">
        <v>102</v>
      </c>
      <c r="W893" s="1" t="s">
        <v>103</v>
      </c>
      <c r="X893" s="1" t="s">
        <v>96</v>
      </c>
      <c r="AB893" s="1" t="s">
        <v>104</v>
      </c>
      <c r="AC893" s="1">
        <v>0</v>
      </c>
      <c r="AD893" s="1" t="s">
        <v>105</v>
      </c>
      <c r="AE893" s="1" t="s">
        <v>70</v>
      </c>
      <c r="AF893" s="1" t="s">
        <v>153</v>
      </c>
      <c r="AG893" s="1" t="s">
        <v>1013</v>
      </c>
      <c r="AH893" s="1" t="s">
        <v>157</v>
      </c>
      <c r="AI893" s="1" t="s">
        <v>60</v>
      </c>
      <c r="AK893" s="1" t="s">
        <v>116</v>
      </c>
      <c r="AL893" s="1" t="s">
        <v>117</v>
      </c>
      <c r="AM893" s="1">
        <v>6</v>
      </c>
      <c r="AN893" s="1">
        <v>0</v>
      </c>
      <c r="AO893" s="1">
        <f t="shared" si="90"/>
        <v>6</v>
      </c>
    </row>
    <row r="894" spans="1:41" x14ac:dyDescent="0.4">
      <c r="A894" s="1">
        <v>1</v>
      </c>
      <c r="B894" s="1" t="s">
        <v>948</v>
      </c>
      <c r="C894" s="1" t="s">
        <v>41</v>
      </c>
      <c r="D894" s="2">
        <v>38973</v>
      </c>
      <c r="E894" s="1">
        <v>256</v>
      </c>
      <c r="F894" s="1">
        <v>3.5</v>
      </c>
      <c r="G894" s="3">
        <v>0.65785879629629629</v>
      </c>
      <c r="H894" s="3">
        <v>0.65789351851851852</v>
      </c>
      <c r="I894" s="3">
        <v>3.472222222222765E-5</v>
      </c>
      <c r="J894" s="3">
        <v>3.472222222222765E-5</v>
      </c>
      <c r="K894" s="5">
        <f t="shared" si="89"/>
        <v>3</v>
      </c>
      <c r="L894" s="3">
        <v>1.0543981481481501E-2</v>
      </c>
      <c r="N894" s="1" t="s">
        <v>42</v>
      </c>
      <c r="O894" s="1" t="s">
        <v>286</v>
      </c>
      <c r="P894" s="1" t="s">
        <v>44</v>
      </c>
      <c r="Q894" s="1" t="s">
        <v>76</v>
      </c>
      <c r="S894" s="1" t="s">
        <v>46</v>
      </c>
      <c r="AB894" s="1" t="s">
        <v>93</v>
      </c>
      <c r="AC894" s="1">
        <v>1</v>
      </c>
      <c r="AG894" s="1" t="s">
        <v>1013</v>
      </c>
      <c r="AK894" s="1" t="s">
        <v>61</v>
      </c>
      <c r="AL894" s="1" t="s">
        <v>133</v>
      </c>
      <c r="AM894" s="1">
        <v>6</v>
      </c>
      <c r="AN894" s="1">
        <v>0</v>
      </c>
      <c r="AO894" s="1">
        <f t="shared" si="90"/>
        <v>6</v>
      </c>
    </row>
    <row r="895" spans="1:41" x14ac:dyDescent="0.4">
      <c r="A895" s="1">
        <v>1</v>
      </c>
      <c r="B895" s="1" t="s">
        <v>948</v>
      </c>
      <c r="C895" s="1" t="s">
        <v>41</v>
      </c>
      <c r="D895" s="2">
        <v>38973</v>
      </c>
      <c r="E895" s="1">
        <v>256</v>
      </c>
      <c r="F895" s="1">
        <v>4.2</v>
      </c>
      <c r="G895" s="3">
        <v>0.66843750000000002</v>
      </c>
      <c r="H895" s="3">
        <v>0.67335648148148142</v>
      </c>
      <c r="I895" s="3">
        <v>4.9189814814813992E-3</v>
      </c>
      <c r="J895" s="3">
        <v>1.3310185185185786E-3</v>
      </c>
      <c r="K895" s="5">
        <f t="shared" si="89"/>
        <v>115</v>
      </c>
      <c r="L895" s="3">
        <v>8.6689814814815414E-3</v>
      </c>
      <c r="N895" s="1" t="s">
        <v>42</v>
      </c>
      <c r="O895" s="1" t="s">
        <v>286</v>
      </c>
      <c r="P895" s="1" t="s">
        <v>44</v>
      </c>
      <c r="Q895" s="1" t="s">
        <v>76</v>
      </c>
      <c r="S895" s="1" t="s">
        <v>46</v>
      </c>
      <c r="T895" s="1" t="s">
        <v>47</v>
      </c>
      <c r="U895" s="1" t="s">
        <v>66</v>
      </c>
      <c r="V895" s="1" t="s">
        <v>67</v>
      </c>
      <c r="W895" s="1" t="s">
        <v>68</v>
      </c>
      <c r="Y895" s="1" t="s">
        <v>68</v>
      </c>
      <c r="AB895" s="1" t="s">
        <v>69</v>
      </c>
      <c r="AC895" s="1">
        <v>0</v>
      </c>
      <c r="AD895" s="1" t="s">
        <v>68</v>
      </c>
      <c r="AE895" s="1" t="s">
        <v>70</v>
      </c>
      <c r="AG895" s="1" t="s">
        <v>997</v>
      </c>
      <c r="AI895" s="1" t="s">
        <v>71</v>
      </c>
      <c r="AK895" s="1" t="s">
        <v>116</v>
      </c>
      <c r="AL895" s="1" t="s">
        <v>117</v>
      </c>
      <c r="AM895" s="1">
        <v>4</v>
      </c>
      <c r="AN895" s="1">
        <v>0</v>
      </c>
      <c r="AO895" s="1">
        <f t="shared" si="90"/>
        <v>4</v>
      </c>
    </row>
    <row r="896" spans="1:41" x14ac:dyDescent="0.4">
      <c r="A896" s="1">
        <v>1</v>
      </c>
      <c r="B896" s="1" t="s">
        <v>948</v>
      </c>
      <c r="C896" s="1" t="s">
        <v>41</v>
      </c>
      <c r="D896" s="2">
        <v>38973</v>
      </c>
      <c r="E896" s="1">
        <v>256</v>
      </c>
      <c r="F896" s="1">
        <v>5</v>
      </c>
      <c r="G896" s="3">
        <v>0.68202546296296296</v>
      </c>
      <c r="H896" s="3">
        <v>0.70163194444444443</v>
      </c>
      <c r="I896" s="3">
        <v>1.9606481481481475E-2</v>
      </c>
      <c r="J896" s="3">
        <v>1.7048611111111334E-2</v>
      </c>
      <c r="K896" s="5">
        <f t="shared" si="89"/>
        <v>1473</v>
      </c>
      <c r="L896" s="3" t="s">
        <v>120</v>
      </c>
      <c r="N896" s="1" t="s">
        <v>42</v>
      </c>
      <c r="O896" s="1" t="s">
        <v>286</v>
      </c>
      <c r="P896" s="1" t="s">
        <v>44</v>
      </c>
      <c r="Q896" s="1" t="s">
        <v>76</v>
      </c>
      <c r="S896" s="1" t="s">
        <v>46</v>
      </c>
      <c r="T896" s="1" t="s">
        <v>47</v>
      </c>
      <c r="U896" s="1" t="s">
        <v>156</v>
      </c>
      <c r="V896" s="1" t="s">
        <v>49</v>
      </c>
      <c r="W896" s="1" t="s">
        <v>77</v>
      </c>
      <c r="X896" s="1" t="s">
        <v>375</v>
      </c>
      <c r="Y896" s="1" t="s">
        <v>376</v>
      </c>
      <c r="Z896" s="1">
        <v>2</v>
      </c>
      <c r="AB896" s="1" t="s">
        <v>377</v>
      </c>
      <c r="AC896" s="1">
        <v>0</v>
      </c>
      <c r="AD896" s="1" t="s">
        <v>56</v>
      </c>
      <c r="AE896" s="1" t="s">
        <v>83</v>
      </c>
      <c r="AF896" s="1" t="s">
        <v>84</v>
      </c>
      <c r="AG896" s="1" t="s">
        <v>997</v>
      </c>
      <c r="AH896" s="1" t="s">
        <v>59</v>
      </c>
      <c r="AI896" s="1" t="s">
        <v>75</v>
      </c>
      <c r="AK896" s="1" t="s">
        <v>116</v>
      </c>
      <c r="AL896" s="1" t="s">
        <v>117</v>
      </c>
      <c r="AM896" s="1">
        <v>4</v>
      </c>
      <c r="AN896" s="1">
        <v>0</v>
      </c>
      <c r="AO896" s="1">
        <f t="shared" si="90"/>
        <v>4</v>
      </c>
    </row>
    <row r="897" spans="1:41" x14ac:dyDescent="0.4">
      <c r="A897" s="1">
        <v>1</v>
      </c>
      <c r="B897" s="1" t="s">
        <v>948</v>
      </c>
      <c r="C897" s="1" t="s">
        <v>41</v>
      </c>
      <c r="D897" s="2">
        <v>38992</v>
      </c>
      <c r="E897" s="1">
        <v>275</v>
      </c>
      <c r="F897" s="1">
        <v>1</v>
      </c>
      <c r="G897" s="3">
        <v>0.31209490740740742</v>
      </c>
      <c r="H897" s="3">
        <v>0.32956018518518521</v>
      </c>
      <c r="I897" s="3">
        <v>1.7465277777777788E-2</v>
      </c>
      <c r="J897" s="3">
        <v>1.7465277777777788E-2</v>
      </c>
      <c r="K897" s="5">
        <f t="shared" si="89"/>
        <v>1509</v>
      </c>
      <c r="L897" s="3">
        <v>7.1435185185185157E-2</v>
      </c>
      <c r="N897" s="1" t="s">
        <v>42</v>
      </c>
      <c r="O897" s="1" t="s">
        <v>286</v>
      </c>
      <c r="P897" s="1" t="s">
        <v>44</v>
      </c>
      <c r="Q897" s="1" t="s">
        <v>45</v>
      </c>
      <c r="S897" s="1" t="s">
        <v>46</v>
      </c>
      <c r="T897" s="1" t="s">
        <v>124</v>
      </c>
      <c r="U897" s="1" t="s">
        <v>156</v>
      </c>
      <c r="V897" s="1" t="s">
        <v>49</v>
      </c>
      <c r="W897" s="1" t="s">
        <v>77</v>
      </c>
      <c r="X897" s="1" t="s">
        <v>405</v>
      </c>
      <c r="Y897" s="1" t="s">
        <v>126</v>
      </c>
      <c r="Z897" s="1" t="s">
        <v>127</v>
      </c>
      <c r="AA897" s="1" t="s">
        <v>576</v>
      </c>
      <c r="AB897" s="1" t="s">
        <v>577</v>
      </c>
      <c r="AC897" s="1">
        <v>0</v>
      </c>
      <c r="AD897" s="1" t="s">
        <v>56</v>
      </c>
      <c r="AE897" s="1" t="s">
        <v>181</v>
      </c>
      <c r="AF897" s="1" t="s">
        <v>84</v>
      </c>
      <c r="AG897" s="1" t="s">
        <v>972</v>
      </c>
      <c r="AH897" s="1" t="s">
        <v>59</v>
      </c>
      <c r="AI897" s="1" t="s">
        <v>75</v>
      </c>
      <c r="AK897" s="1" t="s">
        <v>61</v>
      </c>
      <c r="AL897" s="1" t="s">
        <v>61</v>
      </c>
      <c r="AM897" s="1">
        <v>10</v>
      </c>
      <c r="AN897" s="1">
        <v>0</v>
      </c>
      <c r="AO897" s="1">
        <f t="shared" si="90"/>
        <v>10</v>
      </c>
    </row>
    <row r="898" spans="1:41" x14ac:dyDescent="0.4">
      <c r="A898" s="1">
        <v>1</v>
      </c>
      <c r="B898" s="1" t="s">
        <v>948</v>
      </c>
      <c r="C898" s="1" t="s">
        <v>41</v>
      </c>
      <c r="D898" s="2">
        <v>38992</v>
      </c>
      <c r="E898" s="1">
        <v>275</v>
      </c>
      <c r="F898" s="1">
        <v>1.5</v>
      </c>
      <c r="G898" s="3">
        <v>0.40099537037037036</v>
      </c>
      <c r="H898" s="3">
        <v>0.40111111111111114</v>
      </c>
      <c r="I898" s="3">
        <v>1.1574074074077734E-4</v>
      </c>
      <c r="J898" s="3">
        <v>1.1574074074077734E-4</v>
      </c>
      <c r="K898" s="5">
        <f t="shared" ref="K898:K961" si="91">HOUR(J898)*60*60+MINUTE(J898)*60+SECOND(J898)</f>
        <v>10</v>
      </c>
      <c r="L898" s="3">
        <v>7.0150462962962901E-2</v>
      </c>
      <c r="N898" s="1" t="s">
        <v>42</v>
      </c>
      <c r="O898" s="1" t="s">
        <v>286</v>
      </c>
      <c r="P898" s="1" t="s">
        <v>44</v>
      </c>
      <c r="Q898" s="1" t="s">
        <v>76</v>
      </c>
      <c r="T898" s="1" t="s">
        <v>47</v>
      </c>
      <c r="U898" s="1" t="s">
        <v>92</v>
      </c>
      <c r="AB898" s="1" t="s">
        <v>93</v>
      </c>
      <c r="AC898" s="1">
        <v>1</v>
      </c>
      <c r="AG898" s="1" t="s">
        <v>1014</v>
      </c>
      <c r="AI898" s="1" t="s">
        <v>75</v>
      </c>
      <c r="AK898" s="1" t="s">
        <v>86</v>
      </c>
      <c r="AL898" s="1" t="s">
        <v>133</v>
      </c>
      <c r="AM898" s="1">
        <v>1</v>
      </c>
      <c r="AN898" s="1">
        <v>0</v>
      </c>
      <c r="AO898" s="1">
        <f t="shared" si="90"/>
        <v>1</v>
      </c>
    </row>
    <row r="899" spans="1:41" x14ac:dyDescent="0.4">
      <c r="A899" s="1">
        <v>1</v>
      </c>
      <c r="B899" s="1" t="s">
        <v>948</v>
      </c>
      <c r="C899" s="1" t="s">
        <v>41</v>
      </c>
      <c r="D899" s="2">
        <v>38992</v>
      </c>
      <c r="E899" s="1">
        <v>275</v>
      </c>
      <c r="F899" s="1">
        <v>2</v>
      </c>
      <c r="G899" s="3">
        <v>0.47126157407407404</v>
      </c>
      <c r="H899" s="3">
        <v>0.47474537037037035</v>
      </c>
      <c r="I899" s="3">
        <v>3.4837962962963043E-3</v>
      </c>
      <c r="J899" s="3">
        <v>3.4837962962963043E-3</v>
      </c>
      <c r="K899" s="5">
        <f t="shared" si="91"/>
        <v>301</v>
      </c>
      <c r="L899" s="3">
        <v>1.3263888888888908E-2</v>
      </c>
      <c r="N899" s="1" t="s">
        <v>75</v>
      </c>
      <c r="O899" s="1" t="s">
        <v>286</v>
      </c>
      <c r="P899" s="1" t="s">
        <v>44</v>
      </c>
      <c r="Q899" s="1" t="s">
        <v>76</v>
      </c>
      <c r="S899" s="1" t="s">
        <v>46</v>
      </c>
      <c r="T899" s="1" t="s">
        <v>47</v>
      </c>
      <c r="U899" s="1" t="s">
        <v>66</v>
      </c>
      <c r="V899" s="1" t="s">
        <v>49</v>
      </c>
      <c r="W899" s="1" t="s">
        <v>50</v>
      </c>
      <c r="X899" s="1" t="s">
        <v>661</v>
      </c>
      <c r="Y899" s="1" t="s">
        <v>219</v>
      </c>
      <c r="Z899" s="1" t="s">
        <v>628</v>
      </c>
      <c r="AA899" s="1" t="s">
        <v>629</v>
      </c>
      <c r="AB899" s="1" t="s">
        <v>630</v>
      </c>
      <c r="AC899" s="1">
        <v>0</v>
      </c>
      <c r="AD899" s="1" t="s">
        <v>56</v>
      </c>
      <c r="AE899" s="1" t="s">
        <v>83</v>
      </c>
      <c r="AF899" s="1" t="s">
        <v>84</v>
      </c>
      <c r="AG899" s="1" t="s">
        <v>1015</v>
      </c>
      <c r="AH899" s="1" t="s">
        <v>115</v>
      </c>
      <c r="AI899" s="1" t="s">
        <v>75</v>
      </c>
      <c r="AK899" s="1" t="s">
        <v>61</v>
      </c>
      <c r="AL899" s="1" t="s">
        <v>155</v>
      </c>
      <c r="AM899" s="1">
        <v>2</v>
      </c>
      <c r="AN899" s="1">
        <v>0</v>
      </c>
      <c r="AO899" s="1">
        <f t="shared" ref="AO899:AO962" si="92">SUM(AM899:AN899)</f>
        <v>2</v>
      </c>
    </row>
    <row r="900" spans="1:41" x14ac:dyDescent="0.4">
      <c r="A900" s="1">
        <v>1</v>
      </c>
      <c r="B900" s="1" t="s">
        <v>948</v>
      </c>
      <c r="C900" s="1" t="s">
        <v>41</v>
      </c>
      <c r="D900" s="2">
        <v>38992</v>
      </c>
      <c r="E900" s="1">
        <v>275</v>
      </c>
      <c r="F900" s="1">
        <v>3</v>
      </c>
      <c r="G900" s="3">
        <v>0.48800925925925925</v>
      </c>
      <c r="H900" s="3">
        <v>0.49960648148148151</v>
      </c>
      <c r="I900" s="3">
        <v>1.1597222222222259E-2</v>
      </c>
      <c r="J900" s="3">
        <v>1.3078703703703898E-3</v>
      </c>
      <c r="K900" s="5">
        <f t="shared" si="91"/>
        <v>113</v>
      </c>
      <c r="L900" s="3">
        <v>6.1412037037036959E-2</v>
      </c>
      <c r="N900" s="1" t="s">
        <v>75</v>
      </c>
      <c r="O900" s="1" t="s">
        <v>286</v>
      </c>
      <c r="P900" s="1" t="s">
        <v>44</v>
      </c>
      <c r="Q900" s="1" t="s">
        <v>76</v>
      </c>
      <c r="S900" s="1" t="s">
        <v>46</v>
      </c>
      <c r="T900" s="1" t="s">
        <v>47</v>
      </c>
      <c r="U900" s="1" t="s">
        <v>66</v>
      </c>
      <c r="V900" s="1" t="s">
        <v>49</v>
      </c>
      <c r="W900" s="1" t="s">
        <v>268</v>
      </c>
      <c r="X900" s="1" t="s">
        <v>434</v>
      </c>
      <c r="Y900" s="1" t="s">
        <v>52</v>
      </c>
      <c r="Z900" s="1" t="s">
        <v>317</v>
      </c>
      <c r="AA900" s="1">
        <v>2</v>
      </c>
      <c r="AB900" s="1" t="s">
        <v>1016</v>
      </c>
      <c r="AC900" s="1">
        <v>0</v>
      </c>
      <c r="AD900" s="1" t="s">
        <v>105</v>
      </c>
      <c r="AE900" s="1" t="s">
        <v>57</v>
      </c>
      <c r="AF900" s="1" t="s">
        <v>84</v>
      </c>
      <c r="AG900" s="1" t="s">
        <v>1017</v>
      </c>
      <c r="AH900" s="1" t="s">
        <v>165</v>
      </c>
      <c r="AI900" s="1" t="s">
        <v>75</v>
      </c>
      <c r="AK900" s="1" t="s">
        <v>86</v>
      </c>
      <c r="AL900" s="1" t="s">
        <v>87</v>
      </c>
      <c r="AM900" s="1">
        <v>2</v>
      </c>
      <c r="AN900" s="1">
        <v>0</v>
      </c>
      <c r="AO900" s="1">
        <f t="shared" si="92"/>
        <v>2</v>
      </c>
    </row>
    <row r="901" spans="1:41" x14ac:dyDescent="0.4">
      <c r="A901" s="1">
        <v>1</v>
      </c>
      <c r="B901" s="1" t="s">
        <v>948</v>
      </c>
      <c r="C901" s="1" t="s">
        <v>41</v>
      </c>
      <c r="D901" s="2">
        <v>38992</v>
      </c>
      <c r="E901" s="1">
        <v>275</v>
      </c>
      <c r="F901" s="1">
        <v>4</v>
      </c>
      <c r="G901" s="3">
        <v>0.56101851851851847</v>
      </c>
      <c r="H901" s="3">
        <v>0.56195601851851851</v>
      </c>
      <c r="I901" s="3">
        <v>9.3750000000003553E-4</v>
      </c>
      <c r="J901" s="3">
        <v>9.3750000000003553E-4</v>
      </c>
      <c r="K901" s="5">
        <f t="shared" si="91"/>
        <v>81</v>
      </c>
      <c r="L901" s="3">
        <v>0</v>
      </c>
      <c r="N901" s="1" t="s">
        <v>42</v>
      </c>
      <c r="O901" s="1" t="s">
        <v>286</v>
      </c>
      <c r="P901" s="1" t="s">
        <v>44</v>
      </c>
      <c r="Q901" s="1" t="s">
        <v>76</v>
      </c>
      <c r="S901" s="1" t="s">
        <v>46</v>
      </c>
      <c r="T901" s="1" t="s">
        <v>47</v>
      </c>
      <c r="U901" s="1" t="s">
        <v>156</v>
      </c>
      <c r="V901" s="1" t="s">
        <v>49</v>
      </c>
      <c r="W901" s="1" t="s">
        <v>168</v>
      </c>
      <c r="X901" s="1" t="s">
        <v>1018</v>
      </c>
      <c r="AB901" s="1" t="s">
        <v>258</v>
      </c>
      <c r="AC901" s="1">
        <v>0</v>
      </c>
      <c r="AD901" s="1" t="s">
        <v>56</v>
      </c>
      <c r="AE901" s="1" t="s">
        <v>83</v>
      </c>
      <c r="AF901" s="1" t="s">
        <v>113</v>
      </c>
      <c r="AG901" s="1" t="s">
        <v>1019</v>
      </c>
      <c r="AH901" s="1" t="s">
        <v>157</v>
      </c>
      <c r="AI901" s="1" t="s">
        <v>75</v>
      </c>
      <c r="AK901" s="1" t="s">
        <v>86</v>
      </c>
      <c r="AL901" s="1" t="s">
        <v>86</v>
      </c>
      <c r="AM901" s="1">
        <v>2</v>
      </c>
      <c r="AN901" s="1">
        <v>0</v>
      </c>
      <c r="AO901" s="1">
        <f t="shared" si="92"/>
        <v>2</v>
      </c>
    </row>
    <row r="902" spans="1:41" x14ac:dyDescent="0.4">
      <c r="A902" s="1">
        <v>1</v>
      </c>
      <c r="B902" s="1" t="s">
        <v>948</v>
      </c>
      <c r="C902" s="1" t="s">
        <v>41</v>
      </c>
      <c r="D902" s="2">
        <v>38992</v>
      </c>
      <c r="E902" s="1">
        <v>275</v>
      </c>
      <c r="F902" s="1">
        <v>5</v>
      </c>
      <c r="G902" s="3">
        <v>0.56195601851851851</v>
      </c>
      <c r="H902" s="3">
        <v>0.56620370370370365</v>
      </c>
      <c r="I902" s="3">
        <v>4.247685185185146E-3</v>
      </c>
      <c r="J902" s="3">
        <v>3.7152777777776924E-3</v>
      </c>
      <c r="K902" s="5">
        <f t="shared" si="91"/>
        <v>321</v>
      </c>
      <c r="L902" s="3">
        <v>8.8263888888888919E-2</v>
      </c>
      <c r="N902" s="1" t="s">
        <v>42</v>
      </c>
      <c r="O902" s="1" t="s">
        <v>286</v>
      </c>
      <c r="P902" s="1" t="s">
        <v>44</v>
      </c>
      <c r="Q902" s="1" t="s">
        <v>76</v>
      </c>
      <c r="S902" s="1" t="s">
        <v>46</v>
      </c>
      <c r="T902" s="1" t="s">
        <v>47</v>
      </c>
      <c r="U902" s="1" t="s">
        <v>156</v>
      </c>
      <c r="V902" s="1" t="s">
        <v>49</v>
      </c>
      <c r="W902" s="1" t="s">
        <v>50</v>
      </c>
      <c r="X902" s="1" t="s">
        <v>96</v>
      </c>
      <c r="Y902" s="1" t="s">
        <v>52</v>
      </c>
      <c r="Z902" s="1" t="s">
        <v>53</v>
      </c>
      <c r="AA902" s="1" t="s">
        <v>1020</v>
      </c>
      <c r="AB902" s="1" t="s">
        <v>1021</v>
      </c>
      <c r="AC902" s="1">
        <v>0</v>
      </c>
      <c r="AD902" s="1" t="s">
        <v>56</v>
      </c>
      <c r="AE902" s="1" t="s">
        <v>70</v>
      </c>
      <c r="AG902" s="1" t="s">
        <v>1019</v>
      </c>
      <c r="AH902" s="1" t="s">
        <v>59</v>
      </c>
      <c r="AI902" s="1" t="s">
        <v>75</v>
      </c>
      <c r="AK902" s="1" t="s">
        <v>116</v>
      </c>
      <c r="AL902" s="1" t="s">
        <v>117</v>
      </c>
      <c r="AM902" s="1">
        <v>2</v>
      </c>
      <c r="AN902" s="1">
        <v>0</v>
      </c>
      <c r="AO902" s="1">
        <f t="shared" si="92"/>
        <v>2</v>
      </c>
    </row>
    <row r="903" spans="1:41" x14ac:dyDescent="0.4">
      <c r="A903" s="1">
        <v>1</v>
      </c>
      <c r="B903" s="1" t="s">
        <v>948</v>
      </c>
      <c r="C903" s="1" t="s">
        <v>41</v>
      </c>
      <c r="D903" s="2">
        <v>38992</v>
      </c>
      <c r="E903" s="1">
        <v>275</v>
      </c>
      <c r="F903" s="1">
        <v>6.5</v>
      </c>
      <c r="G903" s="3">
        <v>0.65446759259259257</v>
      </c>
      <c r="H903" s="3">
        <v>0.65449074074074076</v>
      </c>
      <c r="I903" s="3">
        <v>2.3148148148188774E-5</v>
      </c>
      <c r="J903" s="3">
        <v>2.3148148148188774E-5</v>
      </c>
      <c r="K903" s="5">
        <f t="shared" si="91"/>
        <v>2</v>
      </c>
      <c r="L903" s="3">
        <v>1.7037037037037073E-2</v>
      </c>
      <c r="N903" s="1" t="s">
        <v>75</v>
      </c>
      <c r="O903" s="1" t="s">
        <v>286</v>
      </c>
      <c r="P903" s="1" t="s">
        <v>44</v>
      </c>
      <c r="Q903" s="1" t="s">
        <v>76</v>
      </c>
      <c r="S903" s="1" t="s">
        <v>46</v>
      </c>
      <c r="T903" s="1" t="s">
        <v>47</v>
      </c>
      <c r="U903" s="1" t="s">
        <v>92</v>
      </c>
      <c r="AB903" s="1" t="s">
        <v>93</v>
      </c>
      <c r="AC903" s="1">
        <v>1</v>
      </c>
      <c r="AG903" s="1" t="s">
        <v>1022</v>
      </c>
      <c r="AI903" s="1" t="s">
        <v>75</v>
      </c>
      <c r="AK903" s="1" t="s">
        <v>86</v>
      </c>
      <c r="AL903" s="1" t="s">
        <v>87</v>
      </c>
      <c r="AM903" s="1">
        <v>1</v>
      </c>
      <c r="AN903" s="1">
        <v>0</v>
      </c>
      <c r="AO903" s="1">
        <f t="shared" si="92"/>
        <v>1</v>
      </c>
    </row>
    <row r="904" spans="1:41" x14ac:dyDescent="0.4">
      <c r="A904" s="1">
        <v>1</v>
      </c>
      <c r="B904" s="1" t="s">
        <v>948</v>
      </c>
      <c r="C904" s="1" t="s">
        <v>41</v>
      </c>
      <c r="D904" s="2">
        <v>38992</v>
      </c>
      <c r="E904" s="1">
        <v>275</v>
      </c>
      <c r="F904" s="1">
        <v>6.7</v>
      </c>
      <c r="G904" s="3">
        <v>0.67152777777777783</v>
      </c>
      <c r="H904" s="3">
        <v>0.6715740740740741</v>
      </c>
      <c r="I904" s="3">
        <v>4.6296296296266526E-5</v>
      </c>
      <c r="J904" s="3">
        <v>4.6296296296266526E-5</v>
      </c>
      <c r="K904" s="5">
        <f t="shared" si="91"/>
        <v>4</v>
      </c>
      <c r="L904" s="3">
        <v>2.9745370370369839E-3</v>
      </c>
      <c r="N904" s="1" t="s">
        <v>75</v>
      </c>
      <c r="O904" s="1" t="s">
        <v>286</v>
      </c>
      <c r="P904" s="1" t="s">
        <v>44</v>
      </c>
      <c r="Q904" s="1" t="s">
        <v>45</v>
      </c>
      <c r="S904" s="1" t="s">
        <v>46</v>
      </c>
      <c r="T904" s="1" t="s">
        <v>47</v>
      </c>
      <c r="U904" s="1" t="s">
        <v>66</v>
      </c>
      <c r="AB904" s="1" t="s">
        <v>93</v>
      </c>
      <c r="AC904" s="1">
        <v>1</v>
      </c>
      <c r="AI904" s="1" t="s">
        <v>75</v>
      </c>
      <c r="AK904" s="1" t="s">
        <v>86</v>
      </c>
      <c r="AL904" s="1" t="s">
        <v>133</v>
      </c>
      <c r="AN904" s="1">
        <v>1</v>
      </c>
      <c r="AO904" s="1">
        <f t="shared" si="92"/>
        <v>1</v>
      </c>
    </row>
    <row r="905" spans="1:41" x14ac:dyDescent="0.4">
      <c r="A905" s="1">
        <v>1</v>
      </c>
      <c r="B905" s="1" t="s">
        <v>948</v>
      </c>
      <c r="C905" s="1" t="s">
        <v>41</v>
      </c>
      <c r="D905" s="2">
        <v>38992</v>
      </c>
      <c r="E905" s="1">
        <v>275</v>
      </c>
      <c r="F905" s="1">
        <v>7</v>
      </c>
      <c r="G905" s="3">
        <v>0.67454861111111108</v>
      </c>
      <c r="H905" s="3">
        <v>0.68040509259259263</v>
      </c>
      <c r="I905" s="3">
        <v>5.8564814814815458E-3</v>
      </c>
      <c r="J905" s="3">
        <v>5.8564814814815458E-3</v>
      </c>
      <c r="K905" s="5">
        <f t="shared" si="91"/>
        <v>506</v>
      </c>
      <c r="L905" s="3" t="s">
        <v>120</v>
      </c>
      <c r="N905" s="1" t="s">
        <v>75</v>
      </c>
      <c r="O905" s="1" t="s">
        <v>286</v>
      </c>
      <c r="P905" s="1" t="s">
        <v>44</v>
      </c>
      <c r="Q905" s="1" t="s">
        <v>191</v>
      </c>
      <c r="S905" s="1" t="s">
        <v>46</v>
      </c>
      <c r="T905" s="1" t="s">
        <v>47</v>
      </c>
      <c r="U905" s="1" t="s">
        <v>66</v>
      </c>
      <c r="V905" s="1" t="s">
        <v>49</v>
      </c>
      <c r="W905" s="1" t="s">
        <v>50</v>
      </c>
      <c r="X905" s="1" t="s">
        <v>661</v>
      </c>
      <c r="Y905" s="1" t="s">
        <v>219</v>
      </c>
      <c r="Z905" s="1" t="s">
        <v>628</v>
      </c>
      <c r="AA905" s="1" t="s">
        <v>629</v>
      </c>
      <c r="AB905" s="1" t="s">
        <v>630</v>
      </c>
      <c r="AC905" s="1">
        <v>0</v>
      </c>
      <c r="AD905" s="1" t="s">
        <v>56</v>
      </c>
      <c r="AE905" s="1" t="s">
        <v>83</v>
      </c>
      <c r="AF905" s="1" t="s">
        <v>84</v>
      </c>
      <c r="AG905" s="1" t="s">
        <v>1015</v>
      </c>
      <c r="AH905" s="1" t="s">
        <v>115</v>
      </c>
      <c r="AI905" s="1" t="s">
        <v>75</v>
      </c>
      <c r="AJ905" s="1" t="s">
        <v>147</v>
      </c>
      <c r="AK905" s="1" t="s">
        <v>116</v>
      </c>
      <c r="AL905" s="1" t="s">
        <v>155</v>
      </c>
      <c r="AM905" s="1">
        <v>2</v>
      </c>
      <c r="AN905" s="1">
        <v>0</v>
      </c>
      <c r="AO905" s="1">
        <f t="shared" si="92"/>
        <v>2</v>
      </c>
    </row>
    <row r="906" spans="1:41" x14ac:dyDescent="0.4">
      <c r="A906" s="1">
        <v>1</v>
      </c>
      <c r="B906" s="1" t="s">
        <v>948</v>
      </c>
      <c r="C906" s="1" t="s">
        <v>119</v>
      </c>
      <c r="D906" s="2">
        <v>38798</v>
      </c>
      <c r="E906" s="1">
        <v>81</v>
      </c>
      <c r="F906" s="1">
        <v>2</v>
      </c>
      <c r="G906" s="3">
        <v>0.43028935185185185</v>
      </c>
      <c r="H906" s="3">
        <v>0.4316550925925926</v>
      </c>
      <c r="I906" s="3">
        <v>1.3657407407407507E-3</v>
      </c>
      <c r="J906" s="3">
        <v>1.3657407407407507E-3</v>
      </c>
      <c r="K906" s="5">
        <f t="shared" si="91"/>
        <v>118</v>
      </c>
      <c r="L906" s="3" t="s">
        <v>120</v>
      </c>
      <c r="N906" s="1" t="s">
        <v>75</v>
      </c>
      <c r="O906" s="1" t="s">
        <v>43</v>
      </c>
      <c r="P906" s="1" t="s">
        <v>172</v>
      </c>
      <c r="Q906" s="1" t="s">
        <v>45</v>
      </c>
      <c r="S906" s="1" t="s">
        <v>46</v>
      </c>
      <c r="T906" s="1" t="s">
        <v>47</v>
      </c>
      <c r="U906" s="1" t="s">
        <v>66</v>
      </c>
      <c r="W906" s="1" t="s">
        <v>1023</v>
      </c>
      <c r="X906" s="1" t="s">
        <v>313</v>
      </c>
      <c r="AB906" s="1" t="s">
        <v>504</v>
      </c>
      <c r="AC906" s="1">
        <v>0</v>
      </c>
      <c r="AD906" s="1" t="s">
        <v>56</v>
      </c>
      <c r="AG906" s="1" t="s">
        <v>1024</v>
      </c>
      <c r="AH906" s="1" t="s">
        <v>157</v>
      </c>
      <c r="AI906" s="1" t="s">
        <v>75</v>
      </c>
      <c r="AK906" s="1" t="s">
        <v>86</v>
      </c>
      <c r="AL906" s="1" t="s">
        <v>133</v>
      </c>
      <c r="AM906" s="1">
        <v>1</v>
      </c>
      <c r="AN906" s="1">
        <v>0</v>
      </c>
      <c r="AO906" s="1">
        <f t="shared" si="92"/>
        <v>1</v>
      </c>
    </row>
    <row r="907" spans="1:41" x14ac:dyDescent="0.4">
      <c r="A907" s="1">
        <v>1</v>
      </c>
      <c r="B907" s="1" t="s">
        <v>948</v>
      </c>
      <c r="C907" s="1" t="s">
        <v>119</v>
      </c>
      <c r="D907" s="2">
        <v>38812</v>
      </c>
      <c r="E907" s="1">
        <v>95</v>
      </c>
      <c r="F907" s="1">
        <v>3</v>
      </c>
      <c r="G907" s="3">
        <v>0.6677777777777778</v>
      </c>
      <c r="H907" s="3">
        <v>0.68128472222222225</v>
      </c>
      <c r="I907" s="3">
        <v>1.3506944444444446E-2</v>
      </c>
      <c r="J907" s="3">
        <v>2.6504629629630072E-3</v>
      </c>
      <c r="K907" s="5">
        <f t="shared" si="91"/>
        <v>229</v>
      </c>
      <c r="L907" s="3">
        <v>2.4421296296296302E-2</v>
      </c>
      <c r="N907" s="1" t="s">
        <v>75</v>
      </c>
      <c r="O907" s="1" t="s">
        <v>43</v>
      </c>
      <c r="P907" s="1" t="s">
        <v>210</v>
      </c>
      <c r="Q907" s="1" t="s">
        <v>132</v>
      </c>
      <c r="S907" s="1" t="s">
        <v>46</v>
      </c>
      <c r="T907" s="1" t="s">
        <v>47</v>
      </c>
      <c r="U907" s="1" t="s">
        <v>66</v>
      </c>
      <c r="V907" s="1" t="s">
        <v>49</v>
      </c>
      <c r="W907" s="1" t="s">
        <v>50</v>
      </c>
      <c r="X907" s="1" t="s">
        <v>951</v>
      </c>
      <c r="Y907" s="1" t="s">
        <v>159</v>
      </c>
      <c r="Z907" s="1" t="s">
        <v>160</v>
      </c>
      <c r="AA907" s="1" t="s">
        <v>952</v>
      </c>
      <c r="AB907" s="1" t="s">
        <v>953</v>
      </c>
      <c r="AC907" s="1">
        <v>0</v>
      </c>
      <c r="AD907" s="1" t="s">
        <v>56</v>
      </c>
      <c r="AE907" s="1" t="s">
        <v>83</v>
      </c>
      <c r="AG907" s="1" t="s">
        <v>1025</v>
      </c>
      <c r="AH907" s="1" t="s">
        <v>165</v>
      </c>
      <c r="AI907" s="1" t="s">
        <v>75</v>
      </c>
      <c r="AK907" s="1" t="s">
        <v>86</v>
      </c>
      <c r="AL907" s="1" t="s">
        <v>87</v>
      </c>
      <c r="AM907" s="1">
        <v>1</v>
      </c>
      <c r="AN907" s="1">
        <v>0</v>
      </c>
      <c r="AO907" s="1">
        <f t="shared" si="92"/>
        <v>1</v>
      </c>
    </row>
    <row r="908" spans="1:41" x14ac:dyDescent="0.4">
      <c r="A908" s="1">
        <v>1</v>
      </c>
      <c r="B908" s="1" t="s">
        <v>948</v>
      </c>
      <c r="C908" s="1" t="s">
        <v>119</v>
      </c>
      <c r="D908" s="2">
        <v>38812</v>
      </c>
      <c r="E908" s="1">
        <v>95</v>
      </c>
      <c r="F908" s="1">
        <v>5</v>
      </c>
      <c r="G908" s="3">
        <v>0.70570601851851855</v>
      </c>
      <c r="H908" s="3">
        <v>0.70733796296296303</v>
      </c>
      <c r="I908" s="3">
        <v>1.6319444444444775E-3</v>
      </c>
      <c r="J908" s="3">
        <v>1.6319444444444775E-3</v>
      </c>
      <c r="K908" s="5">
        <f t="shared" si="91"/>
        <v>141</v>
      </c>
      <c r="L908" s="3" t="s">
        <v>120</v>
      </c>
      <c r="N908" s="1" t="s">
        <v>75</v>
      </c>
      <c r="O908" s="1" t="s">
        <v>43</v>
      </c>
      <c r="P908" s="1" t="s">
        <v>210</v>
      </c>
      <c r="Q908" s="1" t="s">
        <v>76</v>
      </c>
      <c r="S908" s="1" t="s">
        <v>46</v>
      </c>
      <c r="T908" s="1" t="s">
        <v>45</v>
      </c>
      <c r="U908" s="1" t="s">
        <v>66</v>
      </c>
      <c r="V908" s="1" t="s">
        <v>102</v>
      </c>
      <c r="W908" s="1" t="s">
        <v>103</v>
      </c>
      <c r="X908" s="1" t="s">
        <v>121</v>
      </c>
      <c r="AB908" s="1" t="s">
        <v>104</v>
      </c>
      <c r="AC908" s="1">
        <v>0</v>
      </c>
      <c r="AE908" s="1" t="s">
        <v>70</v>
      </c>
      <c r="AI908" s="1" t="s">
        <v>75</v>
      </c>
      <c r="AK908" s="1" t="s">
        <v>61</v>
      </c>
      <c r="AL908" s="1" t="s">
        <v>61</v>
      </c>
      <c r="AN908" s="1">
        <v>1</v>
      </c>
      <c r="AO908" s="1">
        <f t="shared" si="92"/>
        <v>1</v>
      </c>
    </row>
    <row r="909" spans="1:41" x14ac:dyDescent="0.4">
      <c r="A909" s="1">
        <v>1</v>
      </c>
      <c r="B909" s="1" t="s">
        <v>948</v>
      </c>
      <c r="C909" s="1" t="s">
        <v>119</v>
      </c>
      <c r="D909" s="2">
        <v>38813</v>
      </c>
      <c r="E909" s="1">
        <v>96</v>
      </c>
      <c r="F909" s="1">
        <v>0.5</v>
      </c>
      <c r="G909" s="3">
        <v>0.31966435185185188</v>
      </c>
      <c r="H909" s="3">
        <v>0.31979166666666664</v>
      </c>
      <c r="I909" s="3">
        <v>1.273148148147607E-4</v>
      </c>
      <c r="J909" s="3">
        <v>1.273148148147607E-4</v>
      </c>
      <c r="K909" s="5">
        <f t="shared" si="91"/>
        <v>11</v>
      </c>
      <c r="L909" s="3">
        <v>1.0266203703703736E-2</v>
      </c>
      <c r="N909" s="1" t="s">
        <v>75</v>
      </c>
      <c r="O909" s="1" t="s">
        <v>43</v>
      </c>
      <c r="P909" s="1" t="s">
        <v>210</v>
      </c>
      <c r="Q909" s="1" t="s">
        <v>76</v>
      </c>
      <c r="S909" s="1" t="s">
        <v>46</v>
      </c>
      <c r="T909" s="1" t="s">
        <v>47</v>
      </c>
      <c r="U909" s="1" t="s">
        <v>92</v>
      </c>
      <c r="AB909" s="1" t="s">
        <v>93</v>
      </c>
      <c r="AC909" s="1">
        <v>1</v>
      </c>
      <c r="AG909" s="1" t="s">
        <v>976</v>
      </c>
      <c r="AI909" s="1" t="s">
        <v>75</v>
      </c>
      <c r="AK909" s="1" t="s">
        <v>86</v>
      </c>
      <c r="AL909" s="1" t="s">
        <v>133</v>
      </c>
      <c r="AM909" s="1">
        <v>2</v>
      </c>
      <c r="AN909" s="1">
        <v>0</v>
      </c>
      <c r="AO909" s="1">
        <f t="shared" si="92"/>
        <v>2</v>
      </c>
    </row>
    <row r="910" spans="1:41" x14ac:dyDescent="0.4">
      <c r="A910" s="1">
        <v>1</v>
      </c>
      <c r="B910" s="1" t="s">
        <v>948</v>
      </c>
      <c r="C910" s="1" t="s">
        <v>119</v>
      </c>
      <c r="D910" s="2">
        <v>38813</v>
      </c>
      <c r="E910" s="1">
        <v>96</v>
      </c>
      <c r="F910" s="1">
        <v>3</v>
      </c>
      <c r="G910" s="3">
        <v>0.52461805555555563</v>
      </c>
      <c r="H910" s="3">
        <v>0.52660879629629631</v>
      </c>
      <c r="I910" s="3">
        <v>1.9907407407406819E-3</v>
      </c>
      <c r="J910" s="3">
        <v>1.9907407407406819E-3</v>
      </c>
      <c r="K910" s="5">
        <f t="shared" si="91"/>
        <v>172</v>
      </c>
      <c r="L910" s="3">
        <v>5.1250000000000018E-2</v>
      </c>
      <c r="N910" s="1" t="s">
        <v>42</v>
      </c>
      <c r="O910" s="1" t="s">
        <v>43</v>
      </c>
      <c r="P910" s="1" t="s">
        <v>210</v>
      </c>
      <c r="Q910" s="1" t="s">
        <v>45</v>
      </c>
      <c r="S910" s="1" t="s">
        <v>46</v>
      </c>
      <c r="T910" s="1" t="s">
        <v>45</v>
      </c>
      <c r="U910" s="1" t="s">
        <v>92</v>
      </c>
      <c r="V910" s="1" t="s">
        <v>67</v>
      </c>
      <c r="W910" s="1" t="s">
        <v>68</v>
      </c>
      <c r="X910" s="1" t="s">
        <v>96</v>
      </c>
      <c r="Y910" s="1" t="s">
        <v>421</v>
      </c>
      <c r="AB910" s="1" t="s">
        <v>422</v>
      </c>
      <c r="AC910" s="1">
        <v>0</v>
      </c>
      <c r="AD910" s="1" t="s">
        <v>68</v>
      </c>
      <c r="AE910" s="1" t="s">
        <v>70</v>
      </c>
      <c r="AG910" s="1" t="s">
        <v>1026</v>
      </c>
      <c r="AH910" s="1" t="s">
        <v>157</v>
      </c>
      <c r="AI910" s="1" t="s">
        <v>75</v>
      </c>
      <c r="AK910" s="1" t="s">
        <v>86</v>
      </c>
      <c r="AL910" s="1" t="s">
        <v>133</v>
      </c>
      <c r="AM910" s="1">
        <v>1</v>
      </c>
      <c r="AN910" s="1">
        <v>0</v>
      </c>
      <c r="AO910" s="1">
        <f t="shared" si="92"/>
        <v>1</v>
      </c>
    </row>
    <row r="911" spans="1:41" x14ac:dyDescent="0.4">
      <c r="A911" s="1">
        <v>1</v>
      </c>
      <c r="B911" s="1" t="s">
        <v>948</v>
      </c>
      <c r="C911" s="1" t="s">
        <v>119</v>
      </c>
      <c r="D911" s="2">
        <v>38845</v>
      </c>
      <c r="E911" s="1">
        <v>128</v>
      </c>
      <c r="F911" s="1">
        <v>3</v>
      </c>
      <c r="G911" s="3">
        <v>0.47032407407407412</v>
      </c>
      <c r="H911" s="3">
        <v>0.4707986111111111</v>
      </c>
      <c r="I911" s="3">
        <v>4.7453703703698169E-4</v>
      </c>
      <c r="J911" s="3">
        <v>4.7453703703698169E-4</v>
      </c>
      <c r="K911" s="5">
        <f t="shared" si="91"/>
        <v>41</v>
      </c>
      <c r="L911" s="3" t="s">
        <v>120</v>
      </c>
      <c r="N911" s="1" t="s">
        <v>75</v>
      </c>
      <c r="O911" s="1" t="s">
        <v>286</v>
      </c>
      <c r="P911" s="1" t="s">
        <v>227</v>
      </c>
      <c r="Q911" s="1" t="s">
        <v>45</v>
      </c>
      <c r="S911" s="1" t="s">
        <v>46</v>
      </c>
      <c r="T911" s="1" t="s">
        <v>45</v>
      </c>
      <c r="U911" s="1" t="s">
        <v>66</v>
      </c>
      <c r="V911" s="1" t="s">
        <v>67</v>
      </c>
      <c r="W911" s="1" t="s">
        <v>68</v>
      </c>
      <c r="X911" s="1" t="s">
        <v>121</v>
      </c>
      <c r="Y911" s="1" t="s">
        <v>68</v>
      </c>
      <c r="AB911" s="1" t="s">
        <v>69</v>
      </c>
      <c r="AC911" s="1">
        <v>0</v>
      </c>
      <c r="AD911" s="1" t="s">
        <v>68</v>
      </c>
      <c r="AE911" s="1" t="s">
        <v>70</v>
      </c>
      <c r="AI911" s="1" t="s">
        <v>75</v>
      </c>
      <c r="AK911" s="1" t="s">
        <v>61</v>
      </c>
      <c r="AL911" s="1" t="s">
        <v>133</v>
      </c>
      <c r="AN911" s="1">
        <v>1</v>
      </c>
      <c r="AO911" s="1">
        <f t="shared" si="92"/>
        <v>1</v>
      </c>
    </row>
    <row r="912" spans="1:41" x14ac:dyDescent="0.4">
      <c r="A912" s="1">
        <v>1</v>
      </c>
      <c r="B912" s="1" t="s">
        <v>948</v>
      </c>
      <c r="C912" s="1" t="s">
        <v>119</v>
      </c>
      <c r="D912" s="2">
        <v>38856</v>
      </c>
      <c r="E912" s="1">
        <v>139</v>
      </c>
      <c r="F912" s="1">
        <v>2</v>
      </c>
      <c r="G912" s="3">
        <v>0.34885416666666669</v>
      </c>
      <c r="H912" s="3">
        <v>0.34905092592592596</v>
      </c>
      <c r="I912" s="3">
        <v>1.9675925925927151E-4</v>
      </c>
      <c r="J912" s="3">
        <v>1.9675925925927151E-4</v>
      </c>
      <c r="K912" s="5">
        <f t="shared" si="91"/>
        <v>17</v>
      </c>
      <c r="L912" s="3">
        <v>6.0462962962962941E-2</v>
      </c>
      <c r="N912" s="1" t="s">
        <v>42</v>
      </c>
      <c r="O912" s="1" t="s">
        <v>286</v>
      </c>
      <c r="P912" s="1" t="s">
        <v>227</v>
      </c>
      <c r="Q912" s="1" t="s">
        <v>45</v>
      </c>
      <c r="S912" s="1" t="s">
        <v>46</v>
      </c>
      <c r="T912" s="1" t="s">
        <v>47</v>
      </c>
      <c r="U912" s="1" t="s">
        <v>156</v>
      </c>
      <c r="V912" s="1" t="s">
        <v>297</v>
      </c>
      <c r="W912" s="1" t="s">
        <v>167</v>
      </c>
      <c r="X912" s="1" t="s">
        <v>614</v>
      </c>
      <c r="AB912" s="1" t="s">
        <v>693</v>
      </c>
      <c r="AC912" s="1">
        <v>0</v>
      </c>
      <c r="AD912" s="1" t="s">
        <v>105</v>
      </c>
      <c r="AE912" s="1" t="s">
        <v>57</v>
      </c>
      <c r="AG912" s="1" t="s">
        <v>1027</v>
      </c>
      <c r="AH912" s="1" t="s">
        <v>157</v>
      </c>
      <c r="AI912" s="1" t="s">
        <v>75</v>
      </c>
      <c r="AK912" s="1" t="s">
        <v>86</v>
      </c>
      <c r="AL912" s="1" t="s">
        <v>86</v>
      </c>
      <c r="AM912" s="1">
        <v>1</v>
      </c>
      <c r="AN912" s="1">
        <v>0</v>
      </c>
      <c r="AO912" s="1">
        <f t="shared" si="92"/>
        <v>1</v>
      </c>
    </row>
    <row r="913" spans="1:41" x14ac:dyDescent="0.4">
      <c r="A913" s="1">
        <v>1</v>
      </c>
      <c r="B913" s="1" t="s">
        <v>948</v>
      </c>
      <c r="C913" s="1" t="s">
        <v>119</v>
      </c>
      <c r="D913" s="2">
        <v>38908</v>
      </c>
      <c r="E913" s="1">
        <v>191</v>
      </c>
      <c r="F913" s="1">
        <v>4</v>
      </c>
      <c r="G913" s="3">
        <v>0.69201388888888893</v>
      </c>
      <c r="H913" s="3">
        <v>0.69253472222222223</v>
      </c>
      <c r="I913" s="3">
        <v>5.2083333333330373E-4</v>
      </c>
      <c r="J913" s="3">
        <v>3.472222222222765E-4</v>
      </c>
      <c r="K913" s="5">
        <f t="shared" si="91"/>
        <v>30</v>
      </c>
      <c r="L913" s="3">
        <v>1.6550925925925553E-3</v>
      </c>
      <c r="N913" s="1" t="s">
        <v>42</v>
      </c>
      <c r="O913" s="1" t="s">
        <v>286</v>
      </c>
      <c r="P913" s="1" t="s">
        <v>227</v>
      </c>
      <c r="S913" s="1" t="s">
        <v>46</v>
      </c>
      <c r="T913" s="1" t="s">
        <v>47</v>
      </c>
      <c r="U913" s="1" t="s">
        <v>92</v>
      </c>
      <c r="V913" s="1" t="s">
        <v>102</v>
      </c>
      <c r="W913" s="1" t="s">
        <v>103</v>
      </c>
      <c r="X913" s="1" t="s">
        <v>96</v>
      </c>
      <c r="AB913" s="1" t="s">
        <v>104</v>
      </c>
      <c r="AC913" s="1">
        <v>0</v>
      </c>
      <c r="AD913" s="1" t="s">
        <v>56</v>
      </c>
      <c r="AE913" s="1" t="s">
        <v>70</v>
      </c>
      <c r="AG913" s="1" t="s">
        <v>1028</v>
      </c>
      <c r="AH913" s="1" t="s">
        <v>157</v>
      </c>
      <c r="AI913" s="1" t="s">
        <v>75</v>
      </c>
      <c r="AK913" s="1" t="s">
        <v>86</v>
      </c>
      <c r="AL913" s="1" t="s">
        <v>87</v>
      </c>
      <c r="AM913" s="1">
        <v>1</v>
      </c>
      <c r="AN913" s="1">
        <v>0</v>
      </c>
      <c r="AO913" s="1">
        <f t="shared" si="92"/>
        <v>1</v>
      </c>
    </row>
    <row r="914" spans="1:41" x14ac:dyDescent="0.4">
      <c r="A914" s="1">
        <v>1</v>
      </c>
      <c r="B914" s="1" t="s">
        <v>948</v>
      </c>
      <c r="C914" s="1" t="s">
        <v>119</v>
      </c>
      <c r="D914" s="2">
        <v>38945</v>
      </c>
      <c r="E914" s="1">
        <v>228</v>
      </c>
      <c r="F914" s="1">
        <v>7</v>
      </c>
      <c r="G914" s="3">
        <v>0.53848379629629628</v>
      </c>
      <c r="H914" s="3">
        <v>0.54314814814814816</v>
      </c>
      <c r="I914" s="3">
        <v>4.6643518518518778E-3</v>
      </c>
      <c r="J914" s="3">
        <v>4.1666666666667629E-3</v>
      </c>
      <c r="K914" s="5">
        <f t="shared" si="91"/>
        <v>360</v>
      </c>
      <c r="L914" s="3">
        <v>7.2002314814814783E-2</v>
      </c>
      <c r="N914" s="1" t="s">
        <v>75</v>
      </c>
      <c r="O914" s="1" t="s">
        <v>286</v>
      </c>
      <c r="P914" s="1" t="s">
        <v>44</v>
      </c>
      <c r="Q914" s="1" t="s">
        <v>76</v>
      </c>
      <c r="S914" s="1" t="s">
        <v>451</v>
      </c>
      <c r="T914" s="1" t="s">
        <v>47</v>
      </c>
      <c r="U914" s="1" t="s">
        <v>92</v>
      </c>
      <c r="V914" s="1" t="s">
        <v>102</v>
      </c>
      <c r="W914" s="1" t="s">
        <v>103</v>
      </c>
      <c r="X914" s="1" t="s">
        <v>96</v>
      </c>
      <c r="AB914" s="1" t="s">
        <v>104</v>
      </c>
      <c r="AC914" s="1">
        <v>0</v>
      </c>
      <c r="AD914" s="1" t="s">
        <v>105</v>
      </c>
      <c r="AE914" s="1" t="s">
        <v>70</v>
      </c>
      <c r="AG914" s="1" t="s">
        <v>1029</v>
      </c>
      <c r="AH914" s="1" t="s">
        <v>157</v>
      </c>
      <c r="AI914" s="1" t="s">
        <v>75</v>
      </c>
      <c r="AK914" s="1" t="s">
        <v>86</v>
      </c>
      <c r="AL914" s="1" t="s">
        <v>86</v>
      </c>
      <c r="AM914" s="1">
        <v>1</v>
      </c>
      <c r="AN914" s="1">
        <v>0</v>
      </c>
      <c r="AO914" s="1">
        <f t="shared" si="92"/>
        <v>1</v>
      </c>
    </row>
    <row r="915" spans="1:41" x14ac:dyDescent="0.4">
      <c r="A915" s="1">
        <v>1</v>
      </c>
      <c r="B915" s="1" t="s">
        <v>948</v>
      </c>
      <c r="C915" s="1" t="s">
        <v>119</v>
      </c>
      <c r="D915" s="2">
        <v>38945</v>
      </c>
      <c r="E915" s="1">
        <v>228</v>
      </c>
      <c r="F915" s="1">
        <v>8.5</v>
      </c>
      <c r="G915" s="3">
        <v>0.61515046296296294</v>
      </c>
      <c r="H915" s="3">
        <v>0.61516203703703709</v>
      </c>
      <c r="I915" s="3">
        <v>1.1574074074149898E-5</v>
      </c>
      <c r="J915" s="3">
        <v>1.1574074074149898E-5</v>
      </c>
      <c r="K915" s="5">
        <f t="shared" si="91"/>
        <v>1</v>
      </c>
      <c r="L915" s="3">
        <v>3.8171296296296231E-2</v>
      </c>
      <c r="N915" s="1" t="s">
        <v>42</v>
      </c>
      <c r="O915" s="1" t="s">
        <v>286</v>
      </c>
      <c r="P915" s="1" t="s">
        <v>44</v>
      </c>
      <c r="Q915" s="1" t="s">
        <v>76</v>
      </c>
      <c r="S915" s="1" t="s">
        <v>451</v>
      </c>
      <c r="AB915" s="1" t="s">
        <v>93</v>
      </c>
      <c r="AC915" s="1">
        <v>1</v>
      </c>
      <c r="AK915" s="1" t="s">
        <v>86</v>
      </c>
      <c r="AL915" s="1" t="s">
        <v>133</v>
      </c>
      <c r="AN915" s="1">
        <v>1</v>
      </c>
      <c r="AO915" s="1">
        <f t="shared" si="92"/>
        <v>1</v>
      </c>
    </row>
    <row r="916" spans="1:41" x14ac:dyDescent="0.4">
      <c r="A916" s="1">
        <v>1</v>
      </c>
      <c r="B916" s="1" t="s">
        <v>948</v>
      </c>
      <c r="C916" s="1" t="s">
        <v>119</v>
      </c>
      <c r="D916" s="2">
        <v>38960</v>
      </c>
      <c r="E916" s="1">
        <v>243</v>
      </c>
      <c r="F916" s="1">
        <v>2</v>
      </c>
      <c r="G916" s="3">
        <v>0.33287037037037037</v>
      </c>
      <c r="H916" s="3">
        <v>0.33848379629629632</v>
      </c>
      <c r="I916" s="3">
        <v>5.6134259259259522E-3</v>
      </c>
      <c r="J916" s="3">
        <v>5.6134259259259522E-3</v>
      </c>
      <c r="K916" s="5">
        <f t="shared" si="91"/>
        <v>485</v>
      </c>
      <c r="L916" s="3">
        <v>2.0486111111110983E-3</v>
      </c>
      <c r="N916" s="1" t="s">
        <v>42</v>
      </c>
      <c r="O916" s="1" t="s">
        <v>286</v>
      </c>
      <c r="P916" s="1" t="s">
        <v>44</v>
      </c>
      <c r="Q916" s="1" t="s">
        <v>45</v>
      </c>
      <c r="S916" s="1" t="s">
        <v>451</v>
      </c>
      <c r="T916" s="1" t="s">
        <v>124</v>
      </c>
      <c r="V916" s="1" t="s">
        <v>49</v>
      </c>
      <c r="W916" s="1" t="s">
        <v>77</v>
      </c>
      <c r="X916" s="1" t="s">
        <v>405</v>
      </c>
      <c r="Y916" s="1" t="s">
        <v>126</v>
      </c>
      <c r="Z916" s="1" t="s">
        <v>127</v>
      </c>
      <c r="AA916" s="1" t="s">
        <v>576</v>
      </c>
      <c r="AB916" s="1" t="s">
        <v>577</v>
      </c>
      <c r="AC916" s="1">
        <v>0</v>
      </c>
      <c r="AD916" s="1" t="s">
        <v>56</v>
      </c>
      <c r="AE916" s="1" t="s">
        <v>181</v>
      </c>
      <c r="AG916" s="1" t="s">
        <v>994</v>
      </c>
      <c r="AH916" s="1" t="s">
        <v>59</v>
      </c>
      <c r="AK916" s="1" t="s">
        <v>116</v>
      </c>
      <c r="AL916" s="1" t="s">
        <v>155</v>
      </c>
      <c r="AM916" s="1">
        <v>2</v>
      </c>
      <c r="AN916" s="1">
        <v>0</v>
      </c>
      <c r="AO916" s="1">
        <f t="shared" si="92"/>
        <v>2</v>
      </c>
    </row>
    <row r="917" spans="1:41" x14ac:dyDescent="0.4">
      <c r="A917" s="1">
        <v>1</v>
      </c>
      <c r="B917" s="1" t="s">
        <v>948</v>
      </c>
      <c r="C917" s="1" t="s">
        <v>119</v>
      </c>
      <c r="D917" s="2">
        <v>38972</v>
      </c>
      <c r="E917" s="1">
        <v>255</v>
      </c>
      <c r="F917" s="1">
        <v>2</v>
      </c>
      <c r="G917" s="3">
        <v>0.33047453703703705</v>
      </c>
      <c r="H917" s="3">
        <v>0.33142361111111113</v>
      </c>
      <c r="I917" s="3">
        <v>9.490740740740744E-4</v>
      </c>
      <c r="J917" s="3">
        <v>9.490740740740744E-4</v>
      </c>
      <c r="K917" s="5">
        <f t="shared" si="91"/>
        <v>82</v>
      </c>
      <c r="L917" s="3">
        <v>0.15157407407407403</v>
      </c>
      <c r="N917" s="1" t="s">
        <v>42</v>
      </c>
      <c r="O917" s="1" t="s">
        <v>286</v>
      </c>
      <c r="P917" s="1" t="s">
        <v>44</v>
      </c>
      <c r="Q917" s="1" t="s">
        <v>76</v>
      </c>
      <c r="S917" s="1" t="s">
        <v>451</v>
      </c>
      <c r="T917" s="1" t="s">
        <v>124</v>
      </c>
      <c r="U917" s="1" t="s">
        <v>48</v>
      </c>
      <c r="V917" s="1" t="s">
        <v>102</v>
      </c>
      <c r="W917" s="1" t="s">
        <v>103</v>
      </c>
      <c r="X917" s="1" t="s">
        <v>96</v>
      </c>
      <c r="AB917" s="1" t="s">
        <v>104</v>
      </c>
      <c r="AC917" s="1">
        <v>0</v>
      </c>
      <c r="AD917" s="1" t="s">
        <v>105</v>
      </c>
      <c r="AE917" s="1" t="s">
        <v>70</v>
      </c>
      <c r="AG917" s="1" t="s">
        <v>986</v>
      </c>
      <c r="AH917" s="1" t="s">
        <v>157</v>
      </c>
      <c r="AI917" s="1" t="s">
        <v>60</v>
      </c>
      <c r="AJ917" s="1" t="s">
        <v>147</v>
      </c>
      <c r="AK917" s="1" t="s">
        <v>86</v>
      </c>
      <c r="AL917" s="1" t="s">
        <v>133</v>
      </c>
      <c r="AM917" s="1">
        <v>2</v>
      </c>
      <c r="AN917" s="1">
        <v>0</v>
      </c>
      <c r="AO917" s="1">
        <f t="shared" si="92"/>
        <v>2</v>
      </c>
    </row>
    <row r="918" spans="1:41" x14ac:dyDescent="0.4">
      <c r="A918" s="1">
        <v>1</v>
      </c>
      <c r="B918" s="1" t="s">
        <v>948</v>
      </c>
      <c r="C918" s="1" t="s">
        <v>119</v>
      </c>
      <c r="D918" s="2">
        <v>38972</v>
      </c>
      <c r="E918" s="1">
        <v>255</v>
      </c>
      <c r="F918" s="1">
        <v>5.5</v>
      </c>
      <c r="G918" s="3">
        <v>0.54613425925925929</v>
      </c>
      <c r="H918" s="3">
        <v>0.546412037037037</v>
      </c>
      <c r="I918" s="3">
        <v>2.7777777777771018E-4</v>
      </c>
      <c r="J918" s="3">
        <v>2.1990740740729375E-4</v>
      </c>
      <c r="K918" s="5">
        <f t="shared" si="91"/>
        <v>19</v>
      </c>
      <c r="L918" s="3">
        <v>6.8611111111111178E-2</v>
      </c>
      <c r="N918" s="1" t="s">
        <v>42</v>
      </c>
      <c r="O918" s="1" t="s">
        <v>286</v>
      </c>
      <c r="P918" s="1" t="s">
        <v>44</v>
      </c>
      <c r="Q918" s="1" t="s">
        <v>76</v>
      </c>
      <c r="S918" s="1" t="s">
        <v>451</v>
      </c>
      <c r="T918" s="1" t="s">
        <v>47</v>
      </c>
      <c r="U918" s="1" t="s">
        <v>92</v>
      </c>
      <c r="AB918" s="1" t="s">
        <v>93</v>
      </c>
      <c r="AC918" s="1">
        <v>1</v>
      </c>
      <c r="AI918" s="1" t="s">
        <v>75</v>
      </c>
      <c r="AK918" s="1" t="s">
        <v>86</v>
      </c>
      <c r="AL918" s="1" t="s">
        <v>133</v>
      </c>
      <c r="AN918" s="1">
        <v>1</v>
      </c>
      <c r="AO918" s="1">
        <f t="shared" si="92"/>
        <v>1</v>
      </c>
    </row>
    <row r="919" spans="1:41" x14ac:dyDescent="0.4">
      <c r="A919" s="1">
        <v>1</v>
      </c>
      <c r="B919" s="1" t="s">
        <v>948</v>
      </c>
      <c r="C919" s="1" t="s">
        <v>119</v>
      </c>
      <c r="D919" s="2">
        <v>38972</v>
      </c>
      <c r="E919" s="1">
        <v>255</v>
      </c>
      <c r="F919" s="1">
        <v>10</v>
      </c>
      <c r="G919" s="3">
        <v>0.6772800925925927</v>
      </c>
      <c r="H919" s="3">
        <v>0.677800925925926</v>
      </c>
      <c r="I919" s="3">
        <v>5.2083333333330373E-4</v>
      </c>
      <c r="J919" s="3">
        <v>5.2083333333330373E-4</v>
      </c>
      <c r="K919" s="5">
        <f t="shared" si="91"/>
        <v>45</v>
      </c>
      <c r="L919" s="3" t="s">
        <v>120</v>
      </c>
      <c r="N919" s="1" t="s">
        <v>42</v>
      </c>
      <c r="O919" s="1" t="s">
        <v>286</v>
      </c>
      <c r="P919" s="1" t="s">
        <v>44</v>
      </c>
      <c r="Q919" s="1" t="s">
        <v>76</v>
      </c>
      <c r="S919" s="1" t="s">
        <v>451</v>
      </c>
      <c r="T919" s="1" t="s">
        <v>47</v>
      </c>
      <c r="U919" s="1" t="s">
        <v>156</v>
      </c>
      <c r="V919" s="1" t="s">
        <v>102</v>
      </c>
      <c r="W919" s="1" t="s">
        <v>103</v>
      </c>
      <c r="X919" s="1" t="s">
        <v>96</v>
      </c>
      <c r="AB919" s="1" t="s">
        <v>104</v>
      </c>
      <c r="AC919" s="1">
        <v>0</v>
      </c>
      <c r="AD919" s="1" t="s">
        <v>105</v>
      </c>
      <c r="AE919" s="1" t="s">
        <v>70</v>
      </c>
      <c r="AG919" s="1" t="s">
        <v>1030</v>
      </c>
      <c r="AH919" s="1" t="s">
        <v>157</v>
      </c>
      <c r="AI919" s="1" t="s">
        <v>75</v>
      </c>
      <c r="AK919" s="1" t="s">
        <v>86</v>
      </c>
      <c r="AL919" s="1" t="s">
        <v>133</v>
      </c>
      <c r="AM919" s="1">
        <v>1</v>
      </c>
      <c r="AN919" s="1">
        <v>0</v>
      </c>
      <c r="AO919" s="1">
        <f t="shared" si="92"/>
        <v>1</v>
      </c>
    </row>
    <row r="920" spans="1:41" x14ac:dyDescent="0.4">
      <c r="A920" s="1">
        <v>1</v>
      </c>
      <c r="B920" s="1" t="s">
        <v>948</v>
      </c>
      <c r="C920" s="1" t="s">
        <v>119</v>
      </c>
      <c r="D920" s="2">
        <v>38973</v>
      </c>
      <c r="E920" s="1">
        <v>256</v>
      </c>
      <c r="F920" s="1">
        <v>4</v>
      </c>
      <c r="G920" s="3">
        <v>0.65936342592592589</v>
      </c>
      <c r="H920" s="3">
        <v>0.65982638888888889</v>
      </c>
      <c r="I920" s="3">
        <v>4.6296296296299833E-4</v>
      </c>
      <c r="J920" s="3">
        <v>4.6296296296299833E-4</v>
      </c>
      <c r="K920" s="5">
        <f t="shared" si="91"/>
        <v>40</v>
      </c>
      <c r="L920" s="3">
        <v>6.8055555555556202E-3</v>
      </c>
      <c r="N920" s="1" t="s">
        <v>42</v>
      </c>
      <c r="O920" s="1" t="s">
        <v>286</v>
      </c>
      <c r="P920" s="1" t="s">
        <v>44</v>
      </c>
      <c r="Q920" s="1" t="s">
        <v>76</v>
      </c>
      <c r="S920" s="1" t="s">
        <v>451</v>
      </c>
      <c r="T920" s="1" t="s">
        <v>45</v>
      </c>
      <c r="U920" s="1" t="s">
        <v>66</v>
      </c>
      <c r="V920" s="1" t="s">
        <v>102</v>
      </c>
      <c r="W920" s="1" t="s">
        <v>103</v>
      </c>
      <c r="X920" s="1" t="s">
        <v>96</v>
      </c>
      <c r="AB920" s="1" t="s">
        <v>104</v>
      </c>
      <c r="AC920" s="1">
        <v>0</v>
      </c>
      <c r="AD920" s="1" t="s">
        <v>105</v>
      </c>
      <c r="AE920" s="1" t="s">
        <v>70</v>
      </c>
      <c r="AH920" s="1" t="s">
        <v>157</v>
      </c>
      <c r="AI920" s="1" t="s">
        <v>71</v>
      </c>
      <c r="AK920" s="1" t="s">
        <v>86</v>
      </c>
      <c r="AL920" s="1" t="s">
        <v>87</v>
      </c>
      <c r="AN920" s="1">
        <v>1</v>
      </c>
      <c r="AO920" s="1">
        <f t="shared" si="92"/>
        <v>1</v>
      </c>
    </row>
    <row r="921" spans="1:41" x14ac:dyDescent="0.4">
      <c r="A921" s="1">
        <v>1</v>
      </c>
      <c r="B921" s="1" t="s">
        <v>948</v>
      </c>
      <c r="C921" s="1" t="s">
        <v>119</v>
      </c>
      <c r="D921" s="2">
        <v>38973</v>
      </c>
      <c r="E921" s="1">
        <v>256</v>
      </c>
      <c r="F921" s="1">
        <v>4.5</v>
      </c>
      <c r="G921" s="3">
        <v>0.66663194444444451</v>
      </c>
      <c r="H921" s="3">
        <v>0.6690625</v>
      </c>
      <c r="I921" s="3">
        <v>2.4305555555554914E-3</v>
      </c>
      <c r="J921" s="3">
        <v>2.4305555555554914E-3</v>
      </c>
      <c r="K921" s="5">
        <f t="shared" si="91"/>
        <v>210</v>
      </c>
      <c r="L921" s="3">
        <v>1.2245370370370323E-2</v>
      </c>
      <c r="N921" s="1" t="s">
        <v>42</v>
      </c>
      <c r="O921" s="1" t="s">
        <v>286</v>
      </c>
      <c r="P921" s="1" t="s">
        <v>44</v>
      </c>
      <c r="Q921" s="1" t="s">
        <v>76</v>
      </c>
      <c r="S921" s="1" t="s">
        <v>451</v>
      </c>
      <c r="T921" s="1" t="s">
        <v>47</v>
      </c>
      <c r="U921" s="1" t="s">
        <v>156</v>
      </c>
      <c r="AB921" s="1" t="s">
        <v>93</v>
      </c>
      <c r="AC921" s="1">
        <v>1</v>
      </c>
      <c r="AD921" s="1" t="s">
        <v>105</v>
      </c>
      <c r="AG921" s="1" t="s">
        <v>997</v>
      </c>
      <c r="AH921" s="1" t="s">
        <v>157</v>
      </c>
      <c r="AI921" s="1" t="s">
        <v>75</v>
      </c>
      <c r="AK921" s="1" t="s">
        <v>86</v>
      </c>
      <c r="AL921" s="1" t="s">
        <v>187</v>
      </c>
      <c r="AM921" s="1">
        <v>4</v>
      </c>
      <c r="AN921" s="1">
        <v>0</v>
      </c>
      <c r="AO921" s="1">
        <f t="shared" si="92"/>
        <v>4</v>
      </c>
    </row>
    <row r="922" spans="1:41" x14ac:dyDescent="0.4">
      <c r="A922" s="1">
        <v>1</v>
      </c>
      <c r="B922" s="1" t="s">
        <v>948</v>
      </c>
      <c r="C922" s="1" t="s">
        <v>119</v>
      </c>
      <c r="D922" s="2">
        <v>38992</v>
      </c>
      <c r="E922" s="1">
        <v>275</v>
      </c>
      <c r="F922" s="1">
        <v>3.5</v>
      </c>
      <c r="G922" s="3">
        <v>0.55927083333333327</v>
      </c>
      <c r="H922" s="3">
        <v>0.55930555555555561</v>
      </c>
      <c r="I922" s="3">
        <v>3.4722222222338672E-5</v>
      </c>
      <c r="J922" s="3">
        <v>3.4722222222338672E-5</v>
      </c>
      <c r="K922" s="5">
        <f t="shared" si="91"/>
        <v>3</v>
      </c>
      <c r="L922" s="3">
        <v>2.569444444444402E-3</v>
      </c>
      <c r="N922" s="1" t="s">
        <v>42</v>
      </c>
      <c r="O922" s="1" t="s">
        <v>286</v>
      </c>
      <c r="P922" s="1" t="s">
        <v>44</v>
      </c>
      <c r="Q922" s="1" t="s">
        <v>76</v>
      </c>
      <c r="S922" s="1" t="s">
        <v>451</v>
      </c>
      <c r="T922" s="1" t="s">
        <v>47</v>
      </c>
      <c r="U922" s="1" t="s">
        <v>92</v>
      </c>
      <c r="AB922" s="1" t="s">
        <v>93</v>
      </c>
      <c r="AC922" s="1">
        <v>1</v>
      </c>
      <c r="AG922" s="1" t="s">
        <v>1017</v>
      </c>
      <c r="AI922" s="1" t="s">
        <v>75</v>
      </c>
      <c r="AK922" s="1" t="s">
        <v>86</v>
      </c>
      <c r="AL922" s="1" t="s">
        <v>133</v>
      </c>
      <c r="AM922" s="1">
        <v>2</v>
      </c>
      <c r="AN922" s="1">
        <v>0</v>
      </c>
      <c r="AO922" s="1">
        <f t="shared" si="92"/>
        <v>2</v>
      </c>
    </row>
    <row r="923" spans="1:41" x14ac:dyDescent="0.4">
      <c r="A923" s="1">
        <v>1</v>
      </c>
      <c r="B923" s="1" t="s">
        <v>948</v>
      </c>
      <c r="C923" s="1" t="s">
        <v>119</v>
      </c>
      <c r="D923" s="2">
        <v>38992</v>
      </c>
      <c r="E923" s="1">
        <v>275</v>
      </c>
      <c r="F923" s="1">
        <v>6</v>
      </c>
      <c r="G923" s="3">
        <v>0.58909722222222227</v>
      </c>
      <c r="H923" s="3">
        <v>0.59317129629629628</v>
      </c>
      <c r="I923" s="3">
        <v>4.0740740740740078E-3</v>
      </c>
      <c r="J923" s="3">
        <v>1.7939814814814659E-3</v>
      </c>
      <c r="K923" s="5">
        <f t="shared" si="91"/>
        <v>155</v>
      </c>
      <c r="L923" s="3">
        <v>8.1388888888888844E-2</v>
      </c>
      <c r="N923" s="1" t="s">
        <v>42</v>
      </c>
      <c r="O923" s="1" t="s">
        <v>286</v>
      </c>
      <c r="P923" s="1" t="s">
        <v>44</v>
      </c>
      <c r="Q923" s="1" t="s">
        <v>76</v>
      </c>
      <c r="S923" s="1" t="s">
        <v>451</v>
      </c>
      <c r="T923" s="1" t="s">
        <v>47</v>
      </c>
      <c r="U923" s="1" t="s">
        <v>48</v>
      </c>
      <c r="V923" s="1" t="s">
        <v>102</v>
      </c>
      <c r="W923" s="1" t="s">
        <v>103</v>
      </c>
      <c r="X923" s="1" t="s">
        <v>96</v>
      </c>
      <c r="AB923" s="1" t="s">
        <v>104</v>
      </c>
      <c r="AC923" s="1">
        <v>0</v>
      </c>
      <c r="AD923" s="1" t="s">
        <v>105</v>
      </c>
      <c r="AE923" s="1" t="s">
        <v>70</v>
      </c>
      <c r="AG923" s="1" t="s">
        <v>1031</v>
      </c>
      <c r="AH923" s="1" t="s">
        <v>157</v>
      </c>
      <c r="AI923" s="1" t="s">
        <v>60</v>
      </c>
      <c r="AK923" s="1" t="s">
        <v>381</v>
      </c>
      <c r="AL923" s="1" t="s">
        <v>1032</v>
      </c>
      <c r="AM923" s="1">
        <v>1</v>
      </c>
      <c r="AN923" s="1">
        <v>0</v>
      </c>
      <c r="AO923" s="1">
        <f t="shared" si="92"/>
        <v>1</v>
      </c>
    </row>
    <row r="924" spans="1:41" x14ac:dyDescent="0.4">
      <c r="A924" s="1">
        <v>1</v>
      </c>
      <c r="B924" s="1" t="s">
        <v>1033</v>
      </c>
      <c r="C924" s="1" t="s">
        <v>41</v>
      </c>
      <c r="D924" s="2">
        <v>38756</v>
      </c>
      <c r="E924" s="1">
        <v>39</v>
      </c>
      <c r="F924" s="1">
        <v>1.5</v>
      </c>
      <c r="G924" s="3">
        <v>0.51850694444444445</v>
      </c>
      <c r="H924" s="3">
        <v>0.51861111111111113</v>
      </c>
      <c r="I924" s="3">
        <v>1.0416666666668295E-4</v>
      </c>
      <c r="J924" s="3">
        <v>1.0416666666668295E-4</v>
      </c>
      <c r="K924" s="5">
        <f t="shared" si="91"/>
        <v>9</v>
      </c>
      <c r="L924" s="3">
        <v>8.1782407407407387E-2</v>
      </c>
      <c r="N924" s="1" t="s">
        <v>75</v>
      </c>
      <c r="O924" s="1" t="s">
        <v>43</v>
      </c>
      <c r="P924" s="1" t="s">
        <v>172</v>
      </c>
      <c r="Q924" s="1" t="s">
        <v>76</v>
      </c>
      <c r="S924" s="1" t="s">
        <v>46</v>
      </c>
      <c r="T924" s="1" t="s">
        <v>45</v>
      </c>
      <c r="AB924" s="1" t="s">
        <v>93</v>
      </c>
      <c r="AC924" s="1">
        <v>1</v>
      </c>
      <c r="AK924" s="1" t="s">
        <v>86</v>
      </c>
      <c r="AL924" s="1" t="s">
        <v>87</v>
      </c>
      <c r="AN924" s="1">
        <v>1</v>
      </c>
      <c r="AO924" s="1">
        <f t="shared" si="92"/>
        <v>1</v>
      </c>
    </row>
    <row r="925" spans="1:41" x14ac:dyDescent="0.4">
      <c r="A925" s="1">
        <v>1</v>
      </c>
      <c r="B925" s="1" t="s">
        <v>1033</v>
      </c>
      <c r="C925" s="1" t="s">
        <v>41</v>
      </c>
      <c r="D925" s="2">
        <v>38756</v>
      </c>
      <c r="E925" s="1">
        <v>39</v>
      </c>
      <c r="F925" s="1">
        <v>1.75</v>
      </c>
      <c r="G925" s="3">
        <v>0.60039351851851852</v>
      </c>
      <c r="H925" s="3">
        <v>0.6026273148148148</v>
      </c>
      <c r="I925" s="3">
        <v>2.2337962962962754E-3</v>
      </c>
      <c r="J925" s="3">
        <v>7.1759259259251973E-4</v>
      </c>
      <c r="K925" s="5">
        <f t="shared" si="91"/>
        <v>62</v>
      </c>
      <c r="L925" s="3">
        <v>1.6331018518518592E-2</v>
      </c>
      <c r="N925" s="1" t="s">
        <v>42</v>
      </c>
      <c r="O925" s="1" t="s">
        <v>43</v>
      </c>
      <c r="P925" s="1" t="s">
        <v>172</v>
      </c>
      <c r="Q925" s="1" t="s">
        <v>132</v>
      </c>
      <c r="S925" s="1" t="s">
        <v>46</v>
      </c>
      <c r="T925" s="1" t="s">
        <v>45</v>
      </c>
      <c r="U925" s="1" t="s">
        <v>66</v>
      </c>
      <c r="V925" s="1" t="s">
        <v>67</v>
      </c>
      <c r="W925" s="1" t="s">
        <v>68</v>
      </c>
      <c r="Y925" s="1" t="s">
        <v>68</v>
      </c>
      <c r="AB925" s="1" t="s">
        <v>69</v>
      </c>
      <c r="AC925" s="1">
        <v>0</v>
      </c>
      <c r="AD925" s="1" t="s">
        <v>68</v>
      </c>
      <c r="AE925" s="1" t="s">
        <v>70</v>
      </c>
      <c r="AG925" s="1" t="s">
        <v>1034</v>
      </c>
      <c r="AI925" s="1" t="s">
        <v>71</v>
      </c>
      <c r="AK925" s="1" t="s">
        <v>86</v>
      </c>
      <c r="AL925" s="1" t="s">
        <v>133</v>
      </c>
      <c r="AM925" s="1">
        <v>6</v>
      </c>
      <c r="AN925" s="1">
        <v>0</v>
      </c>
      <c r="AO925" s="1">
        <f t="shared" si="92"/>
        <v>6</v>
      </c>
    </row>
    <row r="926" spans="1:41" x14ac:dyDescent="0.4">
      <c r="A926" s="1">
        <v>1</v>
      </c>
      <c r="B926" s="1" t="s">
        <v>1033</v>
      </c>
      <c r="C926" s="1" t="s">
        <v>41</v>
      </c>
      <c r="D926" s="2">
        <v>38756</v>
      </c>
      <c r="E926" s="1">
        <v>39</v>
      </c>
      <c r="F926" s="1">
        <v>2</v>
      </c>
      <c r="G926" s="3">
        <v>0.61895833333333339</v>
      </c>
      <c r="H926" s="3">
        <v>0.62030092592592589</v>
      </c>
      <c r="I926" s="3">
        <v>1.3425925925925064E-3</v>
      </c>
      <c r="J926" s="3">
        <v>1.3425925925925064E-3</v>
      </c>
      <c r="K926" s="5">
        <f t="shared" si="91"/>
        <v>116</v>
      </c>
      <c r="L926" s="3">
        <v>6.6319444444444819E-3</v>
      </c>
      <c r="N926" s="1" t="s">
        <v>42</v>
      </c>
      <c r="O926" s="1" t="s">
        <v>43</v>
      </c>
      <c r="P926" s="1" t="s">
        <v>172</v>
      </c>
      <c r="Q926" s="1" t="s">
        <v>76</v>
      </c>
      <c r="S926" s="1" t="s">
        <v>46</v>
      </c>
      <c r="T926" s="1" t="s">
        <v>47</v>
      </c>
      <c r="V926" s="1" t="s">
        <v>297</v>
      </c>
      <c r="W926" s="1" t="s">
        <v>1035</v>
      </c>
      <c r="X926" s="1" t="s">
        <v>1036</v>
      </c>
      <c r="Y926" s="1" t="s">
        <v>52</v>
      </c>
      <c r="Z926" s="1">
        <v>11</v>
      </c>
      <c r="AB926" s="1" t="s">
        <v>1037</v>
      </c>
      <c r="AC926" s="1">
        <v>0</v>
      </c>
      <c r="AD926" s="1" t="s">
        <v>105</v>
      </c>
      <c r="AE926" s="1" t="s">
        <v>1038</v>
      </c>
      <c r="AF926" s="1" t="s">
        <v>153</v>
      </c>
      <c r="AG926" s="1" t="s">
        <v>1039</v>
      </c>
      <c r="AK926" s="1" t="s">
        <v>86</v>
      </c>
      <c r="AL926" s="1" t="s">
        <v>87</v>
      </c>
      <c r="AM926" s="1">
        <v>2</v>
      </c>
      <c r="AN926" s="1">
        <v>0</v>
      </c>
      <c r="AO926" s="1">
        <f t="shared" si="92"/>
        <v>2</v>
      </c>
    </row>
    <row r="927" spans="1:41" x14ac:dyDescent="0.4">
      <c r="A927" s="1">
        <v>1</v>
      </c>
      <c r="B927" s="1" t="s">
        <v>1033</v>
      </c>
      <c r="C927" s="1" t="s">
        <v>41</v>
      </c>
      <c r="D927" s="2">
        <v>38756</v>
      </c>
      <c r="E927" s="1">
        <v>39</v>
      </c>
      <c r="F927" s="1">
        <v>2.5</v>
      </c>
      <c r="G927" s="3">
        <v>0.62693287037037038</v>
      </c>
      <c r="H927" s="3">
        <v>0.62728009259259265</v>
      </c>
      <c r="I927" s="3">
        <v>3.472222222222765E-4</v>
      </c>
      <c r="J927" s="3">
        <v>3.472222222222765E-4</v>
      </c>
      <c r="K927" s="5">
        <f t="shared" si="91"/>
        <v>30</v>
      </c>
      <c r="L927" s="3">
        <v>3.3333333333332993E-3</v>
      </c>
      <c r="N927" s="1" t="s">
        <v>42</v>
      </c>
      <c r="O927" s="1" t="s">
        <v>43</v>
      </c>
      <c r="P927" s="1" t="s">
        <v>172</v>
      </c>
      <c r="Q927" s="1" t="s">
        <v>76</v>
      </c>
      <c r="S927" s="1" t="s">
        <v>46</v>
      </c>
      <c r="T927" s="1" t="s">
        <v>76</v>
      </c>
      <c r="U927" s="1" t="s">
        <v>48</v>
      </c>
      <c r="V927" s="1" t="s">
        <v>102</v>
      </c>
      <c r="W927" s="1" t="s">
        <v>231</v>
      </c>
      <c r="X927" s="1" t="s">
        <v>121</v>
      </c>
      <c r="AB927" s="1" t="s">
        <v>104</v>
      </c>
      <c r="AC927" s="1">
        <v>0</v>
      </c>
      <c r="AE927" s="1" t="s">
        <v>70</v>
      </c>
      <c r="AG927" s="1" t="s">
        <v>1034</v>
      </c>
      <c r="AI927" s="1" t="s">
        <v>60</v>
      </c>
      <c r="AK927" s="1" t="s">
        <v>86</v>
      </c>
      <c r="AL927" s="1" t="s">
        <v>133</v>
      </c>
      <c r="AM927" s="1">
        <v>6</v>
      </c>
      <c r="AN927" s="1">
        <v>0</v>
      </c>
      <c r="AO927" s="1">
        <f t="shared" si="92"/>
        <v>6</v>
      </c>
    </row>
    <row r="928" spans="1:41" x14ac:dyDescent="0.4">
      <c r="A928" s="1">
        <v>1</v>
      </c>
      <c r="B928" s="1" t="s">
        <v>1033</v>
      </c>
      <c r="C928" s="1" t="s">
        <v>41</v>
      </c>
      <c r="D928" s="2">
        <v>38756</v>
      </c>
      <c r="E928" s="1">
        <v>39</v>
      </c>
      <c r="F928" s="1">
        <v>2.6</v>
      </c>
      <c r="G928" s="3">
        <v>0.63061342592592595</v>
      </c>
      <c r="H928" s="3">
        <v>0.63077546296296294</v>
      </c>
      <c r="I928" s="3">
        <v>1.6203703703698835E-4</v>
      </c>
      <c r="J928" s="3">
        <v>1.6203703703698835E-4</v>
      </c>
      <c r="K928" s="5">
        <f t="shared" si="91"/>
        <v>14</v>
      </c>
      <c r="L928" s="3">
        <v>1.1342592592592515E-3</v>
      </c>
      <c r="N928" s="1" t="s">
        <v>42</v>
      </c>
      <c r="O928" s="1" t="s">
        <v>43</v>
      </c>
      <c r="P928" s="1" t="s">
        <v>172</v>
      </c>
      <c r="Q928" s="1" t="s">
        <v>45</v>
      </c>
      <c r="S928" s="1" t="s">
        <v>46</v>
      </c>
      <c r="T928" s="1" t="s">
        <v>76</v>
      </c>
      <c r="U928" s="1" t="s">
        <v>48</v>
      </c>
      <c r="V928" s="1" t="s">
        <v>102</v>
      </c>
      <c r="W928" s="1" t="s">
        <v>231</v>
      </c>
      <c r="X928" s="1" t="s">
        <v>121</v>
      </c>
      <c r="AB928" s="1" t="s">
        <v>104</v>
      </c>
      <c r="AC928" s="1">
        <v>0</v>
      </c>
      <c r="AE928" s="1" t="s">
        <v>70</v>
      </c>
      <c r="AG928" s="1" t="s">
        <v>1034</v>
      </c>
      <c r="AI928" s="1" t="s">
        <v>60</v>
      </c>
      <c r="AK928" s="1" t="s">
        <v>86</v>
      </c>
      <c r="AL928" s="1" t="s">
        <v>133</v>
      </c>
      <c r="AM928" s="1">
        <v>6</v>
      </c>
      <c r="AN928" s="1">
        <v>0</v>
      </c>
      <c r="AO928" s="1">
        <f t="shared" si="92"/>
        <v>6</v>
      </c>
    </row>
    <row r="929" spans="1:41" x14ac:dyDescent="0.4">
      <c r="A929" s="1">
        <v>1</v>
      </c>
      <c r="B929" s="1" t="s">
        <v>1033</v>
      </c>
      <c r="C929" s="1" t="s">
        <v>41</v>
      </c>
      <c r="D929" s="2">
        <v>38756</v>
      </c>
      <c r="E929" s="1">
        <v>39</v>
      </c>
      <c r="F929" s="1">
        <v>2.7</v>
      </c>
      <c r="G929" s="3">
        <v>0.63190972222222219</v>
      </c>
      <c r="H929" s="3">
        <v>0.63201388888888888</v>
      </c>
      <c r="I929" s="3">
        <v>1.0416666666668295E-4</v>
      </c>
      <c r="J929" s="3">
        <v>1.0416666666668295E-4</v>
      </c>
      <c r="K929" s="5">
        <f t="shared" si="91"/>
        <v>9</v>
      </c>
      <c r="L929" s="3">
        <v>8.3217592592592649E-3</v>
      </c>
      <c r="N929" s="1" t="s">
        <v>42</v>
      </c>
      <c r="O929" s="1" t="s">
        <v>43</v>
      </c>
      <c r="P929" s="1" t="s">
        <v>172</v>
      </c>
      <c r="Q929" s="1" t="s">
        <v>45</v>
      </c>
      <c r="S929" s="1" t="s">
        <v>46</v>
      </c>
      <c r="T929" s="1" t="s">
        <v>45</v>
      </c>
      <c r="U929" s="1" t="s">
        <v>156</v>
      </c>
      <c r="AB929" s="1" t="s">
        <v>93</v>
      </c>
      <c r="AC929" s="1">
        <v>1</v>
      </c>
      <c r="AG929" s="1" t="s">
        <v>1034</v>
      </c>
      <c r="AI929" s="1" t="s">
        <v>75</v>
      </c>
      <c r="AK929" s="1" t="s">
        <v>86</v>
      </c>
      <c r="AL929" s="1" t="s">
        <v>133</v>
      </c>
      <c r="AM929" s="1">
        <v>6</v>
      </c>
      <c r="AN929" s="1">
        <v>0</v>
      </c>
      <c r="AO929" s="1">
        <f t="shared" si="92"/>
        <v>6</v>
      </c>
    </row>
    <row r="930" spans="1:41" x14ac:dyDescent="0.4">
      <c r="A930" s="1">
        <v>1</v>
      </c>
      <c r="B930" s="1" t="s">
        <v>1033</v>
      </c>
      <c r="C930" s="1" t="s">
        <v>41</v>
      </c>
      <c r="D930" s="2">
        <v>38756</v>
      </c>
      <c r="E930" s="1">
        <v>39</v>
      </c>
      <c r="F930" s="1">
        <v>2.75</v>
      </c>
      <c r="G930" s="3">
        <v>0.64033564814814814</v>
      </c>
      <c r="H930" s="3">
        <v>0.64039351851851845</v>
      </c>
      <c r="I930" s="3">
        <v>5.7870370370305402E-5</v>
      </c>
      <c r="J930" s="3">
        <v>5.7870370370305402E-5</v>
      </c>
      <c r="K930" s="5">
        <f t="shared" si="91"/>
        <v>5</v>
      </c>
      <c r="L930" s="3">
        <v>4.5370370370371171E-3</v>
      </c>
      <c r="N930" s="1" t="s">
        <v>42</v>
      </c>
      <c r="O930" s="1" t="s">
        <v>43</v>
      </c>
      <c r="P930" s="1" t="s">
        <v>172</v>
      </c>
      <c r="Q930" s="1" t="s">
        <v>45</v>
      </c>
      <c r="S930" s="1" t="s">
        <v>46</v>
      </c>
      <c r="AB930" s="1" t="s">
        <v>93</v>
      </c>
      <c r="AC930" s="1">
        <v>1</v>
      </c>
      <c r="AK930" s="1" t="s">
        <v>61</v>
      </c>
      <c r="AL930" s="1" t="s">
        <v>72</v>
      </c>
      <c r="AN930" s="1">
        <v>1</v>
      </c>
      <c r="AO930" s="1">
        <f t="shared" si="92"/>
        <v>1</v>
      </c>
    </row>
    <row r="931" spans="1:41" x14ac:dyDescent="0.4">
      <c r="A931" s="1">
        <v>1</v>
      </c>
      <c r="B931" s="1" t="s">
        <v>1033</v>
      </c>
      <c r="C931" s="1" t="s">
        <v>41</v>
      </c>
      <c r="D931" s="2">
        <v>38756</v>
      </c>
      <c r="E931" s="1">
        <v>39</v>
      </c>
      <c r="F931" s="1">
        <v>3</v>
      </c>
      <c r="G931" s="3">
        <v>0.64493055555555556</v>
      </c>
      <c r="H931" s="3">
        <v>0.64925925925925931</v>
      </c>
      <c r="I931" s="3">
        <v>4.3287037037037512E-3</v>
      </c>
      <c r="J931" s="3">
        <v>2.1412037037037424E-3</v>
      </c>
      <c r="K931" s="5">
        <f t="shared" si="91"/>
        <v>185</v>
      </c>
      <c r="L931" s="3">
        <v>2.3692129629629632E-2</v>
      </c>
      <c r="N931" s="1" t="s">
        <v>42</v>
      </c>
      <c r="O931" s="1" t="s">
        <v>43</v>
      </c>
      <c r="P931" s="1" t="s">
        <v>172</v>
      </c>
      <c r="Q931" s="1" t="s">
        <v>76</v>
      </c>
      <c r="S931" s="1" t="s">
        <v>46</v>
      </c>
      <c r="T931" s="1" t="s">
        <v>47</v>
      </c>
      <c r="U931" s="1" t="s">
        <v>92</v>
      </c>
      <c r="V931" s="1" t="s">
        <v>297</v>
      </c>
      <c r="W931" s="1" t="s">
        <v>1035</v>
      </c>
      <c r="X931" s="1" t="s">
        <v>1036</v>
      </c>
      <c r="Y931" s="1" t="s">
        <v>52</v>
      </c>
      <c r="Z931" s="1">
        <v>11</v>
      </c>
      <c r="AB931" s="1" t="s">
        <v>1037</v>
      </c>
      <c r="AC931" s="1">
        <v>0</v>
      </c>
      <c r="AD931" s="1" t="s">
        <v>105</v>
      </c>
      <c r="AE931" s="1" t="s">
        <v>1038</v>
      </c>
      <c r="AF931" s="1" t="s">
        <v>113</v>
      </c>
      <c r="AG931" s="1" t="s">
        <v>1040</v>
      </c>
      <c r="AI931" s="1" t="s">
        <v>75</v>
      </c>
      <c r="AK931" s="1" t="s">
        <v>86</v>
      </c>
      <c r="AL931" s="1" t="s">
        <v>133</v>
      </c>
      <c r="AM931" s="1">
        <v>1</v>
      </c>
      <c r="AN931" s="1">
        <v>0</v>
      </c>
      <c r="AO931" s="1">
        <f t="shared" si="92"/>
        <v>1</v>
      </c>
    </row>
    <row r="932" spans="1:41" x14ac:dyDescent="0.4">
      <c r="A932" s="1">
        <v>1</v>
      </c>
      <c r="B932" s="1" t="s">
        <v>1033</v>
      </c>
      <c r="C932" s="1" t="s">
        <v>41</v>
      </c>
      <c r="D932" s="2">
        <v>38756</v>
      </c>
      <c r="E932" s="1">
        <v>39</v>
      </c>
      <c r="F932" s="1">
        <v>3.2</v>
      </c>
      <c r="G932" s="3">
        <v>0.67295138888888895</v>
      </c>
      <c r="H932" s="3">
        <v>0.67364583333333339</v>
      </c>
      <c r="I932" s="3">
        <v>6.9444444444444198E-4</v>
      </c>
      <c r="J932" s="3">
        <v>6.134259259259478E-4</v>
      </c>
      <c r="K932" s="5">
        <f t="shared" si="91"/>
        <v>53</v>
      </c>
      <c r="L932" s="3">
        <v>1.5706018518518494E-2</v>
      </c>
      <c r="N932" s="1" t="s">
        <v>42</v>
      </c>
      <c r="O932" s="1" t="s">
        <v>43</v>
      </c>
      <c r="P932" s="1" t="s">
        <v>172</v>
      </c>
      <c r="Q932" s="1" t="s">
        <v>76</v>
      </c>
      <c r="R932" s="1" t="s">
        <v>76</v>
      </c>
      <c r="S932" s="1" t="s">
        <v>46</v>
      </c>
      <c r="T932" s="1" t="s">
        <v>191</v>
      </c>
      <c r="U932" s="1" t="s">
        <v>66</v>
      </c>
      <c r="V932" s="1" t="s">
        <v>102</v>
      </c>
      <c r="W932" s="1" t="s">
        <v>231</v>
      </c>
      <c r="X932" s="1" t="s">
        <v>121</v>
      </c>
      <c r="AB932" s="1" t="s">
        <v>104</v>
      </c>
      <c r="AC932" s="1">
        <v>0</v>
      </c>
      <c r="AE932" s="1" t="s">
        <v>70</v>
      </c>
      <c r="AI932" s="1" t="s">
        <v>71</v>
      </c>
      <c r="AK932" s="1" t="s">
        <v>61</v>
      </c>
      <c r="AL932" s="1" t="s">
        <v>72</v>
      </c>
      <c r="AN932" s="1">
        <v>1</v>
      </c>
      <c r="AO932" s="1">
        <f t="shared" si="92"/>
        <v>1</v>
      </c>
    </row>
    <row r="933" spans="1:41" x14ac:dyDescent="0.4">
      <c r="A933" s="1">
        <v>1</v>
      </c>
      <c r="B933" s="1" t="s">
        <v>1033</v>
      </c>
      <c r="C933" s="1" t="s">
        <v>41</v>
      </c>
      <c r="D933" s="2">
        <v>38756</v>
      </c>
      <c r="E933" s="1">
        <v>39</v>
      </c>
      <c r="F933" s="1">
        <v>3.4</v>
      </c>
      <c r="G933" s="3">
        <v>0.68935185185185188</v>
      </c>
      <c r="H933" s="3">
        <v>0.6894097222222223</v>
      </c>
      <c r="I933" s="3">
        <v>5.7870370370416424E-5</v>
      </c>
      <c r="J933" s="3">
        <v>5.7870370370416424E-5</v>
      </c>
      <c r="K933" s="5">
        <f t="shared" si="91"/>
        <v>5</v>
      </c>
      <c r="L933" s="3">
        <v>7.407407407407085E-4</v>
      </c>
      <c r="N933" s="1" t="s">
        <v>42</v>
      </c>
      <c r="O933" s="1" t="s">
        <v>43</v>
      </c>
      <c r="P933" s="1" t="s">
        <v>172</v>
      </c>
      <c r="Q933" s="1" t="s">
        <v>45</v>
      </c>
      <c r="R933" s="1" t="s">
        <v>45</v>
      </c>
      <c r="S933" s="1" t="s">
        <v>46</v>
      </c>
      <c r="T933" s="1" t="s">
        <v>45</v>
      </c>
      <c r="U933" s="1" t="s">
        <v>66</v>
      </c>
      <c r="AB933" s="1" t="s">
        <v>93</v>
      </c>
      <c r="AC933" s="1">
        <v>1</v>
      </c>
      <c r="AI933" s="1" t="s">
        <v>71</v>
      </c>
      <c r="AK933" s="1" t="s">
        <v>86</v>
      </c>
      <c r="AL933" s="1" t="s">
        <v>87</v>
      </c>
      <c r="AN933" s="1">
        <v>1</v>
      </c>
      <c r="AO933" s="1">
        <f t="shared" si="92"/>
        <v>1</v>
      </c>
    </row>
    <row r="934" spans="1:41" x14ac:dyDescent="0.4">
      <c r="A934" s="1">
        <v>1</v>
      </c>
      <c r="B934" s="1" t="s">
        <v>1033</v>
      </c>
      <c r="C934" s="1" t="s">
        <v>41</v>
      </c>
      <c r="D934" s="2">
        <v>38756</v>
      </c>
      <c r="E934" s="1">
        <v>39</v>
      </c>
      <c r="F934" s="1">
        <v>3.5</v>
      </c>
      <c r="G934" s="3">
        <v>0.69015046296296301</v>
      </c>
      <c r="H934" s="3">
        <v>0.69086805555555564</v>
      </c>
      <c r="I934" s="3">
        <v>7.1759259259263075E-4</v>
      </c>
      <c r="J934" s="3">
        <v>7.1759259259263075E-4</v>
      </c>
      <c r="K934" s="5">
        <f t="shared" si="91"/>
        <v>62</v>
      </c>
      <c r="L934" s="3">
        <v>2.4999999999999467E-3</v>
      </c>
      <c r="N934" s="1" t="s">
        <v>42</v>
      </c>
      <c r="O934" s="1" t="s">
        <v>43</v>
      </c>
      <c r="P934" s="1" t="s">
        <v>172</v>
      </c>
      <c r="Q934" s="1" t="s">
        <v>132</v>
      </c>
      <c r="R934" s="1" t="s">
        <v>45</v>
      </c>
      <c r="S934" s="1" t="s">
        <v>46</v>
      </c>
      <c r="T934" s="1" t="s">
        <v>45</v>
      </c>
      <c r="U934" s="1" t="s">
        <v>66</v>
      </c>
      <c r="V934" s="1" t="s">
        <v>49</v>
      </c>
      <c r="W934" s="1" t="s">
        <v>50</v>
      </c>
      <c r="X934" s="1" t="s">
        <v>96</v>
      </c>
      <c r="Y934" s="1" t="s">
        <v>52</v>
      </c>
      <c r="Z934" s="1" t="s">
        <v>53</v>
      </c>
      <c r="AA934" s="1" t="s">
        <v>1020</v>
      </c>
      <c r="AB934" s="1" t="s">
        <v>1021</v>
      </c>
      <c r="AC934" s="1">
        <v>0</v>
      </c>
      <c r="AE934" s="1" t="s">
        <v>70</v>
      </c>
      <c r="AH934" s="1" t="s">
        <v>59</v>
      </c>
      <c r="AI934" s="1" t="s">
        <v>71</v>
      </c>
      <c r="AK934" s="1" t="s">
        <v>86</v>
      </c>
      <c r="AL934" s="1" t="s">
        <v>87</v>
      </c>
      <c r="AN934" s="1">
        <v>1</v>
      </c>
      <c r="AO934" s="1">
        <f t="shared" si="92"/>
        <v>1</v>
      </c>
    </row>
    <row r="935" spans="1:41" x14ac:dyDescent="0.4">
      <c r="A935" s="1">
        <v>1</v>
      </c>
      <c r="B935" s="1" t="s">
        <v>1033</v>
      </c>
      <c r="C935" s="1" t="s">
        <v>41</v>
      </c>
      <c r="D935" s="2">
        <v>38756</v>
      </c>
      <c r="E935" s="1">
        <v>39</v>
      </c>
      <c r="F935" s="1">
        <v>4</v>
      </c>
      <c r="G935" s="3">
        <v>0.69336805555555558</v>
      </c>
      <c r="H935" s="3">
        <v>0.70173611111111101</v>
      </c>
      <c r="I935" s="3">
        <v>8.3680555555554204E-3</v>
      </c>
      <c r="J935" s="3">
        <v>8.3680555555554204E-3</v>
      </c>
      <c r="K935" s="5">
        <f t="shared" si="91"/>
        <v>723</v>
      </c>
      <c r="L935" s="3">
        <v>0</v>
      </c>
      <c r="N935" s="1" t="s">
        <v>42</v>
      </c>
      <c r="O935" s="1" t="s">
        <v>43</v>
      </c>
      <c r="P935" s="1" t="s">
        <v>172</v>
      </c>
      <c r="Q935" s="1" t="s">
        <v>132</v>
      </c>
      <c r="R935" s="1" t="s">
        <v>191</v>
      </c>
      <c r="S935" s="1" t="s">
        <v>46</v>
      </c>
      <c r="T935" s="1" t="s">
        <v>45</v>
      </c>
      <c r="U935" s="1" t="s">
        <v>66</v>
      </c>
      <c r="V935" s="1" t="s">
        <v>49</v>
      </c>
      <c r="W935" s="1" t="s">
        <v>77</v>
      </c>
      <c r="X935" s="1" t="s">
        <v>108</v>
      </c>
      <c r="Y935" s="1" t="s">
        <v>109</v>
      </c>
      <c r="Z935" s="1" t="s">
        <v>110</v>
      </c>
      <c r="AA935" s="1" t="s">
        <v>111</v>
      </c>
      <c r="AB935" s="1" t="s">
        <v>112</v>
      </c>
      <c r="AC935" s="1">
        <v>0</v>
      </c>
      <c r="AD935" s="1" t="s">
        <v>56</v>
      </c>
      <c r="AE935" s="1" t="s">
        <v>57</v>
      </c>
      <c r="AG935" s="1" t="s">
        <v>1041</v>
      </c>
      <c r="AH935" s="1" t="s">
        <v>115</v>
      </c>
      <c r="AI935" s="1" t="s">
        <v>71</v>
      </c>
      <c r="AK935" s="1" t="s">
        <v>86</v>
      </c>
      <c r="AL935" s="1" t="s">
        <v>87</v>
      </c>
      <c r="AM935" s="1">
        <v>6</v>
      </c>
      <c r="AN935" s="1">
        <v>0</v>
      </c>
      <c r="AO935" s="1">
        <f t="shared" si="92"/>
        <v>6</v>
      </c>
    </row>
    <row r="936" spans="1:41" x14ac:dyDescent="0.4">
      <c r="A936" s="1">
        <v>1</v>
      </c>
      <c r="B936" s="1" t="s">
        <v>1033</v>
      </c>
      <c r="C936" s="1" t="s">
        <v>41</v>
      </c>
      <c r="D936" s="2">
        <v>38756</v>
      </c>
      <c r="E936" s="1">
        <v>39</v>
      </c>
      <c r="F936" s="1">
        <v>4.5</v>
      </c>
      <c r="G936" s="3">
        <v>0.70173611111111101</v>
      </c>
      <c r="H936" s="3">
        <v>0.70398148148148154</v>
      </c>
      <c r="I936" s="3">
        <v>2.2453703703705363E-3</v>
      </c>
      <c r="J936" s="3">
        <v>2.2453703703705363E-3</v>
      </c>
      <c r="K936" s="5">
        <f t="shared" si="91"/>
        <v>194</v>
      </c>
      <c r="L936" s="3">
        <v>1.5162037037036447E-3</v>
      </c>
      <c r="N936" s="1" t="s">
        <v>42</v>
      </c>
      <c r="O936" s="1" t="s">
        <v>43</v>
      </c>
      <c r="P936" s="1" t="s">
        <v>172</v>
      </c>
      <c r="Q936" s="1" t="s">
        <v>132</v>
      </c>
      <c r="R936" s="1" t="s">
        <v>45</v>
      </c>
      <c r="S936" s="1" t="s">
        <v>46</v>
      </c>
      <c r="T936" s="1" t="s">
        <v>45</v>
      </c>
      <c r="U936" s="1" t="s">
        <v>92</v>
      </c>
      <c r="V936" s="1" t="s">
        <v>49</v>
      </c>
      <c r="W936" s="1" t="s">
        <v>168</v>
      </c>
      <c r="X936" s="1" t="s">
        <v>121</v>
      </c>
      <c r="AB936" s="1" t="s">
        <v>258</v>
      </c>
      <c r="AC936" s="1">
        <v>0</v>
      </c>
      <c r="AE936" s="1" t="s">
        <v>70</v>
      </c>
      <c r="AG936" s="1" t="s">
        <v>1041</v>
      </c>
      <c r="AI936" s="1" t="s">
        <v>75</v>
      </c>
      <c r="AK936" s="1" t="s">
        <v>86</v>
      </c>
      <c r="AL936" s="1" t="s">
        <v>87</v>
      </c>
      <c r="AM936" s="1">
        <v>6</v>
      </c>
      <c r="AN936" s="1">
        <v>0</v>
      </c>
      <c r="AO936" s="1">
        <f t="shared" si="92"/>
        <v>6</v>
      </c>
    </row>
    <row r="937" spans="1:41" x14ac:dyDescent="0.4">
      <c r="A937" s="1">
        <v>1</v>
      </c>
      <c r="B937" s="1" t="s">
        <v>1033</v>
      </c>
      <c r="C937" s="1" t="s">
        <v>41</v>
      </c>
      <c r="D937" s="2">
        <v>38756</v>
      </c>
      <c r="E937" s="1">
        <v>39</v>
      </c>
      <c r="F937" s="1">
        <v>5</v>
      </c>
      <c r="G937" s="3">
        <v>0.70549768518518519</v>
      </c>
      <c r="H937" s="3">
        <v>0.70771990740740742</v>
      </c>
      <c r="I937" s="3">
        <v>2.2222222222222365E-3</v>
      </c>
      <c r="J937" s="3">
        <v>2.2222222222222365E-3</v>
      </c>
      <c r="K937" s="5">
        <f t="shared" si="91"/>
        <v>192</v>
      </c>
      <c r="L937" s="3" t="s">
        <v>120</v>
      </c>
      <c r="N937" s="1" t="s">
        <v>75</v>
      </c>
      <c r="O937" s="1" t="s">
        <v>43</v>
      </c>
      <c r="P937" s="1" t="s">
        <v>172</v>
      </c>
      <c r="Q937" s="1" t="s">
        <v>76</v>
      </c>
      <c r="R937" s="1" t="s">
        <v>76</v>
      </c>
      <c r="S937" s="1" t="s">
        <v>46</v>
      </c>
      <c r="T937" s="1" t="s">
        <v>45</v>
      </c>
      <c r="U937" s="1" t="s">
        <v>92</v>
      </c>
      <c r="V937" s="1" t="s">
        <v>49</v>
      </c>
      <c r="W937" s="1" t="s">
        <v>168</v>
      </c>
      <c r="X937" s="1" t="s">
        <v>121</v>
      </c>
      <c r="AB937" s="1" t="s">
        <v>258</v>
      </c>
      <c r="AC937" s="1">
        <v>0</v>
      </c>
      <c r="AE937" s="1" t="s">
        <v>70</v>
      </c>
      <c r="AG937" s="1" t="s">
        <v>1042</v>
      </c>
      <c r="AI937" s="1" t="s">
        <v>75</v>
      </c>
      <c r="AK937" s="1" t="s">
        <v>61</v>
      </c>
      <c r="AL937" s="1" t="s">
        <v>72</v>
      </c>
      <c r="AM937" s="1">
        <v>1</v>
      </c>
      <c r="AN937" s="1">
        <v>0</v>
      </c>
      <c r="AO937" s="1">
        <f t="shared" si="92"/>
        <v>1</v>
      </c>
    </row>
    <row r="938" spans="1:41" x14ac:dyDescent="0.4">
      <c r="A938" s="1">
        <v>1</v>
      </c>
      <c r="B938" s="1" t="s">
        <v>1033</v>
      </c>
      <c r="C938" s="1" t="s">
        <v>41</v>
      </c>
      <c r="D938" s="2">
        <v>38765</v>
      </c>
      <c r="E938" s="1">
        <v>48</v>
      </c>
      <c r="F938" s="1">
        <v>1</v>
      </c>
      <c r="G938" s="3">
        <v>0.35635416666666669</v>
      </c>
      <c r="H938" s="3">
        <v>0.35679976851851852</v>
      </c>
      <c r="I938" s="3">
        <v>4.4560185185182899E-4</v>
      </c>
      <c r="J938" s="3">
        <v>4.4560185185182899E-4</v>
      </c>
      <c r="K938" s="5">
        <f t="shared" si="91"/>
        <v>38</v>
      </c>
      <c r="L938" s="3">
        <v>9.8668981481481732E-3</v>
      </c>
      <c r="N938" s="1" t="s">
        <v>42</v>
      </c>
      <c r="O938" s="1" t="s">
        <v>43</v>
      </c>
      <c r="P938" s="1" t="s">
        <v>172</v>
      </c>
      <c r="Q938" s="1" t="s">
        <v>45</v>
      </c>
      <c r="R938" s="1" t="s">
        <v>45</v>
      </c>
      <c r="S938" s="1" t="s">
        <v>46</v>
      </c>
      <c r="T938" s="1" t="s">
        <v>45</v>
      </c>
      <c r="V938" s="1" t="s">
        <v>49</v>
      </c>
      <c r="W938" s="1" t="s">
        <v>50</v>
      </c>
      <c r="X938" s="1" t="s">
        <v>464</v>
      </c>
      <c r="Y938" s="1" t="s">
        <v>347</v>
      </c>
      <c r="Z938" s="1" t="s">
        <v>348</v>
      </c>
      <c r="AA938" s="1" t="s">
        <v>465</v>
      </c>
      <c r="AB938" s="1" t="s">
        <v>466</v>
      </c>
      <c r="AC938" s="1">
        <v>0</v>
      </c>
      <c r="AD938" s="1" t="s">
        <v>56</v>
      </c>
      <c r="AE938" s="1" t="s">
        <v>83</v>
      </c>
      <c r="AG938" s="1" t="s">
        <v>1043</v>
      </c>
      <c r="AH938" s="1" t="s">
        <v>115</v>
      </c>
      <c r="AK938" s="1" t="s">
        <v>86</v>
      </c>
      <c r="AL938" s="1" t="s">
        <v>133</v>
      </c>
      <c r="AM938" s="1">
        <v>5</v>
      </c>
      <c r="AN938" s="1">
        <v>0</v>
      </c>
      <c r="AO938" s="1">
        <f t="shared" si="92"/>
        <v>5</v>
      </c>
    </row>
    <row r="939" spans="1:41" x14ac:dyDescent="0.4">
      <c r="A939" s="1">
        <v>1</v>
      </c>
      <c r="B939" s="1" t="s">
        <v>1033</v>
      </c>
      <c r="C939" s="1" t="s">
        <v>41</v>
      </c>
      <c r="D939" s="2">
        <v>38765</v>
      </c>
      <c r="E939" s="1">
        <v>48</v>
      </c>
      <c r="F939" s="1">
        <v>2</v>
      </c>
      <c r="G939" s="3">
        <v>0.3666666666666667</v>
      </c>
      <c r="H939" s="3">
        <v>0.36967592592592591</v>
      </c>
      <c r="I939" s="3">
        <v>3.0092592592592116E-3</v>
      </c>
      <c r="J939" s="3">
        <v>3.0092592592592116E-3</v>
      </c>
      <c r="K939" s="5">
        <f t="shared" si="91"/>
        <v>260</v>
      </c>
      <c r="L939" s="3">
        <v>5.3784722222222248E-2</v>
      </c>
      <c r="N939" s="1" t="s">
        <v>42</v>
      </c>
      <c r="O939" s="1" t="s">
        <v>43</v>
      </c>
      <c r="P939" s="1" t="s">
        <v>172</v>
      </c>
      <c r="Q939" s="1" t="s">
        <v>76</v>
      </c>
      <c r="R939" s="1" t="s">
        <v>76</v>
      </c>
      <c r="S939" s="1" t="s">
        <v>46</v>
      </c>
      <c r="T939" s="1" t="s">
        <v>45</v>
      </c>
      <c r="U939" s="1" t="s">
        <v>66</v>
      </c>
      <c r="V939" s="1" t="s">
        <v>49</v>
      </c>
      <c r="W939" s="1" t="s">
        <v>77</v>
      </c>
      <c r="X939" s="1" t="s">
        <v>468</v>
      </c>
      <c r="Y939" s="1" t="s">
        <v>126</v>
      </c>
      <c r="Z939" s="1" t="s">
        <v>469</v>
      </c>
      <c r="AA939" s="1" t="s">
        <v>470</v>
      </c>
      <c r="AB939" s="1" t="s">
        <v>471</v>
      </c>
      <c r="AC939" s="1">
        <v>0</v>
      </c>
      <c r="AD939" s="1" t="s">
        <v>56</v>
      </c>
      <c r="AE939" s="1" t="s">
        <v>83</v>
      </c>
      <c r="AF939" s="1" t="s">
        <v>113</v>
      </c>
      <c r="AG939" s="1" t="s">
        <v>1044</v>
      </c>
      <c r="AH939" s="1" t="s">
        <v>59</v>
      </c>
      <c r="AI939" s="1" t="s">
        <v>71</v>
      </c>
      <c r="AK939" s="1" t="s">
        <v>86</v>
      </c>
      <c r="AL939" s="1" t="s">
        <v>86</v>
      </c>
      <c r="AM939" s="1">
        <v>1</v>
      </c>
      <c r="AN939" s="1">
        <v>0</v>
      </c>
      <c r="AO939" s="1">
        <f t="shared" si="92"/>
        <v>1</v>
      </c>
    </row>
    <row r="940" spans="1:41" x14ac:dyDescent="0.4">
      <c r="A940" s="1">
        <v>1</v>
      </c>
      <c r="B940" s="1" t="s">
        <v>1033</v>
      </c>
      <c r="C940" s="1" t="s">
        <v>41</v>
      </c>
      <c r="D940" s="2">
        <v>38765</v>
      </c>
      <c r="E940" s="1">
        <v>48</v>
      </c>
      <c r="F940" s="1">
        <v>2.5</v>
      </c>
      <c r="G940" s="3">
        <v>0.42346064814814816</v>
      </c>
      <c r="H940" s="3">
        <v>0.42412037037037037</v>
      </c>
      <c r="I940" s="3">
        <v>6.5972222222221433E-4</v>
      </c>
      <c r="J940" s="3">
        <v>6.5972222222221433E-4</v>
      </c>
      <c r="K940" s="5">
        <f t="shared" si="91"/>
        <v>57</v>
      </c>
      <c r="L940" s="3">
        <v>0.25421296296296297</v>
      </c>
      <c r="N940" s="1" t="s">
        <v>42</v>
      </c>
      <c r="O940" s="1" t="s">
        <v>43</v>
      </c>
      <c r="P940" s="1" t="s">
        <v>172</v>
      </c>
      <c r="Q940" s="1" t="s">
        <v>191</v>
      </c>
      <c r="R940" s="1" t="s">
        <v>45</v>
      </c>
      <c r="S940" s="1" t="s">
        <v>46</v>
      </c>
      <c r="T940" s="1" t="s">
        <v>76</v>
      </c>
      <c r="U940" s="1" t="s">
        <v>92</v>
      </c>
      <c r="AB940" s="1" t="s">
        <v>93</v>
      </c>
      <c r="AC940" s="1">
        <v>1</v>
      </c>
      <c r="AI940" s="1" t="s">
        <v>75</v>
      </c>
      <c r="AK940" s="1" t="s">
        <v>86</v>
      </c>
      <c r="AL940" s="1" t="s">
        <v>87</v>
      </c>
      <c r="AN940" s="1">
        <v>1</v>
      </c>
      <c r="AO940" s="1">
        <f t="shared" si="92"/>
        <v>1</v>
      </c>
    </row>
    <row r="941" spans="1:41" x14ac:dyDescent="0.4">
      <c r="A941" s="1">
        <v>1</v>
      </c>
      <c r="B941" s="1" t="s">
        <v>1033</v>
      </c>
      <c r="C941" s="1" t="s">
        <v>41</v>
      </c>
      <c r="D941" s="2">
        <v>38765</v>
      </c>
      <c r="E941" s="1">
        <v>48</v>
      </c>
      <c r="F941" s="1">
        <v>3</v>
      </c>
      <c r="G941" s="3">
        <v>0.67833333333333334</v>
      </c>
      <c r="H941" s="3">
        <v>0.68640046296296298</v>
      </c>
      <c r="I941" s="3">
        <v>8.0671296296296324E-3</v>
      </c>
      <c r="J941" s="3">
        <v>8.0671296296296324E-3</v>
      </c>
      <c r="K941" s="5">
        <f t="shared" si="91"/>
        <v>697</v>
      </c>
      <c r="L941" s="3" t="s">
        <v>120</v>
      </c>
      <c r="N941" s="1" t="s">
        <v>42</v>
      </c>
      <c r="O941" s="1" t="s">
        <v>43</v>
      </c>
      <c r="P941" s="1" t="s">
        <v>172</v>
      </c>
      <c r="Q941" s="1" t="s">
        <v>76</v>
      </c>
      <c r="R941" s="1" t="s">
        <v>76</v>
      </c>
      <c r="S941" s="1" t="s">
        <v>46</v>
      </c>
      <c r="T941" s="1" t="s">
        <v>45</v>
      </c>
      <c r="U941" s="1" t="s">
        <v>66</v>
      </c>
      <c r="V941" s="1" t="s">
        <v>49</v>
      </c>
      <c r="W941" s="1" t="s">
        <v>50</v>
      </c>
      <c r="X941" s="1" t="s">
        <v>464</v>
      </c>
      <c r="Y941" s="1" t="s">
        <v>347</v>
      </c>
      <c r="Z941" s="1" t="s">
        <v>348</v>
      </c>
      <c r="AA941" s="1" t="s">
        <v>465</v>
      </c>
      <c r="AB941" s="1" t="s">
        <v>466</v>
      </c>
      <c r="AC941" s="1">
        <v>0</v>
      </c>
      <c r="AD941" s="1" t="s">
        <v>56</v>
      </c>
      <c r="AE941" s="1" t="s">
        <v>83</v>
      </c>
      <c r="AF941" s="1" t="s">
        <v>213</v>
      </c>
      <c r="AG941" s="1" t="s">
        <v>1045</v>
      </c>
      <c r="AH941" s="1" t="s">
        <v>115</v>
      </c>
      <c r="AI941" s="1" t="s">
        <v>71</v>
      </c>
      <c r="AK941" s="1" t="s">
        <v>61</v>
      </c>
      <c r="AL941" s="1" t="s">
        <v>72</v>
      </c>
      <c r="AM941" s="1">
        <v>1</v>
      </c>
      <c r="AN941" s="1">
        <v>0</v>
      </c>
      <c r="AO941" s="1">
        <f t="shared" si="92"/>
        <v>1</v>
      </c>
    </row>
    <row r="942" spans="1:41" x14ac:dyDescent="0.4">
      <c r="A942" s="1">
        <v>1</v>
      </c>
      <c r="B942" s="1" t="s">
        <v>1033</v>
      </c>
      <c r="C942" s="1" t="s">
        <v>41</v>
      </c>
      <c r="D942" s="2">
        <v>38769</v>
      </c>
      <c r="E942" s="1">
        <v>52</v>
      </c>
      <c r="F942" s="1">
        <v>1</v>
      </c>
      <c r="G942" s="3">
        <v>0.40745370370370365</v>
      </c>
      <c r="H942" s="3">
        <v>0.41243055555555558</v>
      </c>
      <c r="I942" s="3">
        <v>4.9768518518519267E-3</v>
      </c>
      <c r="J942" s="3">
        <v>4.5601851851853059E-3</v>
      </c>
      <c r="K942" s="5">
        <f t="shared" si="91"/>
        <v>394</v>
      </c>
      <c r="L942" s="3">
        <v>9.7025462962962938E-2</v>
      </c>
      <c r="N942" s="1" t="s">
        <v>42</v>
      </c>
      <c r="O942" s="1" t="s">
        <v>43</v>
      </c>
      <c r="P942" s="1" t="s">
        <v>172</v>
      </c>
      <c r="Q942" s="1" t="s">
        <v>45</v>
      </c>
      <c r="R942" s="1" t="s">
        <v>45</v>
      </c>
      <c r="S942" s="1" t="s">
        <v>46</v>
      </c>
      <c r="T942" s="1" t="s">
        <v>45</v>
      </c>
      <c r="U942" s="1" t="s">
        <v>48</v>
      </c>
      <c r="V942" s="1" t="s">
        <v>49</v>
      </c>
      <c r="W942" s="1" t="s">
        <v>50</v>
      </c>
      <c r="X942" s="1" t="s">
        <v>464</v>
      </c>
      <c r="Y942" s="1" t="s">
        <v>347</v>
      </c>
      <c r="Z942" s="1" t="s">
        <v>348</v>
      </c>
      <c r="AA942" s="1" t="s">
        <v>465</v>
      </c>
      <c r="AB942" s="1" t="s">
        <v>466</v>
      </c>
      <c r="AC942" s="1">
        <v>0</v>
      </c>
      <c r="AD942" s="1" t="s">
        <v>56</v>
      </c>
      <c r="AE942" s="1" t="s">
        <v>83</v>
      </c>
      <c r="AF942" s="1" t="s">
        <v>84</v>
      </c>
      <c r="AG942" s="1" t="s">
        <v>1043</v>
      </c>
      <c r="AH942" s="1" t="s">
        <v>115</v>
      </c>
      <c r="AI942" s="1" t="s">
        <v>60</v>
      </c>
      <c r="AJ942" s="1" t="s">
        <v>147</v>
      </c>
      <c r="AK942" s="1" t="s">
        <v>61</v>
      </c>
      <c r="AL942" s="1" t="s">
        <v>133</v>
      </c>
      <c r="AM942" s="1">
        <v>5</v>
      </c>
      <c r="AN942" s="1">
        <v>0</v>
      </c>
      <c r="AO942" s="1">
        <f t="shared" si="92"/>
        <v>5</v>
      </c>
    </row>
    <row r="943" spans="1:41" x14ac:dyDescent="0.4">
      <c r="A943" s="1">
        <v>1</v>
      </c>
      <c r="B943" s="1" t="s">
        <v>1033</v>
      </c>
      <c r="C943" s="1" t="s">
        <v>41</v>
      </c>
      <c r="D943" s="2">
        <v>38769</v>
      </c>
      <c r="E943" s="1">
        <v>52</v>
      </c>
      <c r="F943" s="1">
        <v>1.2</v>
      </c>
      <c r="G943" s="3">
        <v>0.50945601851851852</v>
      </c>
      <c r="H943" s="3">
        <v>0.50966435185185188</v>
      </c>
      <c r="I943" s="3">
        <v>2.083333333333659E-4</v>
      </c>
      <c r="J943" s="3">
        <v>2.083333333333659E-4</v>
      </c>
      <c r="K943" s="5">
        <f t="shared" si="91"/>
        <v>18</v>
      </c>
      <c r="L943" s="3">
        <v>3.615740740740736E-2</v>
      </c>
      <c r="N943" s="1" t="s">
        <v>42</v>
      </c>
      <c r="O943" s="1" t="s">
        <v>43</v>
      </c>
      <c r="P943" s="1" t="s">
        <v>172</v>
      </c>
      <c r="Q943" s="1" t="s">
        <v>191</v>
      </c>
      <c r="R943" s="1" t="s">
        <v>76</v>
      </c>
      <c r="S943" s="1" t="s">
        <v>46</v>
      </c>
      <c r="T943" s="1" t="s">
        <v>76</v>
      </c>
      <c r="U943" s="1" t="s">
        <v>156</v>
      </c>
      <c r="AB943" s="1" t="s">
        <v>93</v>
      </c>
      <c r="AC943" s="1">
        <v>1</v>
      </c>
      <c r="AG943" s="1" t="s">
        <v>1046</v>
      </c>
      <c r="AI943" s="1" t="s">
        <v>75</v>
      </c>
      <c r="AK943" s="1" t="s">
        <v>86</v>
      </c>
      <c r="AL943" s="1" t="s">
        <v>87</v>
      </c>
      <c r="AM943" s="1">
        <v>3</v>
      </c>
      <c r="AN943" s="1">
        <v>0</v>
      </c>
      <c r="AO943" s="1">
        <f t="shared" si="92"/>
        <v>3</v>
      </c>
    </row>
    <row r="944" spans="1:41" x14ac:dyDescent="0.4">
      <c r="A944" s="1">
        <v>1</v>
      </c>
      <c r="B944" s="1" t="s">
        <v>1033</v>
      </c>
      <c r="C944" s="1" t="s">
        <v>41</v>
      </c>
      <c r="D944" s="2">
        <v>38769</v>
      </c>
      <c r="E944" s="1">
        <v>52</v>
      </c>
      <c r="F944" s="1">
        <v>1.5</v>
      </c>
      <c r="G944" s="3">
        <v>0.54582175925925924</v>
      </c>
      <c r="H944" s="3">
        <v>0.54608796296296302</v>
      </c>
      <c r="I944" s="3">
        <v>2.6620370370378232E-4</v>
      </c>
      <c r="J944" s="3">
        <v>2.6620370370378232E-4</v>
      </c>
      <c r="K944" s="5">
        <f t="shared" si="91"/>
        <v>23</v>
      </c>
      <c r="L944" s="3">
        <v>8.6979166666666607E-2</v>
      </c>
      <c r="N944" s="1" t="s">
        <v>75</v>
      </c>
      <c r="O944" s="1" t="s">
        <v>43</v>
      </c>
      <c r="P944" s="1" t="s">
        <v>172</v>
      </c>
      <c r="Q944" s="1" t="s">
        <v>76</v>
      </c>
      <c r="R944" s="1" t="s">
        <v>76</v>
      </c>
      <c r="S944" s="1" t="s">
        <v>46</v>
      </c>
      <c r="T944" s="1" t="s">
        <v>45</v>
      </c>
      <c r="U944" s="1" t="s">
        <v>48</v>
      </c>
      <c r="V944" s="1" t="s">
        <v>67</v>
      </c>
      <c r="W944" s="1" t="s">
        <v>68</v>
      </c>
      <c r="Y944" s="1" t="s">
        <v>68</v>
      </c>
      <c r="AB944" s="1" t="s">
        <v>69</v>
      </c>
      <c r="AC944" s="1">
        <v>0</v>
      </c>
      <c r="AD944" s="1" t="s">
        <v>68</v>
      </c>
      <c r="AE944" s="1" t="s">
        <v>70</v>
      </c>
      <c r="AI944" s="1" t="s">
        <v>75</v>
      </c>
      <c r="AK944" s="1" t="s">
        <v>61</v>
      </c>
      <c r="AL944" s="1" t="s">
        <v>133</v>
      </c>
      <c r="AN944" s="1">
        <v>1</v>
      </c>
      <c r="AO944" s="1">
        <f t="shared" si="92"/>
        <v>1</v>
      </c>
    </row>
    <row r="945" spans="1:41" x14ac:dyDescent="0.4">
      <c r="A945" s="1">
        <v>1</v>
      </c>
      <c r="B945" s="1" t="s">
        <v>1033</v>
      </c>
      <c r="C945" s="1" t="s">
        <v>41</v>
      </c>
      <c r="D945" s="2">
        <v>38769</v>
      </c>
      <c r="E945" s="1">
        <v>52</v>
      </c>
      <c r="F945" s="1">
        <v>2</v>
      </c>
      <c r="G945" s="3">
        <v>0.63306712962962963</v>
      </c>
      <c r="H945" s="3">
        <v>0.64724537037037033</v>
      </c>
      <c r="I945" s="3">
        <v>1.41782407407407E-2</v>
      </c>
      <c r="J945" s="3">
        <v>9.3634259259257613E-3</v>
      </c>
      <c r="K945" s="5">
        <f t="shared" si="91"/>
        <v>809</v>
      </c>
      <c r="L945" s="3">
        <v>1.1458333333334014E-3</v>
      </c>
      <c r="N945" s="1" t="s">
        <v>42</v>
      </c>
      <c r="O945" s="1" t="s">
        <v>43</v>
      </c>
      <c r="P945" s="1" t="s">
        <v>172</v>
      </c>
      <c r="Q945" s="1" t="s">
        <v>76</v>
      </c>
      <c r="R945" s="1" t="s">
        <v>132</v>
      </c>
      <c r="S945" s="1" t="s">
        <v>46</v>
      </c>
      <c r="T945" s="1" t="s">
        <v>45</v>
      </c>
      <c r="U945" s="1" t="s">
        <v>66</v>
      </c>
      <c r="V945" s="1" t="s">
        <v>49</v>
      </c>
      <c r="W945" s="1" t="s">
        <v>50</v>
      </c>
      <c r="X945" s="1" t="s">
        <v>464</v>
      </c>
      <c r="Y945" s="1" t="s">
        <v>347</v>
      </c>
      <c r="Z945" s="1" t="s">
        <v>348</v>
      </c>
      <c r="AA945" s="1" t="s">
        <v>465</v>
      </c>
      <c r="AB945" s="1" t="s">
        <v>466</v>
      </c>
      <c r="AC945" s="1">
        <v>0</v>
      </c>
      <c r="AD945" s="1" t="s">
        <v>56</v>
      </c>
      <c r="AE945" s="1" t="s">
        <v>83</v>
      </c>
      <c r="AF945" s="1" t="s">
        <v>113</v>
      </c>
      <c r="AG945" s="1" t="s">
        <v>1043</v>
      </c>
      <c r="AH945" s="1" t="s">
        <v>115</v>
      </c>
      <c r="AI945" s="1" t="s">
        <v>71</v>
      </c>
      <c r="AJ945" s="1" t="s">
        <v>147</v>
      </c>
      <c r="AK945" s="1" t="s">
        <v>86</v>
      </c>
      <c r="AL945" s="1" t="s">
        <v>86</v>
      </c>
      <c r="AM945" s="1">
        <v>5</v>
      </c>
      <c r="AN945" s="1">
        <v>0</v>
      </c>
      <c r="AO945" s="1">
        <f t="shared" si="92"/>
        <v>5</v>
      </c>
    </row>
    <row r="946" spans="1:41" x14ac:dyDescent="0.4">
      <c r="A946" s="1">
        <v>1</v>
      </c>
      <c r="B946" s="1" t="s">
        <v>1033</v>
      </c>
      <c r="C946" s="1" t="s">
        <v>41</v>
      </c>
      <c r="D946" s="2">
        <v>38769</v>
      </c>
      <c r="E946" s="1">
        <v>52</v>
      </c>
      <c r="F946" s="1">
        <v>4</v>
      </c>
      <c r="G946" s="3">
        <v>0.64839120370370373</v>
      </c>
      <c r="H946" s="3">
        <v>0.65236111111111106</v>
      </c>
      <c r="I946" s="3">
        <v>3.9699074074073248E-3</v>
      </c>
      <c r="J946" s="3">
        <v>3.9699074074073248E-3</v>
      </c>
      <c r="K946" s="5">
        <f t="shared" si="91"/>
        <v>343</v>
      </c>
      <c r="L946" s="3">
        <v>4.35185185185194E-3</v>
      </c>
      <c r="N946" s="1" t="s">
        <v>42</v>
      </c>
      <c r="O946" s="1" t="s">
        <v>43</v>
      </c>
      <c r="P946" s="1" t="s">
        <v>172</v>
      </c>
      <c r="Q946" s="1" t="s">
        <v>76</v>
      </c>
      <c r="R946" s="1" t="s">
        <v>76</v>
      </c>
      <c r="S946" s="1" t="s">
        <v>46</v>
      </c>
      <c r="T946" s="1" t="s">
        <v>47</v>
      </c>
      <c r="V946" s="1" t="s">
        <v>49</v>
      </c>
      <c r="W946" s="1" t="s">
        <v>77</v>
      </c>
      <c r="X946" s="1" t="s">
        <v>468</v>
      </c>
      <c r="Y946" s="1" t="s">
        <v>126</v>
      </c>
      <c r="Z946" s="1" t="s">
        <v>469</v>
      </c>
      <c r="AA946" s="1" t="s">
        <v>470</v>
      </c>
      <c r="AB946" s="1" t="s">
        <v>471</v>
      </c>
      <c r="AC946" s="1">
        <v>0</v>
      </c>
      <c r="AD946" s="1" t="s">
        <v>56</v>
      </c>
      <c r="AE946" s="1" t="s">
        <v>83</v>
      </c>
      <c r="AF946" s="1" t="s">
        <v>163</v>
      </c>
      <c r="AG946" s="1" t="s">
        <v>1047</v>
      </c>
      <c r="AH946" s="1" t="s">
        <v>59</v>
      </c>
      <c r="AK946" s="1" t="s">
        <v>61</v>
      </c>
      <c r="AL946" s="1" t="s">
        <v>72</v>
      </c>
      <c r="AM946" s="1">
        <v>2</v>
      </c>
      <c r="AN946" s="1">
        <v>0</v>
      </c>
      <c r="AO946" s="1">
        <f t="shared" si="92"/>
        <v>2</v>
      </c>
    </row>
    <row r="947" spans="1:41" x14ac:dyDescent="0.4">
      <c r="A947" s="1">
        <v>1</v>
      </c>
      <c r="B947" s="1" t="s">
        <v>1033</v>
      </c>
      <c r="C947" s="1" t="s">
        <v>41</v>
      </c>
      <c r="D947" s="2">
        <v>38769</v>
      </c>
      <c r="E947" s="1">
        <v>52</v>
      </c>
      <c r="F947" s="1">
        <v>4.5</v>
      </c>
      <c r="G947" s="3">
        <v>0.656712962962963</v>
      </c>
      <c r="H947" s="3">
        <v>0.65759259259259262</v>
      </c>
      <c r="I947" s="3">
        <v>8.796296296296191E-4</v>
      </c>
      <c r="J947" s="3">
        <v>8.796296296296191E-4</v>
      </c>
      <c r="K947" s="5">
        <f t="shared" si="91"/>
        <v>76</v>
      </c>
      <c r="L947" s="3">
        <v>7.8356481481480778E-3</v>
      </c>
      <c r="N947" s="1" t="s">
        <v>42</v>
      </c>
      <c r="O947" s="1" t="s">
        <v>43</v>
      </c>
      <c r="P947" s="1" t="s">
        <v>172</v>
      </c>
      <c r="Q947" s="1" t="s">
        <v>76</v>
      </c>
      <c r="R947" s="1" t="s">
        <v>76</v>
      </c>
      <c r="S947" s="1" t="s">
        <v>46</v>
      </c>
      <c r="T947" s="1" t="s">
        <v>76</v>
      </c>
      <c r="U947" s="1" t="s">
        <v>66</v>
      </c>
      <c r="V947" s="1" t="s">
        <v>67</v>
      </c>
      <c r="W947" s="1" t="s">
        <v>68</v>
      </c>
      <c r="Y947" s="1" t="s">
        <v>68</v>
      </c>
      <c r="AB947" s="1" t="s">
        <v>69</v>
      </c>
      <c r="AC947" s="1">
        <v>0</v>
      </c>
      <c r="AD947" s="1" t="s">
        <v>68</v>
      </c>
      <c r="AE947" s="1" t="s">
        <v>70</v>
      </c>
      <c r="AI947" s="1" t="s">
        <v>71</v>
      </c>
      <c r="AK947" s="1" t="s">
        <v>61</v>
      </c>
      <c r="AL947" s="1" t="s">
        <v>72</v>
      </c>
      <c r="AN947" s="1">
        <v>1</v>
      </c>
      <c r="AO947" s="1">
        <f t="shared" si="92"/>
        <v>1</v>
      </c>
    </row>
    <row r="948" spans="1:41" x14ac:dyDescent="0.4">
      <c r="A948" s="1">
        <v>1</v>
      </c>
      <c r="B948" s="1" t="s">
        <v>1033</v>
      </c>
      <c r="C948" s="1" t="s">
        <v>41</v>
      </c>
      <c r="D948" s="2">
        <v>38769</v>
      </c>
      <c r="E948" s="1">
        <v>52</v>
      </c>
      <c r="F948" s="1">
        <v>5</v>
      </c>
      <c r="G948" s="3">
        <v>0.6654282407407407</v>
      </c>
      <c r="H948" s="3">
        <v>0.66964120370370372</v>
      </c>
      <c r="I948" s="3">
        <v>4.2129629629630294E-3</v>
      </c>
      <c r="J948" s="3">
        <v>3.8078703703705585E-3</v>
      </c>
      <c r="K948" s="5">
        <f t="shared" si="91"/>
        <v>329</v>
      </c>
      <c r="L948" s="3">
        <v>7.523148148148584E-4</v>
      </c>
      <c r="N948" s="1" t="s">
        <v>42</v>
      </c>
      <c r="O948" s="1" t="s">
        <v>43</v>
      </c>
      <c r="P948" s="1" t="s">
        <v>172</v>
      </c>
      <c r="Q948" s="1" t="s">
        <v>45</v>
      </c>
      <c r="R948" s="1" t="s">
        <v>45</v>
      </c>
      <c r="S948" s="1" t="s">
        <v>46</v>
      </c>
      <c r="T948" s="1" t="s">
        <v>45</v>
      </c>
      <c r="U948" s="1" t="s">
        <v>66</v>
      </c>
      <c r="V948" s="1" t="s">
        <v>49</v>
      </c>
      <c r="W948" s="1" t="s">
        <v>200</v>
      </c>
      <c r="X948" s="1" t="s">
        <v>201</v>
      </c>
      <c r="Y948" s="1" t="s">
        <v>126</v>
      </c>
      <c r="Z948" s="1" t="s">
        <v>202</v>
      </c>
      <c r="AA948" s="1" t="s">
        <v>203</v>
      </c>
      <c r="AB948" s="1" t="s">
        <v>204</v>
      </c>
      <c r="AC948" s="1">
        <v>0</v>
      </c>
      <c r="AD948" s="1" t="s">
        <v>56</v>
      </c>
      <c r="AE948" s="1" t="s">
        <v>83</v>
      </c>
      <c r="AF948" s="1" t="s">
        <v>113</v>
      </c>
      <c r="AG948" s="1" t="s">
        <v>1048</v>
      </c>
      <c r="AH948" s="1" t="s">
        <v>206</v>
      </c>
      <c r="AI948" s="1" t="s">
        <v>71</v>
      </c>
      <c r="AJ948" s="1" t="s">
        <v>147</v>
      </c>
      <c r="AK948" s="1" t="s">
        <v>61</v>
      </c>
      <c r="AL948" s="1" t="s">
        <v>72</v>
      </c>
      <c r="AM948" s="1">
        <v>1</v>
      </c>
      <c r="AN948" s="1">
        <v>0</v>
      </c>
      <c r="AO948" s="1">
        <f t="shared" si="92"/>
        <v>1</v>
      </c>
    </row>
    <row r="949" spans="1:41" x14ac:dyDescent="0.4">
      <c r="A949" s="1">
        <v>1</v>
      </c>
      <c r="B949" s="1" t="s">
        <v>1033</v>
      </c>
      <c r="C949" s="1" t="s">
        <v>41</v>
      </c>
      <c r="D949" s="2">
        <v>38769</v>
      </c>
      <c r="E949" s="1">
        <v>52</v>
      </c>
      <c r="F949" s="1">
        <v>6</v>
      </c>
      <c r="G949" s="3">
        <v>0.67039351851851858</v>
      </c>
      <c r="H949" s="3">
        <v>0.67149305555555561</v>
      </c>
      <c r="I949" s="3">
        <v>1.0995370370370239E-3</v>
      </c>
      <c r="J949" s="3">
        <v>1.0995370370370239E-3</v>
      </c>
      <c r="K949" s="5">
        <f t="shared" si="91"/>
        <v>95</v>
      </c>
      <c r="L949" s="3">
        <v>4.1319444444444242E-3</v>
      </c>
      <c r="N949" s="1" t="s">
        <v>42</v>
      </c>
      <c r="O949" s="1" t="s">
        <v>43</v>
      </c>
      <c r="P949" s="1" t="s">
        <v>172</v>
      </c>
      <c r="Q949" s="1" t="s">
        <v>76</v>
      </c>
      <c r="R949" s="1" t="s">
        <v>45</v>
      </c>
      <c r="S949" s="1" t="s">
        <v>46</v>
      </c>
      <c r="T949" s="1" t="s">
        <v>47</v>
      </c>
      <c r="U949" s="1" t="s">
        <v>66</v>
      </c>
      <c r="V949" s="1" t="s">
        <v>49</v>
      </c>
      <c r="W949" s="1" t="s">
        <v>50</v>
      </c>
      <c r="X949" s="1" t="s">
        <v>951</v>
      </c>
      <c r="Y949" s="1" t="s">
        <v>159</v>
      </c>
      <c r="Z949" s="1" t="s">
        <v>160</v>
      </c>
      <c r="AA949" s="1" t="s">
        <v>952</v>
      </c>
      <c r="AB949" s="1" t="s">
        <v>953</v>
      </c>
      <c r="AC949" s="1">
        <v>0</v>
      </c>
      <c r="AD949" s="1" t="s">
        <v>56</v>
      </c>
      <c r="AE949" s="1" t="s">
        <v>83</v>
      </c>
      <c r="AF949" s="1" t="s">
        <v>163</v>
      </c>
      <c r="AG949" s="1" t="s">
        <v>1049</v>
      </c>
      <c r="AH949" s="1" t="s">
        <v>165</v>
      </c>
      <c r="AI949" s="1" t="s">
        <v>71</v>
      </c>
      <c r="AK949" s="1" t="s">
        <v>61</v>
      </c>
      <c r="AL949" s="1" t="s">
        <v>72</v>
      </c>
      <c r="AM949" s="1">
        <v>5</v>
      </c>
      <c r="AN949" s="1">
        <v>0</v>
      </c>
      <c r="AO949" s="1">
        <f t="shared" si="92"/>
        <v>5</v>
      </c>
    </row>
    <row r="950" spans="1:41" x14ac:dyDescent="0.4">
      <c r="A950" s="1">
        <v>1</v>
      </c>
      <c r="B950" s="1" t="s">
        <v>1033</v>
      </c>
      <c r="C950" s="1" t="s">
        <v>41</v>
      </c>
      <c r="D950" s="2">
        <v>38769</v>
      </c>
      <c r="E950" s="1">
        <v>52</v>
      </c>
      <c r="F950" s="1">
        <v>7</v>
      </c>
      <c r="G950" s="3">
        <v>0.67562500000000003</v>
      </c>
      <c r="H950" s="3">
        <v>0.68069444444444438</v>
      </c>
      <c r="I950" s="3">
        <v>5.0694444444443487E-3</v>
      </c>
      <c r="J950" s="3">
        <v>5.0694444444443487E-3</v>
      </c>
      <c r="K950" s="5">
        <f t="shared" si="91"/>
        <v>438</v>
      </c>
      <c r="L950" s="3" t="s">
        <v>120</v>
      </c>
      <c r="N950" s="1" t="s">
        <v>42</v>
      </c>
      <c r="O950" s="1" t="s">
        <v>43</v>
      </c>
      <c r="P950" s="1" t="s">
        <v>172</v>
      </c>
      <c r="Q950" s="1" t="s">
        <v>76</v>
      </c>
      <c r="R950" s="1" t="s">
        <v>76</v>
      </c>
      <c r="S950" s="1" t="s">
        <v>46</v>
      </c>
      <c r="T950" s="1" t="s">
        <v>47</v>
      </c>
      <c r="V950" s="1" t="s">
        <v>49</v>
      </c>
      <c r="W950" s="1" t="s">
        <v>1050</v>
      </c>
      <c r="X950" s="1" t="s">
        <v>902</v>
      </c>
      <c r="Y950" s="1" t="s">
        <v>665</v>
      </c>
      <c r="Z950" s="1" t="s">
        <v>666</v>
      </c>
      <c r="AA950" s="1" t="s">
        <v>903</v>
      </c>
      <c r="AB950" s="1" t="s">
        <v>904</v>
      </c>
      <c r="AC950" s="1">
        <v>0</v>
      </c>
      <c r="AD950" s="1" t="s">
        <v>56</v>
      </c>
      <c r="AE950" s="1" t="s">
        <v>181</v>
      </c>
      <c r="AF950" s="1" t="s">
        <v>113</v>
      </c>
      <c r="AG950" s="1" t="s">
        <v>1051</v>
      </c>
      <c r="AH950" s="1" t="s">
        <v>59</v>
      </c>
      <c r="AJ950" s="1" t="s">
        <v>147</v>
      </c>
      <c r="AK950" s="1" t="s">
        <v>86</v>
      </c>
      <c r="AL950" s="1" t="s">
        <v>133</v>
      </c>
      <c r="AM950" s="1">
        <v>3</v>
      </c>
      <c r="AN950" s="1">
        <v>0</v>
      </c>
      <c r="AO950" s="1">
        <f t="shared" si="92"/>
        <v>3</v>
      </c>
    </row>
    <row r="951" spans="1:41" x14ac:dyDescent="0.4">
      <c r="A951" s="1">
        <v>1</v>
      </c>
      <c r="B951" s="1" t="s">
        <v>1033</v>
      </c>
      <c r="C951" s="1" t="s">
        <v>41</v>
      </c>
      <c r="D951" s="2">
        <v>38771</v>
      </c>
      <c r="E951" s="1">
        <v>54</v>
      </c>
      <c r="F951" s="1">
        <v>1</v>
      </c>
      <c r="G951" s="3">
        <v>0.29746527777777776</v>
      </c>
      <c r="H951" s="3">
        <v>0.30496527777777777</v>
      </c>
      <c r="I951" s="3">
        <v>7.5000000000000067E-3</v>
      </c>
      <c r="J951" s="3">
        <v>3.8425925925926196E-3</v>
      </c>
      <c r="K951" s="5">
        <f t="shared" si="91"/>
        <v>332</v>
      </c>
      <c r="L951" s="3">
        <v>1.7361111111113825E-4</v>
      </c>
      <c r="N951" s="1" t="s">
        <v>42</v>
      </c>
      <c r="O951" s="1" t="s">
        <v>43</v>
      </c>
      <c r="P951" s="1" t="s">
        <v>172</v>
      </c>
      <c r="Q951" s="1" t="s">
        <v>76</v>
      </c>
      <c r="R951" s="1" t="s">
        <v>76</v>
      </c>
      <c r="S951" s="1" t="s">
        <v>46</v>
      </c>
      <c r="T951" s="1" t="s">
        <v>45</v>
      </c>
      <c r="V951" s="1" t="s">
        <v>49</v>
      </c>
      <c r="W951" s="1" t="s">
        <v>50</v>
      </c>
      <c r="X951" s="1" t="s">
        <v>951</v>
      </c>
      <c r="Y951" s="1" t="s">
        <v>159</v>
      </c>
      <c r="Z951" s="1" t="s">
        <v>160</v>
      </c>
      <c r="AA951" s="1" t="s">
        <v>952</v>
      </c>
      <c r="AB951" s="1" t="s">
        <v>953</v>
      </c>
      <c r="AC951" s="1">
        <v>0</v>
      </c>
      <c r="AD951" s="1" t="s">
        <v>56</v>
      </c>
      <c r="AE951" s="1" t="s">
        <v>83</v>
      </c>
      <c r="AF951" s="1" t="s">
        <v>198</v>
      </c>
      <c r="AG951" s="1" t="s">
        <v>1052</v>
      </c>
      <c r="AH951" s="1" t="s">
        <v>165</v>
      </c>
      <c r="AJ951" s="1" t="s">
        <v>147</v>
      </c>
      <c r="AK951" s="1" t="s">
        <v>61</v>
      </c>
      <c r="AL951" s="1" t="s">
        <v>133</v>
      </c>
      <c r="AM951" s="1">
        <v>1</v>
      </c>
      <c r="AN951" s="1">
        <v>0</v>
      </c>
      <c r="AO951" s="1">
        <f t="shared" si="92"/>
        <v>1</v>
      </c>
    </row>
    <row r="952" spans="1:41" x14ac:dyDescent="0.4">
      <c r="A952" s="1">
        <v>1</v>
      </c>
      <c r="B952" s="1" t="s">
        <v>1033</v>
      </c>
      <c r="C952" s="1" t="s">
        <v>41</v>
      </c>
      <c r="D952" s="2">
        <v>38771</v>
      </c>
      <c r="E952" s="1">
        <v>54</v>
      </c>
      <c r="F952" s="1">
        <v>2</v>
      </c>
      <c r="G952" s="3">
        <v>0.3051388888888889</v>
      </c>
      <c r="H952" s="3">
        <v>0.30888888888888888</v>
      </c>
      <c r="I952" s="3">
        <v>3.7499999999999756E-3</v>
      </c>
      <c r="J952" s="3">
        <v>3.7499999999999756E-3</v>
      </c>
      <c r="K952" s="5">
        <f t="shared" si="91"/>
        <v>324</v>
      </c>
      <c r="L952" s="3">
        <v>1.0300925925926241E-3</v>
      </c>
      <c r="N952" s="1" t="s">
        <v>42</v>
      </c>
      <c r="O952" s="1" t="s">
        <v>43</v>
      </c>
      <c r="P952" s="1" t="s">
        <v>172</v>
      </c>
      <c r="Q952" s="1" t="s">
        <v>76</v>
      </c>
      <c r="S952" s="1" t="s">
        <v>46</v>
      </c>
      <c r="T952" s="1" t="s">
        <v>47</v>
      </c>
      <c r="U952" s="1" t="s">
        <v>66</v>
      </c>
      <c r="V952" s="1" t="s">
        <v>49</v>
      </c>
      <c r="W952" s="1" t="s">
        <v>200</v>
      </c>
      <c r="X952" s="1" t="s">
        <v>201</v>
      </c>
      <c r="Y952" s="1" t="s">
        <v>126</v>
      </c>
      <c r="Z952" s="1" t="s">
        <v>202</v>
      </c>
      <c r="AA952" s="1" t="s">
        <v>203</v>
      </c>
      <c r="AB952" s="1" t="s">
        <v>204</v>
      </c>
      <c r="AC952" s="1">
        <v>0</v>
      </c>
      <c r="AD952" s="1" t="s">
        <v>56</v>
      </c>
      <c r="AE952" s="1" t="s">
        <v>83</v>
      </c>
      <c r="AF952" s="1" t="s">
        <v>113</v>
      </c>
      <c r="AG952" s="1" t="s">
        <v>1053</v>
      </c>
      <c r="AH952" s="1" t="s">
        <v>206</v>
      </c>
      <c r="AI952" s="1" t="s">
        <v>71</v>
      </c>
      <c r="AK952" s="1" t="s">
        <v>116</v>
      </c>
      <c r="AL952" s="1" t="s">
        <v>174</v>
      </c>
      <c r="AM952" s="1">
        <v>1</v>
      </c>
      <c r="AN952" s="1">
        <v>0</v>
      </c>
      <c r="AO952" s="1">
        <f t="shared" si="92"/>
        <v>1</v>
      </c>
    </row>
    <row r="953" spans="1:41" x14ac:dyDescent="0.4">
      <c r="A953" s="1">
        <v>1</v>
      </c>
      <c r="B953" s="1" t="s">
        <v>1033</v>
      </c>
      <c r="C953" s="1" t="s">
        <v>41</v>
      </c>
      <c r="D953" s="2">
        <v>38771</v>
      </c>
      <c r="E953" s="1">
        <v>54</v>
      </c>
      <c r="F953" s="1">
        <v>2.5</v>
      </c>
      <c r="G953" s="3">
        <v>0.3099189814814815</v>
      </c>
      <c r="H953" s="3">
        <v>0.31016203703703704</v>
      </c>
      <c r="I953" s="3">
        <v>2.4305555555553804E-4</v>
      </c>
      <c r="J953" s="3">
        <v>2.4305555555553804E-4</v>
      </c>
      <c r="K953" s="5">
        <f t="shared" si="91"/>
        <v>21</v>
      </c>
      <c r="L953" s="3">
        <v>4.6377314814814774E-2</v>
      </c>
      <c r="N953" s="1" t="s">
        <v>42</v>
      </c>
      <c r="O953" s="1" t="s">
        <v>43</v>
      </c>
      <c r="P953" s="1" t="s">
        <v>172</v>
      </c>
      <c r="Q953" s="1" t="s">
        <v>76</v>
      </c>
      <c r="R953" s="1" t="s">
        <v>76</v>
      </c>
      <c r="S953" s="1" t="s">
        <v>46</v>
      </c>
      <c r="T953" s="1" t="s">
        <v>45</v>
      </c>
      <c r="U953" s="1" t="s">
        <v>66</v>
      </c>
      <c r="V953" s="1" t="s">
        <v>67</v>
      </c>
      <c r="W953" s="1" t="s">
        <v>68</v>
      </c>
      <c r="Y953" s="1" t="s">
        <v>68</v>
      </c>
      <c r="AB953" s="1" t="s">
        <v>69</v>
      </c>
      <c r="AC953" s="1">
        <v>0</v>
      </c>
      <c r="AD953" s="1" t="s">
        <v>68</v>
      </c>
      <c r="AE953" s="1" t="s">
        <v>70</v>
      </c>
      <c r="AI953" s="1" t="s">
        <v>71</v>
      </c>
      <c r="AK953" s="1" t="s">
        <v>86</v>
      </c>
      <c r="AL953" s="1" t="s">
        <v>133</v>
      </c>
      <c r="AN953" s="1">
        <v>1</v>
      </c>
      <c r="AO953" s="1">
        <f t="shared" si="92"/>
        <v>1</v>
      </c>
    </row>
    <row r="954" spans="1:41" x14ac:dyDescent="0.4">
      <c r="A954" s="1">
        <v>1</v>
      </c>
      <c r="B954" s="1" t="s">
        <v>1033</v>
      </c>
      <c r="C954" s="1" t="s">
        <v>41</v>
      </c>
      <c r="D954" s="2">
        <v>38771</v>
      </c>
      <c r="E954" s="1">
        <v>54</v>
      </c>
      <c r="F954" s="1">
        <v>3</v>
      </c>
      <c r="G954" s="3">
        <v>0.35653935185185182</v>
      </c>
      <c r="H954" s="3">
        <v>0.3599074074074074</v>
      </c>
      <c r="I954" s="3">
        <v>3.3680555555555824E-3</v>
      </c>
      <c r="J954" s="3">
        <v>3.3680555555555824E-3</v>
      </c>
      <c r="K954" s="5">
        <f t="shared" si="91"/>
        <v>291</v>
      </c>
      <c r="L954" s="3">
        <v>3.3842592592592591E-2</v>
      </c>
      <c r="N954" s="1" t="s">
        <v>42</v>
      </c>
      <c r="O954" s="1" t="s">
        <v>43</v>
      </c>
      <c r="P954" s="1" t="s">
        <v>172</v>
      </c>
      <c r="Q954" s="1" t="s">
        <v>76</v>
      </c>
      <c r="R954" s="1" t="s">
        <v>76</v>
      </c>
      <c r="S954" s="1" t="s">
        <v>46</v>
      </c>
      <c r="T954" s="1" t="s">
        <v>45</v>
      </c>
      <c r="U954" s="1" t="s">
        <v>66</v>
      </c>
      <c r="V954" s="1" t="s">
        <v>49</v>
      </c>
      <c r="W954" s="1" t="s">
        <v>50</v>
      </c>
      <c r="X954" s="1" t="s">
        <v>464</v>
      </c>
      <c r="Y954" s="1" t="s">
        <v>347</v>
      </c>
      <c r="Z954" s="1" t="s">
        <v>348</v>
      </c>
      <c r="AA954" s="1" t="s">
        <v>465</v>
      </c>
      <c r="AB954" s="1" t="s">
        <v>466</v>
      </c>
      <c r="AC954" s="1">
        <v>0</v>
      </c>
      <c r="AD954" s="1" t="s">
        <v>56</v>
      </c>
      <c r="AE954" s="1" t="s">
        <v>83</v>
      </c>
      <c r="AF954" s="1" t="s">
        <v>163</v>
      </c>
      <c r="AG954" s="1" t="s">
        <v>1054</v>
      </c>
      <c r="AH954" s="1" t="s">
        <v>115</v>
      </c>
      <c r="AI954" s="1" t="s">
        <v>71</v>
      </c>
      <c r="AK954" s="1" t="s">
        <v>116</v>
      </c>
      <c r="AL954" s="1" t="s">
        <v>117</v>
      </c>
      <c r="AM954" s="1">
        <v>5</v>
      </c>
      <c r="AN954" s="1">
        <v>0</v>
      </c>
      <c r="AO954" s="1">
        <f t="shared" si="92"/>
        <v>5</v>
      </c>
    </row>
    <row r="955" spans="1:41" x14ac:dyDescent="0.4">
      <c r="A955" s="1">
        <v>1</v>
      </c>
      <c r="B955" s="1" t="s">
        <v>1033</v>
      </c>
      <c r="C955" s="1" t="s">
        <v>41</v>
      </c>
      <c r="D955" s="2">
        <v>38771</v>
      </c>
      <c r="E955" s="1">
        <v>54</v>
      </c>
      <c r="F955" s="1">
        <v>3.5</v>
      </c>
      <c r="G955" s="3">
        <v>0.39374999999999999</v>
      </c>
      <c r="H955" s="3">
        <v>0.39993055555555551</v>
      </c>
      <c r="I955" s="3">
        <v>6.1805555555555225E-3</v>
      </c>
      <c r="J955" s="3">
        <v>9.0277777777775237E-4</v>
      </c>
      <c r="K955" s="5">
        <f t="shared" si="91"/>
        <v>78</v>
      </c>
      <c r="L955" s="3">
        <v>0.1100694444444445</v>
      </c>
      <c r="N955" s="1" t="s">
        <v>42</v>
      </c>
      <c r="O955" s="1" t="s">
        <v>43</v>
      </c>
      <c r="P955" s="1" t="s">
        <v>172</v>
      </c>
      <c r="Q955" s="1" t="s">
        <v>76</v>
      </c>
      <c r="R955" s="1" t="s">
        <v>45</v>
      </c>
      <c r="S955" s="1" t="s">
        <v>46</v>
      </c>
      <c r="T955" s="1" t="s">
        <v>45</v>
      </c>
      <c r="U955" s="1" t="s">
        <v>66</v>
      </c>
      <c r="V955" s="1" t="s">
        <v>67</v>
      </c>
      <c r="W955" s="1" t="s">
        <v>68</v>
      </c>
      <c r="Y955" s="1" t="s">
        <v>68</v>
      </c>
      <c r="AB955" s="1" t="s">
        <v>69</v>
      </c>
      <c r="AC955" s="1">
        <v>0</v>
      </c>
      <c r="AD955" s="1" t="s">
        <v>68</v>
      </c>
      <c r="AE955" s="1" t="s">
        <v>70</v>
      </c>
      <c r="AG955" s="1" t="s">
        <v>1055</v>
      </c>
      <c r="AI955" s="1" t="s">
        <v>71</v>
      </c>
      <c r="AK955" s="1" t="s">
        <v>86</v>
      </c>
      <c r="AL955" s="1" t="s">
        <v>87</v>
      </c>
      <c r="AM955" s="1">
        <v>5</v>
      </c>
      <c r="AN955" s="1">
        <v>0</v>
      </c>
      <c r="AO955" s="1">
        <f t="shared" si="92"/>
        <v>5</v>
      </c>
    </row>
    <row r="956" spans="1:41" x14ac:dyDescent="0.4">
      <c r="A956" s="1">
        <v>1</v>
      </c>
      <c r="B956" s="1" t="s">
        <v>1033</v>
      </c>
      <c r="C956" s="1" t="s">
        <v>41</v>
      </c>
      <c r="D956" s="2">
        <v>38771</v>
      </c>
      <c r="E956" s="1">
        <v>54</v>
      </c>
      <c r="F956" s="1">
        <v>3.7</v>
      </c>
      <c r="G956" s="3">
        <v>0.51</v>
      </c>
      <c r="H956" s="3">
        <v>0.5100231481481482</v>
      </c>
      <c r="I956" s="3">
        <v>2.3148148148188774E-5</v>
      </c>
      <c r="J956" s="3">
        <v>2.3148148148188774E-5</v>
      </c>
      <c r="K956" s="5">
        <f t="shared" si="91"/>
        <v>2</v>
      </c>
      <c r="L956" s="3">
        <v>1.7106481481481417E-2</v>
      </c>
      <c r="N956" s="1" t="s">
        <v>42</v>
      </c>
      <c r="O956" s="1" t="s">
        <v>43</v>
      </c>
      <c r="P956" s="1" t="s">
        <v>172</v>
      </c>
      <c r="Q956" s="1" t="s">
        <v>76</v>
      </c>
      <c r="R956" s="1" t="s">
        <v>76</v>
      </c>
      <c r="S956" s="1" t="s">
        <v>46</v>
      </c>
      <c r="T956" s="1" t="s">
        <v>47</v>
      </c>
      <c r="U956" s="1" t="s">
        <v>92</v>
      </c>
      <c r="AB956" s="1" t="s">
        <v>93</v>
      </c>
      <c r="AC956" s="1">
        <v>1</v>
      </c>
      <c r="AG956" s="1" t="s">
        <v>1056</v>
      </c>
      <c r="AI956" s="1" t="s">
        <v>75</v>
      </c>
      <c r="AK956" s="1" t="s">
        <v>86</v>
      </c>
      <c r="AL956" s="1" t="s">
        <v>133</v>
      </c>
      <c r="AM956" s="1">
        <v>1</v>
      </c>
      <c r="AN956" s="1">
        <v>0</v>
      </c>
      <c r="AO956" s="1">
        <f t="shared" si="92"/>
        <v>1</v>
      </c>
    </row>
    <row r="957" spans="1:41" x14ac:dyDescent="0.4">
      <c r="A957" s="1">
        <v>1</v>
      </c>
      <c r="B957" s="1" t="s">
        <v>1033</v>
      </c>
      <c r="C957" s="1" t="s">
        <v>41</v>
      </c>
      <c r="D957" s="2">
        <v>38771</v>
      </c>
      <c r="E957" s="1">
        <v>54</v>
      </c>
      <c r="F957" s="1">
        <v>4</v>
      </c>
      <c r="G957" s="3">
        <v>0.52712962962962961</v>
      </c>
      <c r="H957" s="3">
        <v>0.52722222222222226</v>
      </c>
      <c r="I957" s="3">
        <v>9.2592592592644074E-5</v>
      </c>
      <c r="J957" s="3">
        <v>9.2592592592644074E-5</v>
      </c>
      <c r="K957" s="5">
        <f t="shared" si="91"/>
        <v>8</v>
      </c>
      <c r="L957" s="3">
        <v>2.6481481481481439E-2</v>
      </c>
      <c r="N957" s="1" t="s">
        <v>42</v>
      </c>
      <c r="O957" s="1" t="s">
        <v>43</v>
      </c>
      <c r="P957" s="1" t="s">
        <v>172</v>
      </c>
      <c r="Q957" s="1" t="s">
        <v>76</v>
      </c>
      <c r="R957" s="1" t="s">
        <v>76</v>
      </c>
      <c r="S957" s="1" t="s">
        <v>46</v>
      </c>
      <c r="T957" s="1" t="s">
        <v>47</v>
      </c>
      <c r="V957" s="1" t="s">
        <v>102</v>
      </c>
      <c r="W957" s="1" t="s">
        <v>231</v>
      </c>
      <c r="X957" s="1" t="s">
        <v>96</v>
      </c>
      <c r="AB957" s="1" t="s">
        <v>104</v>
      </c>
      <c r="AC957" s="1">
        <v>0</v>
      </c>
      <c r="AD957" s="1" t="s">
        <v>105</v>
      </c>
      <c r="AE957" s="1" t="s">
        <v>70</v>
      </c>
      <c r="AF957" s="1" t="s">
        <v>84</v>
      </c>
      <c r="AG957" s="1" t="s">
        <v>1057</v>
      </c>
      <c r="AH957" s="1" t="s">
        <v>157</v>
      </c>
      <c r="AK957" s="1" t="s">
        <v>86</v>
      </c>
      <c r="AL957" s="1" t="s">
        <v>133</v>
      </c>
      <c r="AM957" s="1">
        <v>1</v>
      </c>
      <c r="AN957" s="1">
        <v>0</v>
      </c>
      <c r="AO957" s="1">
        <f t="shared" si="92"/>
        <v>1</v>
      </c>
    </row>
    <row r="958" spans="1:41" x14ac:dyDescent="0.4">
      <c r="A958" s="1">
        <v>1</v>
      </c>
      <c r="B958" s="1" t="s">
        <v>1033</v>
      </c>
      <c r="C958" s="1" t="s">
        <v>41</v>
      </c>
      <c r="D958" s="2">
        <v>38771</v>
      </c>
      <c r="E958" s="1">
        <v>54</v>
      </c>
      <c r="F958" s="1">
        <v>5</v>
      </c>
      <c r="G958" s="3">
        <v>0.5537037037037037</v>
      </c>
      <c r="H958" s="3">
        <v>0.55724537037037036</v>
      </c>
      <c r="I958" s="3">
        <v>3.5416666666666652E-3</v>
      </c>
      <c r="J958" s="3">
        <v>3.5416666666666652E-3</v>
      </c>
      <c r="K958" s="5">
        <f t="shared" si="91"/>
        <v>306</v>
      </c>
      <c r="L958" s="3">
        <v>5.7870370370305402E-5</v>
      </c>
      <c r="N958" s="1" t="s">
        <v>42</v>
      </c>
      <c r="O958" s="1" t="s">
        <v>43</v>
      </c>
      <c r="P958" s="1" t="s">
        <v>172</v>
      </c>
      <c r="Q958" s="1" t="s">
        <v>76</v>
      </c>
      <c r="R958" s="1" t="s">
        <v>45</v>
      </c>
      <c r="S958" s="1" t="s">
        <v>46</v>
      </c>
      <c r="T958" s="1" t="s">
        <v>45</v>
      </c>
      <c r="U958" s="1" t="s">
        <v>66</v>
      </c>
      <c r="V958" s="1" t="s">
        <v>49</v>
      </c>
      <c r="W958" s="1" t="s">
        <v>77</v>
      </c>
      <c r="X958" s="1" t="s">
        <v>468</v>
      </c>
      <c r="Y958" s="1" t="s">
        <v>126</v>
      </c>
      <c r="Z958" s="1" t="s">
        <v>469</v>
      </c>
      <c r="AA958" s="1" t="s">
        <v>470</v>
      </c>
      <c r="AB958" s="1" t="s">
        <v>471</v>
      </c>
      <c r="AC958" s="1">
        <v>0</v>
      </c>
      <c r="AD958" s="1" t="s">
        <v>56</v>
      </c>
      <c r="AE958" s="1" t="s">
        <v>83</v>
      </c>
      <c r="AF958" s="1" t="s">
        <v>84</v>
      </c>
      <c r="AG958" s="1" t="s">
        <v>1047</v>
      </c>
      <c r="AH958" s="1" t="s">
        <v>59</v>
      </c>
      <c r="AI958" s="1" t="s">
        <v>71</v>
      </c>
      <c r="AK958" s="1" t="s">
        <v>61</v>
      </c>
      <c r="AL958" s="1" t="s">
        <v>72</v>
      </c>
      <c r="AM958" s="1">
        <v>2</v>
      </c>
      <c r="AN958" s="1">
        <v>0</v>
      </c>
      <c r="AO958" s="1">
        <f t="shared" si="92"/>
        <v>2</v>
      </c>
    </row>
    <row r="959" spans="1:41" x14ac:dyDescent="0.4">
      <c r="A959" s="1">
        <v>1</v>
      </c>
      <c r="B959" s="1" t="s">
        <v>1033</v>
      </c>
      <c r="C959" s="1" t="s">
        <v>41</v>
      </c>
      <c r="D959" s="2">
        <v>38771</v>
      </c>
      <c r="E959" s="1">
        <v>54</v>
      </c>
      <c r="F959" s="1">
        <v>6</v>
      </c>
      <c r="G959" s="3">
        <v>0.55730324074074067</v>
      </c>
      <c r="H959" s="3">
        <v>0.57109953703703698</v>
      </c>
      <c r="I959" s="3">
        <v>1.3796296296296306E-2</v>
      </c>
      <c r="J959" s="3">
        <v>5.1851851851851816E-3</v>
      </c>
      <c r="K959" s="5">
        <f t="shared" si="91"/>
        <v>448</v>
      </c>
      <c r="L959" s="3">
        <v>1.7476851851851993E-3</v>
      </c>
      <c r="N959" s="1" t="s">
        <v>42</v>
      </c>
      <c r="O959" s="1" t="s">
        <v>43</v>
      </c>
      <c r="P959" s="1" t="s">
        <v>172</v>
      </c>
      <c r="Q959" s="1" t="s">
        <v>76</v>
      </c>
      <c r="R959" s="1" t="s">
        <v>45</v>
      </c>
      <c r="S959" s="1" t="s">
        <v>46</v>
      </c>
      <c r="T959" s="1" t="s">
        <v>45</v>
      </c>
      <c r="U959" s="1" t="s">
        <v>66</v>
      </c>
      <c r="V959" s="1" t="s">
        <v>49</v>
      </c>
      <c r="W959" s="1" t="s">
        <v>1058</v>
      </c>
      <c r="X959" s="1" t="s">
        <v>464</v>
      </c>
      <c r="Y959" s="1" t="s">
        <v>347</v>
      </c>
      <c r="Z959" s="1" t="s">
        <v>348</v>
      </c>
      <c r="AA959" s="1" t="s">
        <v>465</v>
      </c>
      <c r="AB959" s="1" t="s">
        <v>466</v>
      </c>
      <c r="AC959" s="1">
        <v>0</v>
      </c>
      <c r="AD959" s="1" t="s">
        <v>56</v>
      </c>
      <c r="AE959" s="1" t="s">
        <v>83</v>
      </c>
      <c r="AF959" s="1" t="s">
        <v>84</v>
      </c>
      <c r="AG959" s="1" t="s">
        <v>1043</v>
      </c>
      <c r="AH959" s="1" t="s">
        <v>115</v>
      </c>
      <c r="AI959" s="1" t="s">
        <v>71</v>
      </c>
      <c r="AK959" s="1" t="s">
        <v>86</v>
      </c>
      <c r="AL959" s="1" t="s">
        <v>86</v>
      </c>
      <c r="AM959" s="1">
        <v>5</v>
      </c>
      <c r="AN959" s="1">
        <v>0</v>
      </c>
      <c r="AO959" s="1">
        <f t="shared" si="92"/>
        <v>5</v>
      </c>
    </row>
    <row r="960" spans="1:41" x14ac:dyDescent="0.4">
      <c r="A960" s="1">
        <v>1</v>
      </c>
      <c r="B960" s="1" t="s">
        <v>1033</v>
      </c>
      <c r="C960" s="1" t="s">
        <v>41</v>
      </c>
      <c r="D960" s="2">
        <v>38771</v>
      </c>
      <c r="E960" s="1">
        <v>54</v>
      </c>
      <c r="F960" s="1">
        <v>7</v>
      </c>
      <c r="G960" s="3">
        <v>0.57284722222222217</v>
      </c>
      <c r="H960" s="3">
        <v>0.57412615740740747</v>
      </c>
      <c r="I960" s="3">
        <v>1.2789351851852926E-3</v>
      </c>
      <c r="J960" s="3">
        <v>1.2789351851852926E-3</v>
      </c>
      <c r="K960" s="5">
        <f t="shared" si="91"/>
        <v>111</v>
      </c>
      <c r="L960" s="3">
        <v>1.6186342592592551E-2</v>
      </c>
      <c r="N960" s="1" t="s">
        <v>42</v>
      </c>
      <c r="O960" s="1" t="s">
        <v>43</v>
      </c>
      <c r="P960" s="1" t="s">
        <v>172</v>
      </c>
      <c r="Q960" s="1" t="s">
        <v>45</v>
      </c>
      <c r="R960" s="1" t="s">
        <v>45</v>
      </c>
      <c r="S960" s="1" t="s">
        <v>46</v>
      </c>
      <c r="T960" s="1" t="s">
        <v>45</v>
      </c>
      <c r="U960" s="1" t="s">
        <v>66</v>
      </c>
      <c r="V960" s="1" t="s">
        <v>49</v>
      </c>
      <c r="W960" s="1" t="s">
        <v>77</v>
      </c>
      <c r="X960" s="1" t="s">
        <v>468</v>
      </c>
      <c r="Y960" s="1" t="s">
        <v>126</v>
      </c>
      <c r="Z960" s="1" t="s">
        <v>469</v>
      </c>
      <c r="AA960" s="1" t="s">
        <v>470</v>
      </c>
      <c r="AB960" s="1" t="s">
        <v>471</v>
      </c>
      <c r="AC960" s="1">
        <v>0</v>
      </c>
      <c r="AD960" s="1" t="s">
        <v>56</v>
      </c>
      <c r="AE960" s="1" t="s">
        <v>83</v>
      </c>
      <c r="AG960" s="1" t="s">
        <v>1059</v>
      </c>
      <c r="AH960" s="1" t="s">
        <v>59</v>
      </c>
      <c r="AI960" s="1" t="s">
        <v>71</v>
      </c>
      <c r="AJ960" s="1" t="s">
        <v>147</v>
      </c>
      <c r="AK960" s="1" t="s">
        <v>86</v>
      </c>
      <c r="AL960" s="1" t="s">
        <v>133</v>
      </c>
      <c r="AM960" s="1">
        <v>2</v>
      </c>
      <c r="AN960" s="1">
        <v>0</v>
      </c>
      <c r="AO960" s="1">
        <f t="shared" si="92"/>
        <v>2</v>
      </c>
    </row>
    <row r="961" spans="1:41" x14ac:dyDescent="0.4">
      <c r="A961" s="1">
        <v>1</v>
      </c>
      <c r="B961" s="1" t="s">
        <v>1033</v>
      </c>
      <c r="C961" s="1" t="s">
        <v>41</v>
      </c>
      <c r="D961" s="2">
        <v>38771</v>
      </c>
      <c r="E961" s="1">
        <v>54</v>
      </c>
      <c r="F961" s="1">
        <v>7.5</v>
      </c>
      <c r="G961" s="3">
        <v>0.59031250000000002</v>
      </c>
      <c r="H961" s="3">
        <v>0.59039351851851851</v>
      </c>
      <c r="I961" s="3">
        <v>8.1018518518494176E-5</v>
      </c>
      <c r="J961" s="3">
        <v>8.1018518518494176E-5</v>
      </c>
      <c r="K961" s="5">
        <f t="shared" si="91"/>
        <v>7</v>
      </c>
      <c r="L961" s="3">
        <v>5.9027777777775903E-4</v>
      </c>
      <c r="N961" s="1" t="s">
        <v>42</v>
      </c>
      <c r="O961" s="1" t="s">
        <v>43</v>
      </c>
      <c r="P961" s="1" t="s">
        <v>172</v>
      </c>
      <c r="Q961" s="1" t="s">
        <v>76</v>
      </c>
      <c r="R961" s="1" t="s">
        <v>45</v>
      </c>
      <c r="S961" s="1" t="s">
        <v>46</v>
      </c>
      <c r="T961" s="1" t="s">
        <v>45</v>
      </c>
      <c r="U961" s="1" t="s">
        <v>156</v>
      </c>
      <c r="AB961" s="1" t="s">
        <v>93</v>
      </c>
      <c r="AC961" s="1">
        <v>1</v>
      </c>
      <c r="AF961" s="1" t="s">
        <v>163</v>
      </c>
      <c r="AG961" s="1" t="s">
        <v>1060</v>
      </c>
      <c r="AI961" s="1" t="s">
        <v>75</v>
      </c>
      <c r="AK961" s="1" t="s">
        <v>86</v>
      </c>
      <c r="AL961" s="1" t="s">
        <v>87</v>
      </c>
      <c r="AM961" s="1">
        <v>2</v>
      </c>
      <c r="AN961" s="1">
        <v>0</v>
      </c>
      <c r="AO961" s="1">
        <f t="shared" si="92"/>
        <v>2</v>
      </c>
    </row>
    <row r="962" spans="1:41" x14ac:dyDescent="0.4">
      <c r="A962" s="1">
        <v>1</v>
      </c>
      <c r="B962" s="1" t="s">
        <v>1033</v>
      </c>
      <c r="C962" s="1" t="s">
        <v>41</v>
      </c>
      <c r="D962" s="2">
        <v>38771</v>
      </c>
      <c r="E962" s="1">
        <v>54</v>
      </c>
      <c r="F962" s="1">
        <v>7.7</v>
      </c>
      <c r="G962" s="3">
        <v>0.59098379629629627</v>
      </c>
      <c r="H962" s="3">
        <v>0.59111111111111114</v>
      </c>
      <c r="I962" s="3">
        <v>1.2731481481487172E-4</v>
      </c>
      <c r="J962" s="3">
        <v>1.2731481481487172E-4</v>
      </c>
      <c r="K962" s="5">
        <f t="shared" ref="K962:K1025" si="93">HOUR(J962)*60*60+MINUTE(J962)*60+SECOND(J962)</f>
        <v>11</v>
      </c>
      <c r="L962" s="3">
        <v>2.3379629629629584E-3</v>
      </c>
      <c r="N962" s="1" t="s">
        <v>42</v>
      </c>
      <c r="O962" s="1" t="s">
        <v>43</v>
      </c>
      <c r="P962" s="1" t="s">
        <v>172</v>
      </c>
      <c r="Q962" s="1" t="s">
        <v>76</v>
      </c>
      <c r="R962" s="1" t="s">
        <v>45</v>
      </c>
      <c r="S962" s="1" t="s">
        <v>46</v>
      </c>
      <c r="T962" s="1" t="s">
        <v>45</v>
      </c>
      <c r="U962" s="1" t="s">
        <v>156</v>
      </c>
      <c r="AB962" s="1" t="s">
        <v>93</v>
      </c>
      <c r="AC962" s="1">
        <v>1</v>
      </c>
      <c r="AG962" s="1" t="s">
        <v>1060</v>
      </c>
      <c r="AI962" s="1" t="s">
        <v>75</v>
      </c>
      <c r="AK962" s="1" t="s">
        <v>86</v>
      </c>
      <c r="AL962" s="1" t="s">
        <v>87</v>
      </c>
      <c r="AM962" s="1">
        <v>2</v>
      </c>
      <c r="AN962" s="1">
        <v>0</v>
      </c>
      <c r="AO962" s="1">
        <f t="shared" si="92"/>
        <v>2</v>
      </c>
    </row>
    <row r="963" spans="1:41" x14ac:dyDescent="0.4">
      <c r="A963" s="1">
        <v>1</v>
      </c>
      <c r="B963" s="1" t="s">
        <v>1033</v>
      </c>
      <c r="C963" s="1" t="s">
        <v>41</v>
      </c>
      <c r="D963" s="2">
        <v>38771</v>
      </c>
      <c r="E963" s="1">
        <v>54</v>
      </c>
      <c r="F963" s="1">
        <v>8</v>
      </c>
      <c r="G963" s="3">
        <v>0.5934490740740741</v>
      </c>
      <c r="H963" s="3">
        <v>0.59690972222222227</v>
      </c>
      <c r="I963" s="3">
        <v>3.460648148148171E-3</v>
      </c>
      <c r="J963" s="3">
        <v>3.460648148148171E-3</v>
      </c>
      <c r="K963" s="5">
        <f t="shared" si="93"/>
        <v>299</v>
      </c>
      <c r="L963" s="3">
        <v>3.4664351851851793E-2</v>
      </c>
      <c r="N963" s="1" t="s">
        <v>42</v>
      </c>
      <c r="O963" s="1" t="s">
        <v>43</v>
      </c>
      <c r="P963" s="1" t="s">
        <v>172</v>
      </c>
      <c r="Q963" s="1" t="s">
        <v>76</v>
      </c>
      <c r="R963" s="1" t="s">
        <v>45</v>
      </c>
      <c r="S963" s="1" t="s">
        <v>46</v>
      </c>
      <c r="T963" s="1" t="s">
        <v>45</v>
      </c>
      <c r="V963" s="1" t="s">
        <v>49</v>
      </c>
      <c r="W963" s="1" t="s">
        <v>77</v>
      </c>
      <c r="X963" s="1" t="s">
        <v>78</v>
      </c>
      <c r="Y963" s="1" t="s">
        <v>79</v>
      </c>
      <c r="Z963" s="1" t="s">
        <v>80</v>
      </c>
      <c r="AA963" s="1" t="s">
        <v>81</v>
      </c>
      <c r="AB963" s="1" t="s">
        <v>82</v>
      </c>
      <c r="AC963" s="1">
        <v>0</v>
      </c>
      <c r="AD963" s="1" t="s">
        <v>56</v>
      </c>
      <c r="AE963" s="1" t="s">
        <v>83</v>
      </c>
      <c r="AF963" s="1" t="s">
        <v>113</v>
      </c>
      <c r="AG963" s="1" t="s">
        <v>1061</v>
      </c>
      <c r="AH963" s="1" t="s">
        <v>115</v>
      </c>
      <c r="AK963" s="1" t="s">
        <v>86</v>
      </c>
      <c r="AL963" s="1" t="s">
        <v>87</v>
      </c>
      <c r="AM963" s="1">
        <v>1</v>
      </c>
      <c r="AN963" s="1">
        <v>0</v>
      </c>
      <c r="AO963" s="1">
        <f t="shared" ref="AO963:AO1026" si="94">SUM(AM963:AN963)</f>
        <v>1</v>
      </c>
    </row>
    <row r="964" spans="1:41" x14ac:dyDescent="0.4">
      <c r="A964" s="1">
        <v>1</v>
      </c>
      <c r="B964" s="1" t="s">
        <v>1033</v>
      </c>
      <c r="C964" s="1" t="s">
        <v>41</v>
      </c>
      <c r="D964" s="2">
        <v>38771</v>
      </c>
      <c r="E964" s="1">
        <v>54</v>
      </c>
      <c r="F964" s="1">
        <v>8.5</v>
      </c>
      <c r="G964" s="3">
        <v>0.63157407407407407</v>
      </c>
      <c r="H964" s="3">
        <v>0.63255787037037037</v>
      </c>
      <c r="I964" s="3">
        <v>9.8379629629630205E-4</v>
      </c>
      <c r="J964" s="3">
        <v>1.6203703703709937E-4</v>
      </c>
      <c r="K964" s="5">
        <f t="shared" si="93"/>
        <v>14</v>
      </c>
      <c r="L964" s="3">
        <v>3.3101851851852215E-3</v>
      </c>
      <c r="N964" s="1" t="s">
        <v>42</v>
      </c>
      <c r="O964" s="1" t="s">
        <v>43</v>
      </c>
      <c r="P964" s="1" t="s">
        <v>172</v>
      </c>
      <c r="Q964" s="1" t="s">
        <v>191</v>
      </c>
      <c r="R964" s="1" t="s">
        <v>76</v>
      </c>
      <c r="S964" s="1" t="s">
        <v>46</v>
      </c>
      <c r="AB964" s="1" t="s">
        <v>93</v>
      </c>
      <c r="AC964" s="1">
        <v>1</v>
      </c>
      <c r="AG964" s="1" t="s">
        <v>1062</v>
      </c>
      <c r="AK964" s="1" t="s">
        <v>86</v>
      </c>
      <c r="AL964" s="1" t="s">
        <v>87</v>
      </c>
      <c r="AM964" s="1">
        <v>4</v>
      </c>
      <c r="AN964" s="1">
        <v>0</v>
      </c>
      <c r="AO964" s="1">
        <f t="shared" si="94"/>
        <v>4</v>
      </c>
    </row>
    <row r="965" spans="1:41" x14ac:dyDescent="0.4">
      <c r="A965" s="1">
        <v>1</v>
      </c>
      <c r="B965" s="1" t="s">
        <v>1033</v>
      </c>
      <c r="C965" s="1" t="s">
        <v>41</v>
      </c>
      <c r="D965" s="2">
        <v>38771</v>
      </c>
      <c r="E965" s="1">
        <v>54</v>
      </c>
      <c r="F965" s="1">
        <v>8.6999999999999993</v>
      </c>
      <c r="G965" s="3">
        <v>0.63586805555555559</v>
      </c>
      <c r="H965" s="3">
        <v>0.63599537037037035</v>
      </c>
      <c r="I965" s="3">
        <v>1.273148148147607E-4</v>
      </c>
      <c r="J965" s="3">
        <v>1.273148148147607E-4</v>
      </c>
      <c r="K965" s="5">
        <f t="shared" si="93"/>
        <v>11</v>
      </c>
      <c r="L965" s="3">
        <v>3.9004629629629806E-3</v>
      </c>
      <c r="N965" s="1" t="s">
        <v>42</v>
      </c>
      <c r="O965" s="1" t="s">
        <v>43</v>
      </c>
      <c r="P965" s="1" t="s">
        <v>172</v>
      </c>
      <c r="Q965" s="1" t="s">
        <v>91</v>
      </c>
      <c r="R965" s="1" t="s">
        <v>76</v>
      </c>
      <c r="S965" s="1" t="s">
        <v>46</v>
      </c>
      <c r="T965" s="1" t="s">
        <v>45</v>
      </c>
      <c r="U965" s="1" t="s">
        <v>156</v>
      </c>
      <c r="AB965" s="1" t="s">
        <v>93</v>
      </c>
      <c r="AC965" s="1">
        <v>1</v>
      </c>
      <c r="AF965" s="1" t="s">
        <v>213</v>
      </c>
      <c r="AG965" s="1" t="s">
        <v>1062</v>
      </c>
      <c r="AI965" s="1" t="s">
        <v>75</v>
      </c>
      <c r="AK965" s="1" t="s">
        <v>61</v>
      </c>
      <c r="AL965" s="1" t="s">
        <v>61</v>
      </c>
      <c r="AM965" s="1">
        <v>4</v>
      </c>
      <c r="AN965" s="1">
        <v>0</v>
      </c>
      <c r="AO965" s="1">
        <f t="shared" si="94"/>
        <v>4</v>
      </c>
    </row>
    <row r="966" spans="1:41" x14ac:dyDescent="0.4">
      <c r="A966" s="1">
        <v>1</v>
      </c>
      <c r="B966" s="1" t="s">
        <v>1033</v>
      </c>
      <c r="C966" s="1" t="s">
        <v>41</v>
      </c>
      <c r="D966" s="2">
        <v>38771</v>
      </c>
      <c r="E966" s="1">
        <v>54</v>
      </c>
      <c r="F966" s="1">
        <v>9</v>
      </c>
      <c r="G966" s="3">
        <v>0.63989583333333333</v>
      </c>
      <c r="H966" s="3">
        <v>0.64387731481481481</v>
      </c>
      <c r="I966" s="3">
        <v>3.9814814814814747E-3</v>
      </c>
      <c r="J966" s="3">
        <v>3.9814814814814747E-3</v>
      </c>
      <c r="K966" s="5">
        <f t="shared" si="93"/>
        <v>344</v>
      </c>
      <c r="L966" s="3">
        <v>2.2118055555555571E-2</v>
      </c>
      <c r="N966" s="1" t="s">
        <v>42</v>
      </c>
      <c r="O966" s="1" t="s">
        <v>43</v>
      </c>
      <c r="P966" s="1" t="s">
        <v>172</v>
      </c>
      <c r="Q966" s="1" t="s">
        <v>191</v>
      </c>
      <c r="R966" s="1" t="s">
        <v>45</v>
      </c>
      <c r="S966" s="1" t="s">
        <v>46</v>
      </c>
      <c r="T966" s="1" t="s">
        <v>45</v>
      </c>
      <c r="U966" s="1" t="s">
        <v>66</v>
      </c>
      <c r="V966" s="1" t="s">
        <v>49</v>
      </c>
      <c r="W966" s="1" t="s">
        <v>140</v>
      </c>
      <c r="X966" s="1" t="s">
        <v>177</v>
      </c>
      <c r="Y966" s="1" t="s">
        <v>79</v>
      </c>
      <c r="Z966" s="1" t="s">
        <v>178</v>
      </c>
      <c r="AA966" s="1" t="s">
        <v>572</v>
      </c>
      <c r="AB966" s="1" t="s">
        <v>573</v>
      </c>
      <c r="AC966" s="1">
        <v>0</v>
      </c>
      <c r="AD966" s="1" t="s">
        <v>56</v>
      </c>
      <c r="AE966" s="1" t="s">
        <v>181</v>
      </c>
      <c r="AG966" s="1" t="s">
        <v>1063</v>
      </c>
      <c r="AH966" s="1" t="s">
        <v>115</v>
      </c>
      <c r="AI966" s="1" t="s">
        <v>71</v>
      </c>
      <c r="AK966" s="1" t="s">
        <v>61</v>
      </c>
      <c r="AL966" s="1" t="s">
        <v>72</v>
      </c>
      <c r="AM966" s="1">
        <v>1</v>
      </c>
      <c r="AN966" s="1">
        <v>0</v>
      </c>
      <c r="AO966" s="1">
        <f t="shared" si="94"/>
        <v>1</v>
      </c>
    </row>
    <row r="967" spans="1:41" x14ac:dyDescent="0.4">
      <c r="A967" s="1">
        <v>1</v>
      </c>
      <c r="B967" s="1" t="s">
        <v>1033</v>
      </c>
      <c r="C967" s="1" t="s">
        <v>41</v>
      </c>
      <c r="D967" s="2">
        <v>38771</v>
      </c>
      <c r="E967" s="1">
        <v>54</v>
      </c>
      <c r="F967" s="1">
        <v>10</v>
      </c>
      <c r="G967" s="3">
        <v>0.66599537037037038</v>
      </c>
      <c r="H967" s="3">
        <v>0.67122685185185194</v>
      </c>
      <c r="I967" s="3">
        <v>5.2314814814815591E-3</v>
      </c>
      <c r="J967" s="3">
        <v>5.2314814814815591E-3</v>
      </c>
      <c r="K967" s="5">
        <f t="shared" si="93"/>
        <v>452</v>
      </c>
      <c r="L967" s="3">
        <v>4.7685185185184498E-3</v>
      </c>
      <c r="N967" s="1" t="s">
        <v>42</v>
      </c>
      <c r="O967" s="1" t="s">
        <v>43</v>
      </c>
      <c r="P967" s="1" t="s">
        <v>172</v>
      </c>
      <c r="Q967" s="1" t="s">
        <v>76</v>
      </c>
      <c r="R967" s="1" t="s">
        <v>76</v>
      </c>
      <c r="S967" s="1" t="s">
        <v>46</v>
      </c>
      <c r="T967" s="1" t="s">
        <v>45</v>
      </c>
      <c r="V967" s="1" t="s">
        <v>49</v>
      </c>
      <c r="W967" s="1" t="s">
        <v>77</v>
      </c>
      <c r="X967" s="1" t="s">
        <v>108</v>
      </c>
      <c r="Y967" s="1" t="s">
        <v>109</v>
      </c>
      <c r="Z967" s="1" t="s">
        <v>110</v>
      </c>
      <c r="AA967" s="1" t="s">
        <v>111</v>
      </c>
      <c r="AB967" s="1" t="s">
        <v>112</v>
      </c>
      <c r="AC967" s="1">
        <v>0</v>
      </c>
      <c r="AD967" s="1" t="s">
        <v>56</v>
      </c>
      <c r="AE967" s="1" t="s">
        <v>57</v>
      </c>
      <c r="AF967" s="1" t="s">
        <v>163</v>
      </c>
      <c r="AG967" s="1" t="s">
        <v>1041</v>
      </c>
      <c r="AH967" s="1" t="s">
        <v>115</v>
      </c>
      <c r="AK967" s="1" t="s">
        <v>86</v>
      </c>
      <c r="AL967" s="1" t="s">
        <v>86</v>
      </c>
      <c r="AM967" s="1">
        <v>6</v>
      </c>
      <c r="AN967" s="1">
        <v>0</v>
      </c>
      <c r="AO967" s="1">
        <f t="shared" si="94"/>
        <v>6</v>
      </c>
    </row>
    <row r="968" spans="1:41" x14ac:dyDescent="0.4">
      <c r="A968" s="1">
        <v>1</v>
      </c>
      <c r="B968" s="1" t="s">
        <v>1033</v>
      </c>
      <c r="C968" s="1" t="s">
        <v>41</v>
      </c>
      <c r="D968" s="2">
        <v>38771</v>
      </c>
      <c r="E968" s="1">
        <v>54</v>
      </c>
      <c r="F968" s="1">
        <v>11</v>
      </c>
      <c r="G968" s="3">
        <v>0.67599537037037039</v>
      </c>
      <c r="H968" s="3">
        <v>0.68384259259259261</v>
      </c>
      <c r="I968" s="3">
        <v>7.8472222222222276E-3</v>
      </c>
      <c r="J968" s="3">
        <v>7.3958333333333792E-3</v>
      </c>
      <c r="K968" s="5">
        <f t="shared" si="93"/>
        <v>639</v>
      </c>
      <c r="L968" s="3">
        <v>1.0092592592592542E-2</v>
      </c>
      <c r="N968" s="1" t="s">
        <v>42</v>
      </c>
      <c r="O968" s="1" t="s">
        <v>43</v>
      </c>
      <c r="P968" s="1" t="s">
        <v>172</v>
      </c>
      <c r="Q968" s="1" t="s">
        <v>76</v>
      </c>
      <c r="R968" s="1" t="s">
        <v>76</v>
      </c>
      <c r="S968" s="1" t="s">
        <v>46</v>
      </c>
      <c r="T968" s="1" t="s">
        <v>45</v>
      </c>
      <c r="U968" s="1" t="s">
        <v>66</v>
      </c>
      <c r="V968" s="1" t="s">
        <v>49</v>
      </c>
      <c r="W968" s="1" t="s">
        <v>50</v>
      </c>
      <c r="X968" s="1" t="s">
        <v>96</v>
      </c>
      <c r="Y968" s="1" t="s">
        <v>52</v>
      </c>
      <c r="Z968" s="1" t="s">
        <v>53</v>
      </c>
      <c r="AA968" s="1" t="s">
        <v>731</v>
      </c>
      <c r="AB968" s="1" t="s">
        <v>732</v>
      </c>
      <c r="AC968" s="1">
        <v>0</v>
      </c>
      <c r="AD968" s="1" t="s">
        <v>56</v>
      </c>
      <c r="AE968" s="1" t="s">
        <v>70</v>
      </c>
      <c r="AF968" s="1" t="s">
        <v>213</v>
      </c>
      <c r="AG968" s="1" t="s">
        <v>1064</v>
      </c>
      <c r="AH968" s="1" t="s">
        <v>59</v>
      </c>
      <c r="AI968" s="1" t="s">
        <v>71</v>
      </c>
      <c r="AJ968" s="1" t="s">
        <v>147</v>
      </c>
      <c r="AK968" s="1" t="s">
        <v>86</v>
      </c>
      <c r="AL968" s="1" t="s">
        <v>86</v>
      </c>
      <c r="AM968" s="1">
        <v>4</v>
      </c>
      <c r="AN968" s="1">
        <v>0</v>
      </c>
      <c r="AO968" s="1">
        <f t="shared" si="94"/>
        <v>4</v>
      </c>
    </row>
    <row r="969" spans="1:41" x14ac:dyDescent="0.4">
      <c r="A969" s="1">
        <v>1</v>
      </c>
      <c r="B969" s="1" t="s">
        <v>1033</v>
      </c>
      <c r="C969" s="1" t="s">
        <v>41</v>
      </c>
      <c r="D969" s="2">
        <v>38771</v>
      </c>
      <c r="E969" s="1">
        <v>54</v>
      </c>
      <c r="F969" s="1">
        <v>12</v>
      </c>
      <c r="G969" s="3">
        <v>0.69393518518518515</v>
      </c>
      <c r="H969" s="3">
        <v>0.69425925925925924</v>
      </c>
      <c r="I969" s="3">
        <v>3.2407407407408773E-4</v>
      </c>
      <c r="J969" s="3">
        <v>3.2407407407408773E-4</v>
      </c>
      <c r="K969" s="5">
        <f t="shared" si="93"/>
        <v>28</v>
      </c>
      <c r="L969" s="3" t="s">
        <v>120</v>
      </c>
      <c r="N969" s="1" t="s">
        <v>42</v>
      </c>
      <c r="O969" s="1" t="s">
        <v>43</v>
      </c>
      <c r="P969" s="1" t="s">
        <v>172</v>
      </c>
      <c r="Q969" s="1" t="s">
        <v>76</v>
      </c>
      <c r="R969" s="1" t="s">
        <v>76</v>
      </c>
      <c r="S969" s="1" t="s">
        <v>46</v>
      </c>
      <c r="T969" s="1" t="s">
        <v>124</v>
      </c>
      <c r="U969" s="1" t="s">
        <v>66</v>
      </c>
      <c r="AB969" s="1" t="s">
        <v>93</v>
      </c>
      <c r="AC969" s="1">
        <v>1</v>
      </c>
      <c r="AG969" s="1" t="s">
        <v>1065</v>
      </c>
      <c r="AI969" s="1" t="s">
        <v>71</v>
      </c>
      <c r="AK969" s="1" t="s">
        <v>86</v>
      </c>
      <c r="AL969" s="1" t="s">
        <v>133</v>
      </c>
      <c r="AM969" s="1">
        <v>6</v>
      </c>
      <c r="AN969" s="1">
        <v>0</v>
      </c>
      <c r="AO969" s="1">
        <f t="shared" si="94"/>
        <v>6</v>
      </c>
    </row>
    <row r="970" spans="1:41" x14ac:dyDescent="0.4">
      <c r="A970" s="1">
        <v>1</v>
      </c>
      <c r="B970" s="1" t="s">
        <v>1033</v>
      </c>
      <c r="C970" s="1" t="s">
        <v>41</v>
      </c>
      <c r="D970" s="2">
        <v>38792</v>
      </c>
      <c r="E970" s="1">
        <v>75</v>
      </c>
      <c r="F970" s="1">
        <v>0.2</v>
      </c>
      <c r="G970" s="3">
        <v>0.29998842592592595</v>
      </c>
      <c r="H970" s="3">
        <v>0.30011574074074071</v>
      </c>
      <c r="I970" s="3">
        <v>1.273148148147607E-4</v>
      </c>
      <c r="J970" s="3">
        <v>1.273148148147607E-4</v>
      </c>
      <c r="K970" s="5">
        <f t="shared" si="93"/>
        <v>11</v>
      </c>
      <c r="L970" s="3">
        <v>5.121527777777779E-2</v>
      </c>
      <c r="N970" s="1" t="s">
        <v>75</v>
      </c>
      <c r="O970" s="1" t="s">
        <v>43</v>
      </c>
      <c r="P970" s="1" t="s">
        <v>227</v>
      </c>
      <c r="Q970" s="1" t="s">
        <v>191</v>
      </c>
      <c r="S970" s="1" t="s">
        <v>46</v>
      </c>
      <c r="T970" s="1" t="s">
        <v>76</v>
      </c>
      <c r="U970" s="1" t="s">
        <v>66</v>
      </c>
      <c r="V970" s="1" t="s">
        <v>67</v>
      </c>
      <c r="W970" s="1" t="s">
        <v>68</v>
      </c>
      <c r="Y970" s="1" t="s">
        <v>68</v>
      </c>
      <c r="AB970" s="1" t="s">
        <v>69</v>
      </c>
      <c r="AC970" s="1">
        <v>0</v>
      </c>
      <c r="AD970" s="1" t="s">
        <v>68</v>
      </c>
      <c r="AE970" s="1" t="s">
        <v>70</v>
      </c>
      <c r="AI970" s="1" t="s">
        <v>75</v>
      </c>
      <c r="AK970" s="1" t="s">
        <v>86</v>
      </c>
      <c r="AL970" s="1" t="s">
        <v>87</v>
      </c>
      <c r="AN970" s="1">
        <v>1</v>
      </c>
      <c r="AO970" s="1">
        <f t="shared" si="94"/>
        <v>1</v>
      </c>
    </row>
    <row r="971" spans="1:41" x14ac:dyDescent="0.4">
      <c r="A971" s="1">
        <v>1</v>
      </c>
      <c r="B971" s="1" t="s">
        <v>1033</v>
      </c>
      <c r="C971" s="1" t="s">
        <v>41</v>
      </c>
      <c r="D971" s="2">
        <v>38792</v>
      </c>
      <c r="E971" s="1">
        <v>75</v>
      </c>
      <c r="F971" s="1">
        <v>0.5</v>
      </c>
      <c r="G971" s="3">
        <v>0.3513310185185185</v>
      </c>
      <c r="H971" s="3">
        <v>0.35170138888888891</v>
      </c>
      <c r="I971" s="3">
        <v>3.7037037037040976E-4</v>
      </c>
      <c r="J971" s="3">
        <v>3.7037037037040976E-4</v>
      </c>
      <c r="K971" s="5">
        <f t="shared" si="93"/>
        <v>32</v>
      </c>
      <c r="L971" s="3">
        <v>2.7893518518518068E-3</v>
      </c>
      <c r="N971" s="1" t="s">
        <v>75</v>
      </c>
      <c r="O971" s="1" t="s">
        <v>43</v>
      </c>
      <c r="P971" s="1" t="s">
        <v>227</v>
      </c>
      <c r="Q971" s="1" t="s">
        <v>76</v>
      </c>
      <c r="S971" s="1" t="s">
        <v>46</v>
      </c>
      <c r="T971" s="1" t="s">
        <v>76</v>
      </c>
      <c r="U971" s="1" t="s">
        <v>66</v>
      </c>
      <c r="V971" s="1" t="s">
        <v>102</v>
      </c>
      <c r="W971" s="1" t="s">
        <v>103</v>
      </c>
      <c r="X971" s="1" t="s">
        <v>1066</v>
      </c>
      <c r="AB971" s="1" t="s">
        <v>104</v>
      </c>
      <c r="AC971" s="1">
        <v>0</v>
      </c>
      <c r="AE971" s="1" t="s">
        <v>181</v>
      </c>
      <c r="AI971" s="1" t="s">
        <v>75</v>
      </c>
      <c r="AK971" s="1" t="s">
        <v>86</v>
      </c>
      <c r="AL971" s="1" t="s">
        <v>87</v>
      </c>
      <c r="AN971" s="1">
        <v>1</v>
      </c>
      <c r="AO971" s="1">
        <f t="shared" si="94"/>
        <v>1</v>
      </c>
    </row>
    <row r="972" spans="1:41" x14ac:dyDescent="0.4">
      <c r="A972" s="1">
        <v>1</v>
      </c>
      <c r="B972" s="1" t="s">
        <v>1033</v>
      </c>
      <c r="C972" s="1" t="s">
        <v>41</v>
      </c>
      <c r="D972" s="2">
        <v>38792</v>
      </c>
      <c r="E972" s="1">
        <v>75</v>
      </c>
      <c r="F972" s="1">
        <v>0.7</v>
      </c>
      <c r="G972" s="3">
        <v>0.35449074074074072</v>
      </c>
      <c r="H972" s="3">
        <v>0.35467592592592595</v>
      </c>
      <c r="I972" s="3">
        <v>1.8518518518523264E-4</v>
      </c>
      <c r="J972" s="3">
        <v>1.8518518518523264E-4</v>
      </c>
      <c r="K972" s="5">
        <f t="shared" si="93"/>
        <v>16</v>
      </c>
      <c r="L972" s="3">
        <v>9.0277777777777457E-3</v>
      </c>
      <c r="N972" s="1" t="s">
        <v>75</v>
      </c>
      <c r="O972" s="1" t="s">
        <v>43</v>
      </c>
      <c r="P972" s="1" t="s">
        <v>227</v>
      </c>
      <c r="Q972" s="1" t="s">
        <v>76</v>
      </c>
      <c r="S972" s="1" t="s">
        <v>46</v>
      </c>
      <c r="T972" s="1" t="s">
        <v>45</v>
      </c>
      <c r="U972" s="1" t="s">
        <v>66</v>
      </c>
      <c r="V972" s="1" t="s">
        <v>102</v>
      </c>
      <c r="W972" s="1" t="s">
        <v>184</v>
      </c>
      <c r="X972" s="1" t="s">
        <v>121</v>
      </c>
      <c r="AB972" s="1" t="s">
        <v>104</v>
      </c>
      <c r="AC972" s="1">
        <v>0</v>
      </c>
      <c r="AE972" s="1" t="s">
        <v>70</v>
      </c>
      <c r="AF972" s="1" t="s">
        <v>153</v>
      </c>
      <c r="AI972" s="1" t="s">
        <v>75</v>
      </c>
      <c r="AK972" s="1" t="s">
        <v>61</v>
      </c>
      <c r="AL972" s="1" t="s">
        <v>72</v>
      </c>
      <c r="AN972" s="1">
        <v>1</v>
      </c>
      <c r="AO972" s="1">
        <f t="shared" si="94"/>
        <v>1</v>
      </c>
    </row>
    <row r="973" spans="1:41" x14ac:dyDescent="0.4">
      <c r="A973" s="1">
        <v>1</v>
      </c>
      <c r="B973" s="1" t="s">
        <v>1033</v>
      </c>
      <c r="C973" s="1" t="s">
        <v>41</v>
      </c>
      <c r="D973" s="2">
        <v>38792</v>
      </c>
      <c r="E973" s="1">
        <v>75</v>
      </c>
      <c r="F973" s="1">
        <v>1</v>
      </c>
      <c r="G973" s="3">
        <v>0.3637037037037037</v>
      </c>
      <c r="H973" s="3">
        <v>0.37188657407407405</v>
      </c>
      <c r="I973" s="3">
        <v>8.1828703703703543E-3</v>
      </c>
      <c r="J973" s="3">
        <v>7.4305555555555514E-3</v>
      </c>
      <c r="K973" s="5">
        <f t="shared" si="93"/>
        <v>642</v>
      </c>
      <c r="L973" s="3">
        <v>8.9224537037037033E-2</v>
      </c>
      <c r="N973" s="1" t="s">
        <v>42</v>
      </c>
      <c r="O973" s="1" t="s">
        <v>43</v>
      </c>
      <c r="P973" s="1" t="s">
        <v>227</v>
      </c>
      <c r="Q973" s="1" t="s">
        <v>45</v>
      </c>
      <c r="S973" s="1" t="s">
        <v>46</v>
      </c>
      <c r="T973" s="1" t="s">
        <v>47</v>
      </c>
      <c r="U973" s="1" t="s">
        <v>66</v>
      </c>
      <c r="V973" s="1" t="s">
        <v>49</v>
      </c>
      <c r="W973" s="1" t="s">
        <v>439</v>
      </c>
      <c r="X973" s="1" t="s">
        <v>1067</v>
      </c>
      <c r="Y973" s="1" t="s">
        <v>1068</v>
      </c>
      <c r="Z973" s="1" t="s">
        <v>1069</v>
      </c>
      <c r="AA973" s="1" t="s">
        <v>1070</v>
      </c>
      <c r="AB973" s="1" t="s">
        <v>1071</v>
      </c>
      <c r="AC973" s="1">
        <v>0</v>
      </c>
      <c r="AD973" s="1" t="s">
        <v>105</v>
      </c>
      <c r="AE973" s="1" t="s">
        <v>70</v>
      </c>
      <c r="AF973" s="1" t="s">
        <v>84</v>
      </c>
      <c r="AG973" s="1" t="s">
        <v>1072</v>
      </c>
      <c r="AH973" s="1" t="s">
        <v>115</v>
      </c>
      <c r="AI973" s="1" t="s">
        <v>71</v>
      </c>
      <c r="AK973" s="1" t="s">
        <v>86</v>
      </c>
      <c r="AL973" s="1" t="s">
        <v>133</v>
      </c>
      <c r="AM973" s="1">
        <v>1</v>
      </c>
      <c r="AN973" s="1">
        <v>0</v>
      </c>
      <c r="AO973" s="1">
        <f t="shared" si="94"/>
        <v>1</v>
      </c>
    </row>
    <row r="974" spans="1:41" x14ac:dyDescent="0.4">
      <c r="A974" s="1">
        <v>1</v>
      </c>
      <c r="B974" s="1" t="s">
        <v>1033</v>
      </c>
      <c r="C974" s="1" t="s">
        <v>41</v>
      </c>
      <c r="D974" s="2">
        <v>38792</v>
      </c>
      <c r="E974" s="1">
        <v>75</v>
      </c>
      <c r="F974" s="1">
        <v>2</v>
      </c>
      <c r="G974" s="3">
        <v>0.46111111111111108</v>
      </c>
      <c r="H974" s="3">
        <v>0.47243055555555552</v>
      </c>
      <c r="I974" s="3">
        <v>1.1319444444444438E-2</v>
      </c>
      <c r="J974" s="3">
        <v>1.1319444444444438E-2</v>
      </c>
      <c r="K974" s="5">
        <f t="shared" si="93"/>
        <v>978</v>
      </c>
      <c r="L974" s="3">
        <v>1.4756944444444475E-2</v>
      </c>
      <c r="N974" s="1" t="s">
        <v>75</v>
      </c>
      <c r="O974" s="1" t="s">
        <v>43</v>
      </c>
      <c r="P974" s="1" t="s">
        <v>227</v>
      </c>
      <c r="Q974" s="1" t="s">
        <v>45</v>
      </c>
      <c r="S974" s="1" t="s">
        <v>46</v>
      </c>
      <c r="T974" s="1" t="s">
        <v>124</v>
      </c>
      <c r="V974" s="1" t="s">
        <v>49</v>
      </c>
      <c r="W974" s="1" t="s">
        <v>50</v>
      </c>
      <c r="X974" s="1" t="s">
        <v>951</v>
      </c>
      <c r="Y974" s="1" t="s">
        <v>159</v>
      </c>
      <c r="Z974" s="1" t="s">
        <v>160</v>
      </c>
      <c r="AB974" s="1" t="s">
        <v>1073</v>
      </c>
      <c r="AC974" s="1">
        <v>0</v>
      </c>
      <c r="AD974" s="1" t="s">
        <v>56</v>
      </c>
      <c r="AE974" s="1" t="s">
        <v>83</v>
      </c>
      <c r="AF974" s="1" t="s">
        <v>113</v>
      </c>
      <c r="AG974" s="1" t="s">
        <v>1074</v>
      </c>
      <c r="AH974" s="1" t="s">
        <v>165</v>
      </c>
      <c r="AJ974" s="1" t="s">
        <v>147</v>
      </c>
      <c r="AK974" s="1" t="s">
        <v>116</v>
      </c>
      <c r="AL974" s="1" t="s">
        <v>155</v>
      </c>
      <c r="AM974" s="1">
        <v>4</v>
      </c>
      <c r="AN974" s="1">
        <v>0</v>
      </c>
      <c r="AO974" s="1">
        <f t="shared" si="94"/>
        <v>4</v>
      </c>
    </row>
    <row r="975" spans="1:41" x14ac:dyDescent="0.4">
      <c r="A975" s="1">
        <v>1</v>
      </c>
      <c r="B975" s="1" t="s">
        <v>1033</v>
      </c>
      <c r="C975" s="1" t="s">
        <v>41</v>
      </c>
      <c r="D975" s="2">
        <v>38792</v>
      </c>
      <c r="E975" s="1">
        <v>75</v>
      </c>
      <c r="F975" s="1">
        <v>3</v>
      </c>
      <c r="G975" s="3">
        <v>0.4871875</v>
      </c>
      <c r="H975" s="3">
        <v>0.49202546296296296</v>
      </c>
      <c r="I975" s="3">
        <v>4.8379629629629606E-3</v>
      </c>
      <c r="J975" s="3">
        <v>4.5370370370370061E-3</v>
      </c>
      <c r="K975" s="5">
        <f t="shared" si="93"/>
        <v>392</v>
      </c>
      <c r="L975" s="3">
        <v>1.0717592592592584E-2</v>
      </c>
      <c r="N975" s="1" t="s">
        <v>42</v>
      </c>
      <c r="O975" s="1" t="s">
        <v>43</v>
      </c>
      <c r="P975" s="1" t="s">
        <v>227</v>
      </c>
      <c r="Q975" s="1" t="s">
        <v>76</v>
      </c>
      <c r="S975" s="1" t="s">
        <v>46</v>
      </c>
      <c r="T975" s="1" t="s">
        <v>45</v>
      </c>
      <c r="U975" s="1" t="s">
        <v>66</v>
      </c>
      <c r="V975" s="1" t="s">
        <v>49</v>
      </c>
      <c r="W975" s="1" t="s">
        <v>50</v>
      </c>
      <c r="X975" s="1" t="s">
        <v>464</v>
      </c>
      <c r="Y975" s="1" t="s">
        <v>347</v>
      </c>
      <c r="Z975" s="1" t="s">
        <v>348</v>
      </c>
      <c r="AA975" s="1" t="s">
        <v>465</v>
      </c>
      <c r="AB975" s="1" t="s">
        <v>466</v>
      </c>
      <c r="AC975" s="1">
        <v>0</v>
      </c>
      <c r="AD975" s="1" t="s">
        <v>56</v>
      </c>
      <c r="AE975" s="1" t="s">
        <v>83</v>
      </c>
      <c r="AF975" s="1" t="s">
        <v>84</v>
      </c>
      <c r="AG975" s="1" t="s">
        <v>1075</v>
      </c>
      <c r="AH975" s="1" t="s">
        <v>115</v>
      </c>
      <c r="AI975" s="1" t="s">
        <v>71</v>
      </c>
      <c r="AK975" s="1" t="s">
        <v>86</v>
      </c>
      <c r="AL975" s="1" t="s">
        <v>87</v>
      </c>
      <c r="AM975" s="1">
        <v>3</v>
      </c>
      <c r="AN975" s="1">
        <v>0</v>
      </c>
      <c r="AO975" s="1">
        <f t="shared" si="94"/>
        <v>3</v>
      </c>
    </row>
    <row r="976" spans="1:41" x14ac:dyDescent="0.4">
      <c r="A976" s="1">
        <v>1</v>
      </c>
      <c r="B976" s="1" t="s">
        <v>1033</v>
      </c>
      <c r="C976" s="1" t="s">
        <v>41</v>
      </c>
      <c r="D976" s="2">
        <v>38792</v>
      </c>
      <c r="E976" s="1">
        <v>75</v>
      </c>
      <c r="F976" s="1">
        <v>3.5</v>
      </c>
      <c r="G976" s="3">
        <v>0.50274305555555554</v>
      </c>
      <c r="H976" s="3">
        <v>0.50310185185185186</v>
      </c>
      <c r="I976" s="3">
        <v>3.5879629629631538E-4</v>
      </c>
      <c r="J976" s="3">
        <v>3.5879629629631538E-4</v>
      </c>
      <c r="K976" s="5">
        <f t="shared" si="93"/>
        <v>31</v>
      </c>
      <c r="L976" s="3">
        <v>6.0648148148148007E-3</v>
      </c>
      <c r="N976" s="1" t="s">
        <v>42</v>
      </c>
      <c r="O976" s="1" t="s">
        <v>43</v>
      </c>
      <c r="P976" s="1" t="s">
        <v>227</v>
      </c>
      <c r="Q976" s="1" t="s">
        <v>76</v>
      </c>
      <c r="S976" s="1" t="s">
        <v>46</v>
      </c>
      <c r="T976" s="1" t="s">
        <v>76</v>
      </c>
      <c r="U976" s="1" t="s">
        <v>66</v>
      </c>
      <c r="V976" s="1" t="s">
        <v>102</v>
      </c>
      <c r="W976" s="1" t="s">
        <v>231</v>
      </c>
      <c r="X976" s="1" t="s">
        <v>121</v>
      </c>
      <c r="AB976" s="1" t="s">
        <v>104</v>
      </c>
      <c r="AC976" s="1">
        <v>0</v>
      </c>
      <c r="AE976" s="1" t="s">
        <v>70</v>
      </c>
      <c r="AF976" s="1" t="s">
        <v>153</v>
      </c>
      <c r="AG976" s="1" t="s">
        <v>1076</v>
      </c>
      <c r="AI976" s="1" t="s">
        <v>71</v>
      </c>
      <c r="AK976" s="1" t="s">
        <v>116</v>
      </c>
      <c r="AL976" s="1" t="s">
        <v>117</v>
      </c>
      <c r="AM976" s="1">
        <v>4</v>
      </c>
      <c r="AN976" s="1">
        <v>0</v>
      </c>
      <c r="AO976" s="1">
        <f t="shared" si="94"/>
        <v>4</v>
      </c>
    </row>
    <row r="977" spans="1:41" x14ac:dyDescent="0.4">
      <c r="A977" s="1">
        <v>1</v>
      </c>
      <c r="B977" s="1" t="s">
        <v>1033</v>
      </c>
      <c r="C977" s="1" t="s">
        <v>41</v>
      </c>
      <c r="D977" s="2">
        <v>38792</v>
      </c>
      <c r="E977" s="1">
        <v>75</v>
      </c>
      <c r="F977" s="1">
        <v>4</v>
      </c>
      <c r="G977" s="3">
        <v>0.50916666666666666</v>
      </c>
      <c r="H977" s="3">
        <v>0.51342592592592595</v>
      </c>
      <c r="I977" s="3">
        <v>4.2592592592592959E-3</v>
      </c>
      <c r="J977" s="3">
        <v>3.6458333333333481E-3</v>
      </c>
      <c r="K977" s="5">
        <f t="shared" si="93"/>
        <v>315</v>
      </c>
      <c r="L977" s="3">
        <v>7.9976851851851771E-3</v>
      </c>
      <c r="N977" s="1" t="s">
        <v>42</v>
      </c>
      <c r="O977" s="1" t="s">
        <v>43</v>
      </c>
      <c r="P977" s="1" t="s">
        <v>227</v>
      </c>
      <c r="Q977" s="1" t="s">
        <v>45</v>
      </c>
      <c r="S977" s="1" t="s">
        <v>46</v>
      </c>
      <c r="T977" s="1" t="s">
        <v>45</v>
      </c>
      <c r="U977" s="1" t="s">
        <v>66</v>
      </c>
      <c r="V977" s="1" t="s">
        <v>49</v>
      </c>
      <c r="W977" s="1" t="s">
        <v>50</v>
      </c>
      <c r="X977" s="1" t="s">
        <v>464</v>
      </c>
      <c r="Y977" s="1" t="s">
        <v>347</v>
      </c>
      <c r="Z977" s="1" t="s">
        <v>348</v>
      </c>
      <c r="AA977" s="1" t="s">
        <v>465</v>
      </c>
      <c r="AB977" s="1" t="s">
        <v>466</v>
      </c>
      <c r="AC977" s="1">
        <v>0</v>
      </c>
      <c r="AD977" s="1" t="s">
        <v>56</v>
      </c>
      <c r="AE977" s="1" t="s">
        <v>83</v>
      </c>
      <c r="AF977" s="1" t="s">
        <v>153</v>
      </c>
      <c r="AG977" s="1" t="s">
        <v>1054</v>
      </c>
      <c r="AH977" s="1" t="s">
        <v>115</v>
      </c>
      <c r="AI977" s="1" t="s">
        <v>71</v>
      </c>
      <c r="AK977" s="1" t="s">
        <v>86</v>
      </c>
      <c r="AL977" s="1" t="s">
        <v>87</v>
      </c>
      <c r="AM977" s="1">
        <v>5</v>
      </c>
      <c r="AN977" s="1">
        <v>0</v>
      </c>
      <c r="AO977" s="1">
        <f t="shared" si="94"/>
        <v>5</v>
      </c>
    </row>
    <row r="978" spans="1:41" x14ac:dyDescent="0.4">
      <c r="A978" s="1">
        <v>1</v>
      </c>
      <c r="B978" s="1" t="s">
        <v>1033</v>
      </c>
      <c r="C978" s="1" t="s">
        <v>41</v>
      </c>
      <c r="D978" s="2">
        <v>38792</v>
      </c>
      <c r="E978" s="1">
        <v>75</v>
      </c>
      <c r="F978" s="1">
        <v>4.3</v>
      </c>
      <c r="G978" s="3">
        <v>0.52142361111111113</v>
      </c>
      <c r="H978" s="3">
        <v>0.52481481481481485</v>
      </c>
      <c r="I978" s="3">
        <v>3.3912037037037157E-3</v>
      </c>
      <c r="J978" s="3">
        <v>1.4236111111111116E-3</v>
      </c>
      <c r="K978" s="5">
        <f t="shared" si="93"/>
        <v>123</v>
      </c>
      <c r="L978" s="3">
        <v>8.4374999999999867E-3</v>
      </c>
      <c r="N978" s="1" t="s">
        <v>42</v>
      </c>
      <c r="O978" s="1" t="s">
        <v>43</v>
      </c>
      <c r="P978" s="1" t="s">
        <v>227</v>
      </c>
      <c r="Q978" s="1" t="s">
        <v>45</v>
      </c>
      <c r="S978" s="1" t="s">
        <v>46</v>
      </c>
      <c r="T978" s="1" t="s">
        <v>76</v>
      </c>
      <c r="U978" s="1" t="s">
        <v>48</v>
      </c>
      <c r="V978" s="1" t="s">
        <v>102</v>
      </c>
      <c r="W978" s="1" t="s">
        <v>231</v>
      </c>
      <c r="X978" s="1" t="s">
        <v>121</v>
      </c>
      <c r="AB978" s="1" t="s">
        <v>104</v>
      </c>
      <c r="AC978" s="1">
        <v>0</v>
      </c>
      <c r="AE978" s="1" t="s">
        <v>70</v>
      </c>
      <c r="AI978" s="1" t="s">
        <v>60</v>
      </c>
      <c r="AK978" s="1" t="s">
        <v>86</v>
      </c>
      <c r="AL978" s="1" t="s">
        <v>86</v>
      </c>
      <c r="AN978" s="1">
        <v>1</v>
      </c>
      <c r="AO978" s="1">
        <f t="shared" si="94"/>
        <v>1</v>
      </c>
    </row>
    <row r="979" spans="1:41" x14ac:dyDescent="0.4">
      <c r="A979" s="1">
        <v>1</v>
      </c>
      <c r="B979" s="1" t="s">
        <v>1033</v>
      </c>
      <c r="C979" s="1" t="s">
        <v>41</v>
      </c>
      <c r="D979" s="2">
        <v>38792</v>
      </c>
      <c r="E979" s="1">
        <v>75</v>
      </c>
      <c r="F979" s="1">
        <v>4.5</v>
      </c>
      <c r="G979" s="3">
        <v>0.53325231481481483</v>
      </c>
      <c r="H979" s="3">
        <v>0.53332175925925929</v>
      </c>
      <c r="I979" s="3">
        <v>6.94444444444553E-5</v>
      </c>
      <c r="J979" s="3">
        <v>6.94444444444553E-5</v>
      </c>
      <c r="K979" s="5">
        <f t="shared" si="93"/>
        <v>6</v>
      </c>
      <c r="L979" s="3">
        <v>8.101851851851638E-4</v>
      </c>
      <c r="N979" s="1" t="s">
        <v>42</v>
      </c>
      <c r="O979" s="1" t="s">
        <v>43</v>
      </c>
      <c r="P979" s="1" t="s">
        <v>227</v>
      </c>
      <c r="Q979" s="1" t="s">
        <v>76</v>
      </c>
      <c r="S979" s="1" t="s">
        <v>46</v>
      </c>
      <c r="T979" s="1" t="s">
        <v>76</v>
      </c>
      <c r="U979" s="1" t="s">
        <v>66</v>
      </c>
      <c r="V979" s="1" t="s">
        <v>102</v>
      </c>
      <c r="W979" s="1" t="s">
        <v>103</v>
      </c>
      <c r="X979" s="1" t="s">
        <v>121</v>
      </c>
      <c r="AB979" s="1" t="s">
        <v>104</v>
      </c>
      <c r="AC979" s="1">
        <v>0</v>
      </c>
      <c r="AE979" s="1" t="s">
        <v>70</v>
      </c>
      <c r="AF979" s="1" t="s">
        <v>153</v>
      </c>
      <c r="AI979" s="1" t="s">
        <v>71</v>
      </c>
      <c r="AK979" s="1" t="s">
        <v>116</v>
      </c>
      <c r="AL979" s="1" t="s">
        <v>116</v>
      </c>
      <c r="AN979" s="1">
        <v>1</v>
      </c>
      <c r="AO979" s="1">
        <f t="shared" si="94"/>
        <v>1</v>
      </c>
    </row>
    <row r="980" spans="1:41" x14ac:dyDescent="0.4">
      <c r="A980" s="1">
        <v>1</v>
      </c>
      <c r="B980" s="1" t="s">
        <v>1033</v>
      </c>
      <c r="C980" s="1" t="s">
        <v>41</v>
      </c>
      <c r="D980" s="2">
        <v>38792</v>
      </c>
      <c r="E980" s="1">
        <v>75</v>
      </c>
      <c r="F980" s="1">
        <v>4.5999999999999996</v>
      </c>
      <c r="G980" s="3">
        <v>0.53413194444444445</v>
      </c>
      <c r="H980" s="3">
        <v>0.53443287037037035</v>
      </c>
      <c r="I980" s="3">
        <v>3.0092592592589895E-4</v>
      </c>
      <c r="J980" s="3">
        <v>3.0092592592589895E-4</v>
      </c>
      <c r="K980" s="5">
        <f t="shared" si="93"/>
        <v>26</v>
      </c>
      <c r="L980" s="3">
        <v>1.9444444444445264E-3</v>
      </c>
      <c r="N980" s="1" t="s">
        <v>42</v>
      </c>
      <c r="O980" s="1" t="s">
        <v>43</v>
      </c>
      <c r="P980" s="1" t="s">
        <v>227</v>
      </c>
      <c r="S980" s="1" t="s">
        <v>46</v>
      </c>
      <c r="T980" s="1" t="s">
        <v>76</v>
      </c>
      <c r="U980" s="1" t="s">
        <v>66</v>
      </c>
      <c r="V980" s="1" t="s">
        <v>102</v>
      </c>
      <c r="W980" s="1" t="s">
        <v>231</v>
      </c>
      <c r="X980" s="1" t="s">
        <v>121</v>
      </c>
      <c r="AB980" s="1" t="s">
        <v>104</v>
      </c>
      <c r="AC980" s="1">
        <v>0</v>
      </c>
      <c r="AE980" s="1" t="s">
        <v>70</v>
      </c>
      <c r="AI980" s="1" t="s">
        <v>71</v>
      </c>
      <c r="AK980" s="1" t="s">
        <v>61</v>
      </c>
      <c r="AL980" s="1" t="s">
        <v>72</v>
      </c>
      <c r="AN980" s="1">
        <v>1</v>
      </c>
      <c r="AO980" s="1">
        <f t="shared" si="94"/>
        <v>1</v>
      </c>
    </row>
    <row r="981" spans="1:41" x14ac:dyDescent="0.4">
      <c r="A981" s="1">
        <v>1</v>
      </c>
      <c r="B981" s="1" t="s">
        <v>1033</v>
      </c>
      <c r="C981" s="1" t="s">
        <v>41</v>
      </c>
      <c r="D981" s="2">
        <v>38792</v>
      </c>
      <c r="E981" s="1">
        <v>75</v>
      </c>
      <c r="F981" s="1">
        <v>4.7</v>
      </c>
      <c r="G981" s="3">
        <v>0.53637731481481488</v>
      </c>
      <c r="H981" s="3">
        <v>0.53650462962962964</v>
      </c>
      <c r="I981" s="3">
        <v>1.273148148147607E-4</v>
      </c>
      <c r="J981" s="3">
        <v>1.273148148147607E-4</v>
      </c>
      <c r="K981" s="5">
        <f t="shared" si="93"/>
        <v>11</v>
      </c>
      <c r="L981" s="3">
        <v>4.5138888888884843E-4</v>
      </c>
      <c r="N981" s="1" t="s">
        <v>42</v>
      </c>
      <c r="O981" s="1" t="s">
        <v>43</v>
      </c>
      <c r="P981" s="1" t="s">
        <v>227</v>
      </c>
      <c r="Q981" s="1" t="s">
        <v>76</v>
      </c>
      <c r="S981" s="1" t="s">
        <v>46</v>
      </c>
      <c r="T981" s="1" t="s">
        <v>76</v>
      </c>
      <c r="U981" s="1" t="s">
        <v>156</v>
      </c>
      <c r="V981" s="1" t="s">
        <v>102</v>
      </c>
      <c r="W981" s="1" t="s">
        <v>231</v>
      </c>
      <c r="X981" s="1" t="s">
        <v>121</v>
      </c>
      <c r="AB981" s="1" t="s">
        <v>104</v>
      </c>
      <c r="AC981" s="1">
        <v>0</v>
      </c>
      <c r="AE981" s="1" t="s">
        <v>70</v>
      </c>
      <c r="AG981" s="1" t="s">
        <v>1077</v>
      </c>
      <c r="AI981" s="1" t="s">
        <v>75</v>
      </c>
      <c r="AK981" s="1" t="s">
        <v>86</v>
      </c>
      <c r="AL981" s="1" t="s">
        <v>87</v>
      </c>
      <c r="AM981" s="1">
        <v>4</v>
      </c>
      <c r="AN981" s="1">
        <v>0</v>
      </c>
      <c r="AO981" s="1">
        <f t="shared" si="94"/>
        <v>4</v>
      </c>
    </row>
    <row r="982" spans="1:41" x14ac:dyDescent="0.4">
      <c r="A982" s="1">
        <v>1</v>
      </c>
      <c r="B982" s="1" t="s">
        <v>1033</v>
      </c>
      <c r="C982" s="1" t="s">
        <v>41</v>
      </c>
      <c r="D982" s="2">
        <v>38792</v>
      </c>
      <c r="E982" s="1">
        <v>75</v>
      </c>
      <c r="F982" s="1">
        <v>4.8</v>
      </c>
      <c r="G982" s="3">
        <v>0.53695601851851849</v>
      </c>
      <c r="H982" s="3">
        <v>0.53711805555555558</v>
      </c>
      <c r="I982" s="3">
        <v>1.6203703703709937E-4</v>
      </c>
      <c r="J982" s="3">
        <v>1.6203703703709937E-4</v>
      </c>
      <c r="K982" s="5">
        <f t="shared" si="93"/>
        <v>14</v>
      </c>
      <c r="L982" s="3">
        <v>3.9467592592592582E-2</v>
      </c>
      <c r="N982" s="1" t="s">
        <v>42</v>
      </c>
      <c r="O982" s="1" t="s">
        <v>43</v>
      </c>
      <c r="P982" s="1" t="s">
        <v>227</v>
      </c>
      <c r="Q982" s="1" t="s">
        <v>76</v>
      </c>
      <c r="S982" s="1" t="s">
        <v>46</v>
      </c>
      <c r="T982" s="1" t="s">
        <v>76</v>
      </c>
      <c r="U982" s="1" t="s">
        <v>66</v>
      </c>
      <c r="V982" s="1" t="s">
        <v>67</v>
      </c>
      <c r="W982" s="1" t="s">
        <v>68</v>
      </c>
      <c r="Y982" s="1" t="s">
        <v>68</v>
      </c>
      <c r="AB982" s="1" t="s">
        <v>69</v>
      </c>
      <c r="AC982" s="1">
        <v>0</v>
      </c>
      <c r="AD982" s="1" t="s">
        <v>68</v>
      </c>
      <c r="AE982" s="1" t="s">
        <v>70</v>
      </c>
      <c r="AG982" s="1" t="s">
        <v>1077</v>
      </c>
      <c r="AI982" s="1" t="s">
        <v>71</v>
      </c>
      <c r="AK982" s="1" t="s">
        <v>86</v>
      </c>
      <c r="AL982" s="1" t="s">
        <v>87</v>
      </c>
      <c r="AM982" s="1">
        <v>4</v>
      </c>
      <c r="AN982" s="1">
        <v>0</v>
      </c>
      <c r="AO982" s="1">
        <f t="shared" si="94"/>
        <v>4</v>
      </c>
    </row>
    <row r="983" spans="1:41" x14ac:dyDescent="0.4">
      <c r="A983" s="1">
        <v>1</v>
      </c>
      <c r="B983" s="1" t="s">
        <v>1033</v>
      </c>
      <c r="C983" s="1" t="s">
        <v>41</v>
      </c>
      <c r="D983" s="2">
        <v>38792</v>
      </c>
      <c r="E983" s="1">
        <v>75</v>
      </c>
      <c r="F983" s="1">
        <v>4.8499999999999996</v>
      </c>
      <c r="G983" s="3">
        <v>0.57658564814814817</v>
      </c>
      <c r="H983" s="3">
        <v>0.57674768518518515</v>
      </c>
      <c r="I983" s="3">
        <v>1.6203703703698835E-4</v>
      </c>
      <c r="J983" s="3">
        <v>1.6203703703698835E-4</v>
      </c>
      <c r="K983" s="5">
        <f t="shared" si="93"/>
        <v>14</v>
      </c>
      <c r="L983" s="3">
        <v>3.7847222222222587E-3</v>
      </c>
      <c r="N983" s="1" t="s">
        <v>42</v>
      </c>
      <c r="O983" s="1" t="s">
        <v>43</v>
      </c>
      <c r="P983" s="1" t="s">
        <v>227</v>
      </c>
      <c r="Q983" s="1" t="s">
        <v>132</v>
      </c>
      <c r="S983" s="1" t="s">
        <v>46</v>
      </c>
      <c r="T983" s="1" t="s">
        <v>76</v>
      </c>
      <c r="U983" s="1" t="s">
        <v>66</v>
      </c>
      <c r="V983" s="1" t="s">
        <v>102</v>
      </c>
      <c r="W983" s="1" t="s">
        <v>231</v>
      </c>
      <c r="X983" s="1" t="s">
        <v>121</v>
      </c>
      <c r="AB983" s="1" t="s">
        <v>104</v>
      </c>
      <c r="AC983" s="1">
        <v>0</v>
      </c>
      <c r="AE983" s="1" t="s">
        <v>70</v>
      </c>
      <c r="AI983" s="1" t="s">
        <v>71</v>
      </c>
      <c r="AK983" s="1" t="s">
        <v>86</v>
      </c>
      <c r="AL983" s="1" t="s">
        <v>87</v>
      </c>
      <c r="AN983" s="1">
        <v>1</v>
      </c>
      <c r="AO983" s="1">
        <f t="shared" si="94"/>
        <v>1</v>
      </c>
    </row>
    <row r="984" spans="1:41" x14ac:dyDescent="0.4">
      <c r="A984" s="1">
        <v>1</v>
      </c>
      <c r="B984" s="1" t="s">
        <v>1033</v>
      </c>
      <c r="C984" s="1" t="s">
        <v>41</v>
      </c>
      <c r="D984" s="2">
        <v>38792</v>
      </c>
      <c r="E984" s="1">
        <v>75</v>
      </c>
      <c r="F984" s="1">
        <v>4.9000000000000004</v>
      </c>
      <c r="G984" s="3">
        <v>0.58053240740740741</v>
      </c>
      <c r="H984" s="3">
        <v>0.58106481481481487</v>
      </c>
      <c r="I984" s="3">
        <v>5.3240740740745363E-4</v>
      </c>
      <c r="J984" s="3">
        <v>5.3240740740745363E-4</v>
      </c>
      <c r="K984" s="5">
        <f t="shared" si="93"/>
        <v>46</v>
      </c>
      <c r="L984" s="3">
        <v>6.4583333333332327E-3</v>
      </c>
      <c r="N984" s="1" t="s">
        <v>42</v>
      </c>
      <c r="O984" s="1" t="s">
        <v>43</v>
      </c>
      <c r="P984" s="1" t="s">
        <v>227</v>
      </c>
      <c r="S984" s="1" t="s">
        <v>46</v>
      </c>
      <c r="T984" s="1" t="s">
        <v>47</v>
      </c>
      <c r="U984" s="1" t="s">
        <v>66</v>
      </c>
      <c r="V984" s="1" t="s">
        <v>102</v>
      </c>
      <c r="W984" s="1" t="s">
        <v>231</v>
      </c>
      <c r="X984" s="1" t="s">
        <v>121</v>
      </c>
      <c r="AB984" s="1" t="s">
        <v>104</v>
      </c>
      <c r="AC984" s="1">
        <v>0</v>
      </c>
      <c r="AE984" s="1" t="s">
        <v>70</v>
      </c>
      <c r="AI984" s="1" t="s">
        <v>71</v>
      </c>
      <c r="AK984" s="1" t="s">
        <v>61</v>
      </c>
      <c r="AL984" s="1" t="s">
        <v>61</v>
      </c>
      <c r="AN984" s="1">
        <v>1</v>
      </c>
      <c r="AO984" s="1">
        <f t="shared" si="94"/>
        <v>1</v>
      </c>
    </row>
    <row r="985" spans="1:41" x14ac:dyDescent="0.4">
      <c r="A985" s="1">
        <v>1</v>
      </c>
      <c r="B985" s="1" t="s">
        <v>1033</v>
      </c>
      <c r="C985" s="1" t="s">
        <v>41</v>
      </c>
      <c r="D985" s="2">
        <v>38792</v>
      </c>
      <c r="E985" s="1">
        <v>75</v>
      </c>
      <c r="F985" s="1">
        <v>4.92</v>
      </c>
      <c r="G985" s="3">
        <v>0.5875231481481481</v>
      </c>
      <c r="H985" s="3">
        <v>0.58785879629629634</v>
      </c>
      <c r="I985" s="3">
        <v>3.3564814814823762E-4</v>
      </c>
      <c r="J985" s="3">
        <v>3.3564814814823762E-4</v>
      </c>
      <c r="K985" s="5">
        <f t="shared" si="93"/>
        <v>29</v>
      </c>
      <c r="L985" s="3">
        <v>3.9120370370370194E-3</v>
      </c>
      <c r="N985" s="1" t="s">
        <v>42</v>
      </c>
      <c r="O985" s="1" t="s">
        <v>43</v>
      </c>
      <c r="P985" s="1" t="s">
        <v>227</v>
      </c>
      <c r="Q985" s="1" t="s">
        <v>45</v>
      </c>
      <c r="S985" s="1" t="s">
        <v>46</v>
      </c>
      <c r="T985" s="1" t="s">
        <v>76</v>
      </c>
      <c r="U985" s="1" t="s">
        <v>66</v>
      </c>
      <c r="V985" s="1" t="s">
        <v>102</v>
      </c>
      <c r="W985" s="1" t="s">
        <v>231</v>
      </c>
      <c r="X985" s="1" t="s">
        <v>121</v>
      </c>
      <c r="AB985" s="1" t="s">
        <v>104</v>
      </c>
      <c r="AC985" s="1">
        <v>0</v>
      </c>
      <c r="AE985" s="1" t="s">
        <v>70</v>
      </c>
      <c r="AI985" s="1" t="s">
        <v>71</v>
      </c>
      <c r="AK985" s="1" t="s">
        <v>86</v>
      </c>
      <c r="AL985" s="1" t="s">
        <v>87</v>
      </c>
      <c r="AN985" s="1">
        <v>1</v>
      </c>
      <c r="AO985" s="1">
        <f t="shared" si="94"/>
        <v>1</v>
      </c>
    </row>
    <row r="986" spans="1:41" x14ac:dyDescent="0.4">
      <c r="A986" s="1">
        <v>1</v>
      </c>
      <c r="B986" s="1" t="s">
        <v>1033</v>
      </c>
      <c r="C986" s="1" t="s">
        <v>41</v>
      </c>
      <c r="D986" s="2">
        <v>38792</v>
      </c>
      <c r="E986" s="1">
        <v>75</v>
      </c>
      <c r="F986" s="1">
        <v>4.95</v>
      </c>
      <c r="G986" s="3">
        <v>0.59177083333333336</v>
      </c>
      <c r="H986" s="3">
        <v>0.59195601851851853</v>
      </c>
      <c r="I986" s="3">
        <v>1.8518518518517713E-4</v>
      </c>
      <c r="J986" s="3">
        <v>1.8518518518517713E-4</v>
      </c>
      <c r="K986" s="5">
        <f t="shared" si="93"/>
        <v>16</v>
      </c>
      <c r="L986" s="3">
        <v>6.3541666666666607E-3</v>
      </c>
      <c r="N986" s="1" t="s">
        <v>42</v>
      </c>
      <c r="O986" s="1" t="s">
        <v>43</v>
      </c>
      <c r="P986" s="1" t="s">
        <v>227</v>
      </c>
      <c r="Q986" s="1" t="s">
        <v>45</v>
      </c>
      <c r="S986" s="1" t="s">
        <v>46</v>
      </c>
      <c r="T986" s="1" t="s">
        <v>76</v>
      </c>
      <c r="U986" s="1" t="s">
        <v>156</v>
      </c>
      <c r="V986" s="1" t="s">
        <v>67</v>
      </c>
      <c r="W986" s="1" t="s">
        <v>68</v>
      </c>
      <c r="Y986" s="1" t="s">
        <v>68</v>
      </c>
      <c r="AB986" s="1" t="s">
        <v>69</v>
      </c>
      <c r="AC986" s="1">
        <v>0</v>
      </c>
      <c r="AD986" s="1" t="s">
        <v>68</v>
      </c>
      <c r="AE986" s="1" t="s">
        <v>70</v>
      </c>
      <c r="AI986" s="1" t="s">
        <v>75</v>
      </c>
      <c r="AK986" s="1" t="s">
        <v>86</v>
      </c>
      <c r="AL986" s="1" t="s">
        <v>87</v>
      </c>
      <c r="AN986" s="1">
        <v>1</v>
      </c>
      <c r="AO986" s="1">
        <f t="shared" si="94"/>
        <v>1</v>
      </c>
    </row>
    <row r="987" spans="1:41" x14ac:dyDescent="0.4">
      <c r="A987" s="1">
        <v>1</v>
      </c>
      <c r="B987" s="1" t="s">
        <v>1033</v>
      </c>
      <c r="C987" s="1" t="s">
        <v>41</v>
      </c>
      <c r="D987" s="2">
        <v>38792</v>
      </c>
      <c r="E987" s="1">
        <v>75</v>
      </c>
      <c r="F987" s="1">
        <v>4.97</v>
      </c>
      <c r="G987" s="3">
        <v>0.59831018518518519</v>
      </c>
      <c r="H987" s="3">
        <v>0.5985300925925926</v>
      </c>
      <c r="I987" s="3">
        <v>2.1990740740740478E-4</v>
      </c>
      <c r="J987" s="3">
        <v>2.1990740740740478E-4</v>
      </c>
      <c r="K987" s="5">
        <f t="shared" si="93"/>
        <v>19</v>
      </c>
      <c r="L987" s="3">
        <v>2.6597222222222161E-2</v>
      </c>
      <c r="N987" s="1" t="s">
        <v>42</v>
      </c>
      <c r="O987" s="1" t="s">
        <v>43</v>
      </c>
      <c r="P987" s="1" t="s">
        <v>227</v>
      </c>
      <c r="S987" s="1" t="s">
        <v>46</v>
      </c>
      <c r="T987" s="1" t="s">
        <v>45</v>
      </c>
      <c r="U987" s="1" t="s">
        <v>92</v>
      </c>
      <c r="V987" s="1" t="s">
        <v>67</v>
      </c>
      <c r="W987" s="1" t="s">
        <v>68</v>
      </c>
      <c r="Y987" s="1" t="s">
        <v>68</v>
      </c>
      <c r="AB987" s="1" t="s">
        <v>69</v>
      </c>
      <c r="AC987" s="1">
        <v>0</v>
      </c>
      <c r="AD987" s="1" t="s">
        <v>68</v>
      </c>
      <c r="AE987" s="1" t="s">
        <v>70</v>
      </c>
      <c r="AI987" s="1" t="s">
        <v>75</v>
      </c>
      <c r="AK987" s="1" t="s">
        <v>86</v>
      </c>
      <c r="AL987" s="1" t="s">
        <v>187</v>
      </c>
      <c r="AN987" s="1">
        <v>1</v>
      </c>
      <c r="AO987" s="1">
        <f t="shared" si="94"/>
        <v>1</v>
      </c>
    </row>
    <row r="988" spans="1:41" x14ac:dyDescent="0.4">
      <c r="A988" s="1">
        <v>1</v>
      </c>
      <c r="B988" s="1" t="s">
        <v>1033</v>
      </c>
      <c r="C988" s="1" t="s">
        <v>41</v>
      </c>
      <c r="D988" s="2">
        <v>38792</v>
      </c>
      <c r="E988" s="1">
        <v>75</v>
      </c>
      <c r="F988" s="1">
        <v>5</v>
      </c>
      <c r="G988" s="3">
        <v>0.62512731481481476</v>
      </c>
      <c r="H988" s="3">
        <v>0.63537037037037036</v>
      </c>
      <c r="I988" s="3">
        <v>1.0243055555555602E-2</v>
      </c>
      <c r="J988" s="3">
        <v>1.0243055555555602E-2</v>
      </c>
      <c r="K988" s="5">
        <f t="shared" si="93"/>
        <v>885</v>
      </c>
      <c r="L988" s="3">
        <v>1.041666666666663E-2</v>
      </c>
      <c r="N988" s="1" t="s">
        <v>42</v>
      </c>
      <c r="O988" s="1" t="s">
        <v>43</v>
      </c>
      <c r="P988" s="1" t="s">
        <v>227</v>
      </c>
      <c r="Q988" s="1" t="s">
        <v>76</v>
      </c>
      <c r="S988" s="1" t="s">
        <v>46</v>
      </c>
      <c r="T988" s="1" t="s">
        <v>47</v>
      </c>
      <c r="U988" s="1" t="s">
        <v>66</v>
      </c>
      <c r="V988" s="1" t="s">
        <v>49</v>
      </c>
      <c r="W988" s="1" t="s">
        <v>50</v>
      </c>
      <c r="X988" s="1" t="s">
        <v>951</v>
      </c>
      <c r="Y988" s="1" t="s">
        <v>159</v>
      </c>
      <c r="Z988" s="1" t="s">
        <v>160</v>
      </c>
      <c r="AA988" s="1" t="s">
        <v>952</v>
      </c>
      <c r="AB988" s="1" t="s">
        <v>953</v>
      </c>
      <c r="AC988" s="1">
        <v>0</v>
      </c>
      <c r="AD988" s="1" t="s">
        <v>56</v>
      </c>
      <c r="AE988" s="1" t="s">
        <v>83</v>
      </c>
      <c r="AF988" s="1" t="s">
        <v>113</v>
      </c>
      <c r="AG988" s="1" t="s">
        <v>1049</v>
      </c>
      <c r="AH988" s="1" t="s">
        <v>165</v>
      </c>
      <c r="AI988" s="1" t="s">
        <v>71</v>
      </c>
      <c r="AK988" s="1" t="s">
        <v>116</v>
      </c>
      <c r="AL988" s="1" t="s">
        <v>117</v>
      </c>
      <c r="AM988" s="1">
        <v>5</v>
      </c>
      <c r="AN988" s="1">
        <v>0</v>
      </c>
      <c r="AO988" s="1">
        <f t="shared" si="94"/>
        <v>5</v>
      </c>
    </row>
    <row r="989" spans="1:41" x14ac:dyDescent="0.4">
      <c r="A989" s="1">
        <v>1</v>
      </c>
      <c r="B989" s="1" t="s">
        <v>1033</v>
      </c>
      <c r="C989" s="1" t="s">
        <v>41</v>
      </c>
      <c r="D989" s="2">
        <v>38792</v>
      </c>
      <c r="E989" s="1">
        <v>75</v>
      </c>
      <c r="F989" s="1">
        <v>6</v>
      </c>
      <c r="G989" s="3">
        <v>0.64578703703703699</v>
      </c>
      <c r="H989" s="3">
        <v>0.64620370370370372</v>
      </c>
      <c r="I989" s="3">
        <v>4.166666666667318E-4</v>
      </c>
      <c r="J989" s="3">
        <v>4.166666666667318E-4</v>
      </c>
      <c r="K989" s="5">
        <f t="shared" si="93"/>
        <v>36</v>
      </c>
      <c r="L989" s="3">
        <v>2.3495370370369972E-3</v>
      </c>
      <c r="N989" s="1" t="s">
        <v>42</v>
      </c>
      <c r="O989" s="1" t="s">
        <v>43</v>
      </c>
      <c r="P989" s="1" t="s">
        <v>227</v>
      </c>
      <c r="Q989" s="1" t="s">
        <v>45</v>
      </c>
      <c r="S989" s="1" t="s">
        <v>46</v>
      </c>
      <c r="T989" s="1" t="s">
        <v>76</v>
      </c>
      <c r="U989" s="1" t="s">
        <v>66</v>
      </c>
      <c r="V989" s="1" t="s">
        <v>102</v>
      </c>
      <c r="W989" s="1" t="s">
        <v>103</v>
      </c>
      <c r="X989" s="1" t="s">
        <v>96</v>
      </c>
      <c r="Y989" s="1">
        <v>24</v>
      </c>
      <c r="AB989" s="1" t="s">
        <v>1078</v>
      </c>
      <c r="AC989" s="1">
        <v>0</v>
      </c>
      <c r="AD989" s="1" t="s">
        <v>105</v>
      </c>
      <c r="AE989" s="1" t="s">
        <v>70</v>
      </c>
      <c r="AG989" s="1" t="s">
        <v>1079</v>
      </c>
      <c r="AI989" s="1" t="s">
        <v>71</v>
      </c>
      <c r="AK989" s="1" t="s">
        <v>61</v>
      </c>
      <c r="AL989" s="1" t="s">
        <v>61</v>
      </c>
      <c r="AM989" s="1">
        <v>2</v>
      </c>
      <c r="AN989" s="1">
        <v>0</v>
      </c>
      <c r="AO989" s="1">
        <f t="shared" si="94"/>
        <v>2</v>
      </c>
    </row>
    <row r="990" spans="1:41" x14ac:dyDescent="0.4">
      <c r="A990" s="1">
        <v>1</v>
      </c>
      <c r="B990" s="1" t="s">
        <v>1033</v>
      </c>
      <c r="C990" s="1" t="s">
        <v>41</v>
      </c>
      <c r="D990" s="2">
        <v>38792</v>
      </c>
      <c r="E990" s="1">
        <v>75</v>
      </c>
      <c r="F990" s="1">
        <v>7</v>
      </c>
      <c r="G990" s="3">
        <v>0.64855324074074072</v>
      </c>
      <c r="H990" s="3">
        <v>0.64909722222222221</v>
      </c>
      <c r="I990" s="3">
        <v>5.439814814814925E-4</v>
      </c>
      <c r="J990" s="3">
        <v>5.439814814814925E-4</v>
      </c>
      <c r="K990" s="5">
        <f t="shared" si="93"/>
        <v>47</v>
      </c>
      <c r="L990" s="3">
        <v>5.532407407407347E-3</v>
      </c>
      <c r="N990" s="1" t="s">
        <v>42</v>
      </c>
      <c r="O990" s="1" t="s">
        <v>43</v>
      </c>
      <c r="P990" s="1" t="s">
        <v>227</v>
      </c>
      <c r="Q990" s="1" t="s">
        <v>76</v>
      </c>
      <c r="S990" s="1" t="s">
        <v>46</v>
      </c>
      <c r="T990" s="1" t="s">
        <v>191</v>
      </c>
      <c r="U990" s="1" t="s">
        <v>66</v>
      </c>
      <c r="V990" s="1" t="s">
        <v>102</v>
      </c>
      <c r="W990" s="1" t="s">
        <v>103</v>
      </c>
      <c r="X990" s="1" t="s">
        <v>96</v>
      </c>
      <c r="Y990" s="1">
        <v>23</v>
      </c>
      <c r="AB990" s="1" t="s">
        <v>1080</v>
      </c>
      <c r="AC990" s="1">
        <v>0</v>
      </c>
      <c r="AD990" s="1" t="s">
        <v>1081</v>
      </c>
      <c r="AE990" s="1" t="s">
        <v>70</v>
      </c>
      <c r="AG990" s="1" t="s">
        <v>1082</v>
      </c>
      <c r="AI990" s="1" t="s">
        <v>71</v>
      </c>
      <c r="AK990" s="1" t="s">
        <v>86</v>
      </c>
      <c r="AL990" s="1" t="s">
        <v>87</v>
      </c>
      <c r="AM990" s="1">
        <v>2</v>
      </c>
      <c r="AN990" s="1">
        <v>0</v>
      </c>
      <c r="AO990" s="1">
        <f t="shared" si="94"/>
        <v>2</v>
      </c>
    </row>
    <row r="991" spans="1:41" x14ac:dyDescent="0.4">
      <c r="A991" s="1">
        <v>1</v>
      </c>
      <c r="B991" s="1" t="s">
        <v>1033</v>
      </c>
      <c r="C991" s="1" t="s">
        <v>41</v>
      </c>
      <c r="D991" s="2">
        <v>38792</v>
      </c>
      <c r="E991" s="1">
        <v>75</v>
      </c>
      <c r="F991" s="1">
        <v>7.2</v>
      </c>
      <c r="G991" s="3">
        <v>0.65462962962962956</v>
      </c>
      <c r="H991" s="3">
        <v>0.65506944444444437</v>
      </c>
      <c r="I991" s="3">
        <v>4.3981481481480955E-4</v>
      </c>
      <c r="J991" s="3">
        <v>4.3981481481480955E-4</v>
      </c>
      <c r="K991" s="5">
        <f t="shared" si="93"/>
        <v>38</v>
      </c>
      <c r="L991" s="3">
        <v>3.3217592592593714E-3</v>
      </c>
      <c r="N991" s="1" t="s">
        <v>42</v>
      </c>
      <c r="O991" s="1" t="s">
        <v>43</v>
      </c>
      <c r="P991" s="1" t="s">
        <v>227</v>
      </c>
      <c r="Q991" s="1" t="s">
        <v>76</v>
      </c>
      <c r="S991" s="1" t="s">
        <v>46</v>
      </c>
      <c r="T991" s="1" t="s">
        <v>76</v>
      </c>
      <c r="U991" s="1" t="s">
        <v>66</v>
      </c>
      <c r="V991" s="1" t="s">
        <v>102</v>
      </c>
      <c r="W991" s="1" t="s">
        <v>184</v>
      </c>
      <c r="X991" s="1" t="s">
        <v>96</v>
      </c>
      <c r="AB991" s="1" t="s">
        <v>104</v>
      </c>
      <c r="AC991" s="1">
        <v>0</v>
      </c>
      <c r="AE991" s="1" t="s">
        <v>70</v>
      </c>
      <c r="AF991" s="1" t="s">
        <v>153</v>
      </c>
      <c r="AI991" s="1" t="s">
        <v>71</v>
      </c>
      <c r="AK991" s="1" t="s">
        <v>116</v>
      </c>
      <c r="AL991" s="1" t="s">
        <v>117</v>
      </c>
      <c r="AN991" s="1">
        <v>1</v>
      </c>
      <c r="AO991" s="1">
        <f t="shared" si="94"/>
        <v>1</v>
      </c>
    </row>
    <row r="992" spans="1:41" x14ac:dyDescent="0.4">
      <c r="A992" s="1">
        <v>1</v>
      </c>
      <c r="B992" s="1" t="s">
        <v>1033</v>
      </c>
      <c r="C992" s="1" t="s">
        <v>41</v>
      </c>
      <c r="D992" s="2">
        <v>38792</v>
      </c>
      <c r="E992" s="1">
        <v>75</v>
      </c>
      <c r="F992" s="1">
        <v>7.5</v>
      </c>
      <c r="G992" s="3">
        <v>0.65839120370370374</v>
      </c>
      <c r="H992" s="3">
        <v>0.65909722222222222</v>
      </c>
      <c r="I992" s="3">
        <v>7.0601851851848085E-4</v>
      </c>
      <c r="J992" s="3">
        <v>4.2824074074077068E-4</v>
      </c>
      <c r="K992" s="5">
        <f t="shared" si="93"/>
        <v>37</v>
      </c>
      <c r="L992" s="3">
        <v>9.490740740740744E-4</v>
      </c>
      <c r="N992" s="1" t="s">
        <v>42</v>
      </c>
      <c r="O992" s="1" t="s">
        <v>43</v>
      </c>
      <c r="P992" s="1" t="s">
        <v>227</v>
      </c>
      <c r="Q992" s="1" t="s">
        <v>76</v>
      </c>
      <c r="S992" s="1" t="s">
        <v>46</v>
      </c>
      <c r="T992" s="1" t="s">
        <v>76</v>
      </c>
      <c r="U992" s="1" t="s">
        <v>66</v>
      </c>
      <c r="V992" s="1" t="s">
        <v>102</v>
      </c>
      <c r="W992" s="1" t="s">
        <v>231</v>
      </c>
      <c r="X992" s="1" t="s">
        <v>96</v>
      </c>
      <c r="AB992" s="1" t="s">
        <v>104</v>
      </c>
      <c r="AC992" s="1">
        <v>0</v>
      </c>
      <c r="AE992" s="1" t="s">
        <v>70</v>
      </c>
      <c r="AG992" s="1" t="s">
        <v>1034</v>
      </c>
      <c r="AI992" s="1" t="s">
        <v>71</v>
      </c>
      <c r="AK992" s="1" t="s">
        <v>61</v>
      </c>
      <c r="AL992" s="1" t="s">
        <v>72</v>
      </c>
      <c r="AM992" s="1">
        <v>6</v>
      </c>
      <c r="AN992" s="1">
        <v>0</v>
      </c>
      <c r="AO992" s="1">
        <f t="shared" si="94"/>
        <v>6</v>
      </c>
    </row>
    <row r="993" spans="1:41" x14ac:dyDescent="0.4">
      <c r="A993" s="1">
        <v>1</v>
      </c>
      <c r="B993" s="1" t="s">
        <v>1033</v>
      </c>
      <c r="C993" s="1" t="s">
        <v>41</v>
      </c>
      <c r="D993" s="2">
        <v>38792</v>
      </c>
      <c r="E993" s="1">
        <v>75</v>
      </c>
      <c r="F993" s="1">
        <v>7.6</v>
      </c>
      <c r="G993" s="3">
        <v>0.6600462962962963</v>
      </c>
      <c r="H993" s="3">
        <v>0.66115740740740747</v>
      </c>
      <c r="I993" s="3">
        <v>1.1111111111111738E-3</v>
      </c>
      <c r="J993" s="3">
        <v>8.4490740740739145E-4</v>
      </c>
      <c r="K993" s="5">
        <f t="shared" si="93"/>
        <v>73</v>
      </c>
      <c r="L993" s="3">
        <v>1.1956018518518463E-2</v>
      </c>
      <c r="N993" s="1" t="s">
        <v>42</v>
      </c>
      <c r="O993" s="1" t="s">
        <v>43</v>
      </c>
      <c r="P993" s="1" t="s">
        <v>227</v>
      </c>
      <c r="Q993" s="1" t="s">
        <v>76</v>
      </c>
      <c r="S993" s="1" t="s">
        <v>46</v>
      </c>
      <c r="T993" s="1" t="s">
        <v>76</v>
      </c>
      <c r="U993" s="1" t="s">
        <v>66</v>
      </c>
      <c r="V993" s="1" t="s">
        <v>102</v>
      </c>
      <c r="W993" s="1" t="s">
        <v>231</v>
      </c>
      <c r="X993" s="1" t="s">
        <v>96</v>
      </c>
      <c r="AB993" s="1" t="s">
        <v>104</v>
      </c>
      <c r="AC993" s="1">
        <v>0</v>
      </c>
      <c r="AE993" s="1" t="s">
        <v>70</v>
      </c>
      <c r="AI993" s="1" t="s">
        <v>71</v>
      </c>
      <c r="AK993" s="1" t="s">
        <v>61</v>
      </c>
      <c r="AL993" s="1" t="s">
        <v>72</v>
      </c>
      <c r="AN993" s="1">
        <v>1</v>
      </c>
      <c r="AO993" s="1">
        <f t="shared" si="94"/>
        <v>1</v>
      </c>
    </row>
    <row r="994" spans="1:41" x14ac:dyDescent="0.4">
      <c r="A994" s="1">
        <v>1</v>
      </c>
      <c r="B994" s="1" t="s">
        <v>1033</v>
      </c>
      <c r="C994" s="1" t="s">
        <v>41</v>
      </c>
      <c r="D994" s="2">
        <v>38792</v>
      </c>
      <c r="E994" s="1">
        <v>75</v>
      </c>
      <c r="F994" s="1">
        <v>8</v>
      </c>
      <c r="G994" s="3">
        <v>0.67311342592592593</v>
      </c>
      <c r="H994" s="3">
        <v>0.67640046296296286</v>
      </c>
      <c r="I994" s="3">
        <v>3.2870370370369217E-3</v>
      </c>
      <c r="J994" s="3">
        <v>2.4768518518517579E-3</v>
      </c>
      <c r="K994" s="5">
        <f t="shared" si="93"/>
        <v>214</v>
      </c>
      <c r="L994" s="3">
        <v>1.0486111111111196E-2</v>
      </c>
      <c r="N994" s="1" t="s">
        <v>42</v>
      </c>
      <c r="O994" s="1" t="s">
        <v>43</v>
      </c>
      <c r="P994" s="1" t="s">
        <v>227</v>
      </c>
      <c r="Q994" s="1" t="s">
        <v>45</v>
      </c>
      <c r="S994" s="1" t="s">
        <v>46</v>
      </c>
      <c r="T994" s="1" t="s">
        <v>45</v>
      </c>
      <c r="U994" s="1" t="s">
        <v>66</v>
      </c>
      <c r="V994" s="1" t="s">
        <v>102</v>
      </c>
      <c r="W994" s="1" t="s">
        <v>103</v>
      </c>
      <c r="X994" s="1" t="s">
        <v>96</v>
      </c>
      <c r="AB994" s="1" t="s">
        <v>104</v>
      </c>
      <c r="AC994" s="1">
        <v>0</v>
      </c>
      <c r="AD994" s="1" t="s">
        <v>56</v>
      </c>
      <c r="AE994" s="1" t="s">
        <v>70</v>
      </c>
      <c r="AF994" s="1" t="s">
        <v>84</v>
      </c>
      <c r="AG994" s="1" t="s">
        <v>1083</v>
      </c>
      <c r="AH994" s="1" t="s">
        <v>157</v>
      </c>
      <c r="AI994" s="1" t="s">
        <v>71</v>
      </c>
      <c r="AK994" s="1" t="s">
        <v>61</v>
      </c>
      <c r="AL994" s="1" t="s">
        <v>72</v>
      </c>
      <c r="AM994" s="1">
        <v>1</v>
      </c>
      <c r="AN994" s="1">
        <v>0</v>
      </c>
      <c r="AO994" s="1">
        <f t="shared" si="94"/>
        <v>1</v>
      </c>
    </row>
    <row r="995" spans="1:41" x14ac:dyDescent="0.4">
      <c r="A995" s="1">
        <v>1</v>
      </c>
      <c r="B995" s="1" t="s">
        <v>1033</v>
      </c>
      <c r="C995" s="1" t="s">
        <v>41</v>
      </c>
      <c r="D995" s="2">
        <v>38792</v>
      </c>
      <c r="E995" s="1">
        <v>75</v>
      </c>
      <c r="F995" s="1">
        <v>9</v>
      </c>
      <c r="G995" s="3">
        <v>0.68688657407407405</v>
      </c>
      <c r="H995" s="3">
        <v>0.68761574074074072</v>
      </c>
      <c r="I995" s="3">
        <v>7.2916666666666963E-4</v>
      </c>
      <c r="J995" s="3">
        <v>7.2916666666666963E-4</v>
      </c>
      <c r="K995" s="5">
        <f t="shared" si="93"/>
        <v>63</v>
      </c>
      <c r="L995" s="3">
        <v>9.606481481482243E-4</v>
      </c>
      <c r="N995" s="1" t="s">
        <v>42</v>
      </c>
      <c r="O995" s="1" t="s">
        <v>43</v>
      </c>
      <c r="P995" s="1" t="s">
        <v>227</v>
      </c>
      <c r="Q995" s="1" t="s">
        <v>76</v>
      </c>
      <c r="S995" s="1" t="s">
        <v>46</v>
      </c>
      <c r="T995" s="1" t="s">
        <v>45</v>
      </c>
      <c r="V995" s="1" t="s">
        <v>49</v>
      </c>
      <c r="W995" s="1" t="s">
        <v>50</v>
      </c>
      <c r="X995" s="1" t="s">
        <v>464</v>
      </c>
      <c r="Y995" s="1" t="s">
        <v>347</v>
      </c>
      <c r="Z995" s="1" t="s">
        <v>348</v>
      </c>
      <c r="AA995" s="1" t="s">
        <v>465</v>
      </c>
      <c r="AB995" s="1" t="s">
        <v>466</v>
      </c>
      <c r="AC995" s="1">
        <v>0</v>
      </c>
      <c r="AD995" s="1" t="s">
        <v>56</v>
      </c>
      <c r="AE995" s="1" t="s">
        <v>83</v>
      </c>
      <c r="AF995" s="1" t="s">
        <v>153</v>
      </c>
      <c r="AG995" s="1" t="s">
        <v>1054</v>
      </c>
      <c r="AH995" s="1" t="s">
        <v>115</v>
      </c>
      <c r="AK995" s="1" t="s">
        <v>116</v>
      </c>
      <c r="AL995" s="1" t="s">
        <v>174</v>
      </c>
      <c r="AM995" s="1">
        <v>5</v>
      </c>
      <c r="AN995" s="1">
        <v>0</v>
      </c>
      <c r="AO995" s="1">
        <f t="shared" si="94"/>
        <v>5</v>
      </c>
    </row>
    <row r="996" spans="1:41" x14ac:dyDescent="0.4">
      <c r="A996" s="1">
        <v>1</v>
      </c>
      <c r="B996" s="1" t="s">
        <v>1033</v>
      </c>
      <c r="C996" s="1" t="s">
        <v>41</v>
      </c>
      <c r="D996" s="2">
        <v>38792</v>
      </c>
      <c r="E996" s="1">
        <v>75</v>
      </c>
      <c r="F996" s="1">
        <v>10</v>
      </c>
      <c r="G996" s="3">
        <v>0.68857638888888895</v>
      </c>
      <c r="H996" s="3">
        <v>0.69136574074074064</v>
      </c>
      <c r="I996" s="3">
        <v>2.7893518518516958E-3</v>
      </c>
      <c r="J996" s="3">
        <v>1.9097222222220767E-3</v>
      </c>
      <c r="K996" s="5">
        <f t="shared" si="93"/>
        <v>165</v>
      </c>
      <c r="L996" s="3">
        <v>1.3078703703703787E-2</v>
      </c>
      <c r="N996" s="1" t="s">
        <v>42</v>
      </c>
      <c r="O996" s="1" t="s">
        <v>43</v>
      </c>
      <c r="P996" s="1" t="s">
        <v>227</v>
      </c>
      <c r="Q996" s="1" t="s">
        <v>76</v>
      </c>
      <c r="S996" s="1" t="s">
        <v>46</v>
      </c>
      <c r="T996" s="1" t="s">
        <v>45</v>
      </c>
      <c r="U996" s="1" t="s">
        <v>66</v>
      </c>
      <c r="V996" s="1" t="s">
        <v>49</v>
      </c>
      <c r="W996" s="1" t="s">
        <v>233</v>
      </c>
      <c r="X996" s="1" t="s">
        <v>906</v>
      </c>
      <c r="Y996" s="1" t="s">
        <v>235</v>
      </c>
      <c r="Z996" s="1" t="s">
        <v>236</v>
      </c>
      <c r="AA996" s="1" t="s">
        <v>221</v>
      </c>
      <c r="AB996" s="1" t="s">
        <v>237</v>
      </c>
      <c r="AC996" s="1">
        <v>0</v>
      </c>
      <c r="AD996" s="1" t="s">
        <v>56</v>
      </c>
      <c r="AE996" s="1" t="s">
        <v>83</v>
      </c>
      <c r="AG996" s="1" t="s">
        <v>1084</v>
      </c>
      <c r="AH996" s="1" t="s">
        <v>206</v>
      </c>
      <c r="AI996" s="1" t="s">
        <v>71</v>
      </c>
      <c r="AK996" s="1" t="s">
        <v>61</v>
      </c>
      <c r="AL996" s="1" t="s">
        <v>72</v>
      </c>
      <c r="AM996" s="1">
        <v>3</v>
      </c>
      <c r="AN996" s="1">
        <v>0</v>
      </c>
      <c r="AO996" s="1">
        <f t="shared" si="94"/>
        <v>3</v>
      </c>
    </row>
    <row r="997" spans="1:41" x14ac:dyDescent="0.4">
      <c r="A997" s="1">
        <v>1</v>
      </c>
      <c r="B997" s="1" t="s">
        <v>1033</v>
      </c>
      <c r="C997" s="1" t="s">
        <v>41</v>
      </c>
      <c r="D997" s="2">
        <v>38792</v>
      </c>
      <c r="E997" s="1">
        <v>75</v>
      </c>
      <c r="F997" s="1">
        <v>11</v>
      </c>
      <c r="G997" s="3">
        <v>0.70444444444444443</v>
      </c>
      <c r="H997" s="3">
        <v>0.7047106481481481</v>
      </c>
      <c r="I997" s="3">
        <v>2.662037037036713E-4</v>
      </c>
      <c r="J997" s="3">
        <v>2.662037037036713E-4</v>
      </c>
      <c r="K997" s="5">
        <f t="shared" si="93"/>
        <v>23</v>
      </c>
      <c r="L997" s="3" t="s">
        <v>120</v>
      </c>
      <c r="N997" s="1" t="s">
        <v>42</v>
      </c>
      <c r="O997" s="1" t="s">
        <v>43</v>
      </c>
      <c r="P997" s="1" t="s">
        <v>227</v>
      </c>
      <c r="Q997" s="1" t="s">
        <v>76</v>
      </c>
      <c r="S997" s="1" t="s">
        <v>46</v>
      </c>
      <c r="T997" s="1" t="s">
        <v>76</v>
      </c>
      <c r="U997" s="1" t="s">
        <v>66</v>
      </c>
      <c r="V997" s="1" t="s">
        <v>102</v>
      </c>
      <c r="W997" s="1" t="s">
        <v>231</v>
      </c>
      <c r="X997" s="1" t="s">
        <v>121</v>
      </c>
      <c r="AB997" s="1" t="s">
        <v>104</v>
      </c>
      <c r="AC997" s="1">
        <v>0</v>
      </c>
      <c r="AE997" s="1" t="s">
        <v>70</v>
      </c>
      <c r="AF997" s="1" t="s">
        <v>153</v>
      </c>
      <c r="AG997" s="1" t="s">
        <v>1085</v>
      </c>
      <c r="AI997" s="1" t="s">
        <v>71</v>
      </c>
      <c r="AK997" s="1" t="s">
        <v>86</v>
      </c>
      <c r="AL997" s="1" t="s">
        <v>86</v>
      </c>
      <c r="AM997" s="1">
        <v>3</v>
      </c>
      <c r="AN997" s="1">
        <v>0</v>
      </c>
      <c r="AO997" s="1">
        <f t="shared" si="94"/>
        <v>3</v>
      </c>
    </row>
    <row r="998" spans="1:41" x14ac:dyDescent="0.4">
      <c r="A998" s="1">
        <v>1</v>
      </c>
      <c r="B998" s="1" t="s">
        <v>1033</v>
      </c>
      <c r="C998" s="1" t="s">
        <v>41</v>
      </c>
      <c r="D998" s="2">
        <v>38799</v>
      </c>
      <c r="E998" s="1">
        <v>82</v>
      </c>
      <c r="F998" s="1">
        <v>2</v>
      </c>
      <c r="G998" s="3">
        <v>0.28151620370370373</v>
      </c>
      <c r="H998" s="3">
        <v>0.28393518518518518</v>
      </c>
      <c r="I998" s="3">
        <v>2.4189814814814525E-3</v>
      </c>
      <c r="J998" s="3">
        <v>2.4189814814814525E-3</v>
      </c>
      <c r="K998" s="5">
        <f t="shared" si="93"/>
        <v>209</v>
      </c>
      <c r="L998" s="3">
        <v>1.8958333333333355E-2</v>
      </c>
      <c r="N998" s="1" t="s">
        <v>75</v>
      </c>
      <c r="O998" s="1" t="s">
        <v>43</v>
      </c>
      <c r="P998" s="1" t="s">
        <v>227</v>
      </c>
      <c r="Q998" s="1" t="s">
        <v>191</v>
      </c>
      <c r="S998" s="1" t="s">
        <v>46</v>
      </c>
      <c r="T998" s="1" t="s">
        <v>45</v>
      </c>
      <c r="U998" s="1" t="s">
        <v>66</v>
      </c>
      <c r="V998" s="1" t="s">
        <v>49</v>
      </c>
      <c r="W998" s="1" t="s">
        <v>77</v>
      </c>
      <c r="X998" s="1" t="s">
        <v>522</v>
      </c>
      <c r="Y998" s="1" t="s">
        <v>79</v>
      </c>
      <c r="Z998" s="1" t="s">
        <v>523</v>
      </c>
      <c r="AA998" s="1" t="s">
        <v>524</v>
      </c>
      <c r="AB998" s="1" t="s">
        <v>525</v>
      </c>
      <c r="AC998" s="1">
        <v>0</v>
      </c>
      <c r="AD998" s="1" t="s">
        <v>56</v>
      </c>
      <c r="AE998" s="1" t="s">
        <v>57</v>
      </c>
      <c r="AF998" s="1" t="s">
        <v>84</v>
      </c>
      <c r="AG998" s="1" t="s">
        <v>1086</v>
      </c>
      <c r="AH998" s="1" t="s">
        <v>115</v>
      </c>
      <c r="AI998" s="1" t="s">
        <v>75</v>
      </c>
      <c r="AK998" s="1" t="s">
        <v>86</v>
      </c>
      <c r="AL998" s="1" t="s">
        <v>87</v>
      </c>
      <c r="AM998" s="1">
        <v>4</v>
      </c>
      <c r="AN998" s="1">
        <v>0</v>
      </c>
      <c r="AO998" s="1">
        <f t="shared" si="94"/>
        <v>4</v>
      </c>
    </row>
    <row r="999" spans="1:41" x14ac:dyDescent="0.4">
      <c r="A999" s="1">
        <v>1</v>
      </c>
      <c r="B999" s="1" t="s">
        <v>1033</v>
      </c>
      <c r="C999" s="1" t="s">
        <v>41</v>
      </c>
      <c r="D999" s="2">
        <v>38799</v>
      </c>
      <c r="E999" s="1">
        <v>82</v>
      </c>
      <c r="F999" s="1">
        <v>3</v>
      </c>
      <c r="G999" s="3">
        <v>0.30289351851851853</v>
      </c>
      <c r="H999" s="3">
        <v>0.30787037037037041</v>
      </c>
      <c r="I999" s="3">
        <v>4.9768518518518712E-3</v>
      </c>
      <c r="J999" s="3">
        <v>4.9768518518518712E-3</v>
      </c>
      <c r="K999" s="5">
        <f t="shared" si="93"/>
        <v>430</v>
      </c>
      <c r="L999" s="3">
        <v>3.0115740740740693E-2</v>
      </c>
      <c r="N999" s="1" t="s">
        <v>42</v>
      </c>
      <c r="O999" s="1" t="s">
        <v>43</v>
      </c>
      <c r="P999" s="1" t="s">
        <v>227</v>
      </c>
      <c r="Q999" s="1" t="s">
        <v>76</v>
      </c>
      <c r="S999" s="1" t="s">
        <v>46</v>
      </c>
      <c r="T999" s="1" t="s">
        <v>45</v>
      </c>
      <c r="U999" s="1" t="s">
        <v>92</v>
      </c>
      <c r="V999" s="1" t="s">
        <v>49</v>
      </c>
      <c r="W999" s="1" t="s">
        <v>50</v>
      </c>
      <c r="X999" s="1" t="s">
        <v>464</v>
      </c>
      <c r="Y999" s="1" t="s">
        <v>347</v>
      </c>
      <c r="Z999" s="1" t="s">
        <v>348</v>
      </c>
      <c r="AA999" s="1" t="s">
        <v>465</v>
      </c>
      <c r="AB999" s="1" t="s">
        <v>466</v>
      </c>
      <c r="AC999" s="1">
        <v>0</v>
      </c>
      <c r="AD999" s="1" t="s">
        <v>56</v>
      </c>
      <c r="AE999" s="1" t="s">
        <v>83</v>
      </c>
      <c r="AG999" s="1" t="s">
        <v>1054</v>
      </c>
      <c r="AH999" s="1" t="s">
        <v>115</v>
      </c>
      <c r="AI999" s="1" t="s">
        <v>75</v>
      </c>
      <c r="AK999" s="1" t="s">
        <v>116</v>
      </c>
      <c r="AL999" s="1" t="s">
        <v>155</v>
      </c>
      <c r="AM999" s="1">
        <v>5</v>
      </c>
      <c r="AN999" s="1">
        <v>0</v>
      </c>
      <c r="AO999" s="1">
        <f t="shared" si="94"/>
        <v>5</v>
      </c>
    </row>
    <row r="1000" spans="1:41" x14ac:dyDescent="0.4">
      <c r="A1000" s="1">
        <v>1</v>
      </c>
      <c r="B1000" s="1" t="s">
        <v>1033</v>
      </c>
      <c r="C1000" s="1" t="s">
        <v>41</v>
      </c>
      <c r="D1000" s="2">
        <v>38799</v>
      </c>
      <c r="E1000" s="1">
        <v>82</v>
      </c>
      <c r="F1000" s="1">
        <v>3.5</v>
      </c>
      <c r="G1000" s="3">
        <v>0.3379861111111111</v>
      </c>
      <c r="H1000" s="3">
        <v>0.33871527777777777</v>
      </c>
      <c r="I1000" s="3">
        <v>7.2916666666666963E-4</v>
      </c>
      <c r="J1000" s="3">
        <v>7.2916666666666963E-4</v>
      </c>
      <c r="K1000" s="5">
        <f t="shared" si="93"/>
        <v>63</v>
      </c>
      <c r="L1000" s="3">
        <v>1.7303240740740744E-2</v>
      </c>
      <c r="N1000" s="1" t="s">
        <v>42</v>
      </c>
      <c r="O1000" s="1" t="s">
        <v>43</v>
      </c>
      <c r="P1000" s="1" t="s">
        <v>227</v>
      </c>
      <c r="Q1000" s="1" t="s">
        <v>91</v>
      </c>
      <c r="S1000" s="1" t="s">
        <v>46</v>
      </c>
      <c r="AB1000" s="1" t="s">
        <v>93</v>
      </c>
      <c r="AC1000" s="1">
        <v>1</v>
      </c>
      <c r="AK1000" s="1" t="s">
        <v>86</v>
      </c>
      <c r="AL1000" s="1" t="s">
        <v>86</v>
      </c>
      <c r="AN1000" s="1">
        <v>1</v>
      </c>
      <c r="AO1000" s="1">
        <f t="shared" si="94"/>
        <v>1</v>
      </c>
    </row>
    <row r="1001" spans="1:41" x14ac:dyDescent="0.4">
      <c r="A1001" s="1">
        <v>1</v>
      </c>
      <c r="B1001" s="1" t="s">
        <v>1033</v>
      </c>
      <c r="C1001" s="1" t="s">
        <v>41</v>
      </c>
      <c r="D1001" s="2">
        <v>38799</v>
      </c>
      <c r="E1001" s="1">
        <v>82</v>
      </c>
      <c r="F1001" s="1">
        <v>3.6</v>
      </c>
      <c r="G1001" s="3">
        <v>0.35601851851851851</v>
      </c>
      <c r="H1001" s="3">
        <v>0.35674768518518518</v>
      </c>
      <c r="I1001" s="3">
        <v>7.2916666666666963E-4</v>
      </c>
      <c r="J1001" s="3">
        <v>7.2916666666666963E-4</v>
      </c>
      <c r="K1001" s="5">
        <f t="shared" si="93"/>
        <v>63</v>
      </c>
      <c r="L1001" s="3">
        <v>3.2974537037037066E-2</v>
      </c>
      <c r="N1001" s="1" t="s">
        <v>42</v>
      </c>
      <c r="O1001" s="1" t="s">
        <v>43</v>
      </c>
      <c r="P1001" s="1" t="s">
        <v>227</v>
      </c>
      <c r="Q1001" s="1" t="s">
        <v>45</v>
      </c>
      <c r="S1001" s="1" t="s">
        <v>46</v>
      </c>
      <c r="T1001" s="1" t="s">
        <v>45</v>
      </c>
      <c r="U1001" s="1" t="s">
        <v>66</v>
      </c>
      <c r="V1001" s="1" t="s">
        <v>102</v>
      </c>
      <c r="W1001" s="1" t="s">
        <v>103</v>
      </c>
      <c r="X1001" s="1" t="s">
        <v>121</v>
      </c>
      <c r="AB1001" s="1" t="s">
        <v>104</v>
      </c>
      <c r="AC1001" s="1">
        <v>0</v>
      </c>
      <c r="AE1001" s="1" t="s">
        <v>70</v>
      </c>
      <c r="AI1001" s="1" t="s">
        <v>71</v>
      </c>
      <c r="AK1001" s="1" t="s">
        <v>86</v>
      </c>
      <c r="AL1001" s="1" t="s">
        <v>87</v>
      </c>
      <c r="AN1001" s="1">
        <v>1</v>
      </c>
      <c r="AO1001" s="1">
        <f t="shared" si="94"/>
        <v>1</v>
      </c>
    </row>
    <row r="1002" spans="1:41" x14ac:dyDescent="0.4">
      <c r="A1002" s="1">
        <v>1</v>
      </c>
      <c r="B1002" s="1" t="s">
        <v>1033</v>
      </c>
      <c r="C1002" s="1" t="s">
        <v>41</v>
      </c>
      <c r="D1002" s="2">
        <v>38799</v>
      </c>
      <c r="E1002" s="1">
        <v>82</v>
      </c>
      <c r="F1002" s="1">
        <v>3.7</v>
      </c>
      <c r="G1002" s="3">
        <v>0.38972222222222225</v>
      </c>
      <c r="H1002" s="3">
        <v>0.38997685185185182</v>
      </c>
      <c r="I1002" s="3">
        <v>2.5462962962957691E-4</v>
      </c>
      <c r="J1002" s="3">
        <v>2.5462962962957691E-4</v>
      </c>
      <c r="K1002" s="5">
        <f t="shared" si="93"/>
        <v>22</v>
      </c>
      <c r="L1002" s="3">
        <v>3.4814814814814854E-2</v>
      </c>
      <c r="N1002" s="1" t="s">
        <v>42</v>
      </c>
      <c r="O1002" s="1" t="s">
        <v>43</v>
      </c>
      <c r="P1002" s="1" t="s">
        <v>227</v>
      </c>
      <c r="Q1002" s="1" t="s">
        <v>76</v>
      </c>
      <c r="S1002" s="1" t="s">
        <v>46</v>
      </c>
      <c r="T1002" s="1" t="s">
        <v>45</v>
      </c>
      <c r="U1002" s="1" t="s">
        <v>92</v>
      </c>
      <c r="V1002" s="1" t="s">
        <v>67</v>
      </c>
      <c r="W1002" s="1" t="s">
        <v>68</v>
      </c>
      <c r="Y1002" s="1" t="s">
        <v>68</v>
      </c>
      <c r="AB1002" s="1" t="s">
        <v>69</v>
      </c>
      <c r="AC1002" s="1">
        <v>0</v>
      </c>
      <c r="AD1002" s="1" t="s">
        <v>68</v>
      </c>
      <c r="AE1002" s="1" t="s">
        <v>70</v>
      </c>
      <c r="AG1002" s="1" t="s">
        <v>1087</v>
      </c>
      <c r="AI1002" s="1" t="s">
        <v>75</v>
      </c>
      <c r="AK1002" s="1" t="s">
        <v>86</v>
      </c>
      <c r="AL1002" s="1" t="s">
        <v>187</v>
      </c>
      <c r="AM1002" s="1">
        <v>2</v>
      </c>
      <c r="AN1002" s="1">
        <v>0</v>
      </c>
      <c r="AO1002" s="1">
        <f t="shared" si="94"/>
        <v>2</v>
      </c>
    </row>
    <row r="1003" spans="1:41" x14ac:dyDescent="0.4">
      <c r="A1003" s="1">
        <v>1</v>
      </c>
      <c r="B1003" s="1" t="s">
        <v>1033</v>
      </c>
      <c r="C1003" s="1" t="s">
        <v>41</v>
      </c>
      <c r="D1003" s="2">
        <v>38799</v>
      </c>
      <c r="E1003" s="1">
        <v>82</v>
      </c>
      <c r="F1003" s="1">
        <v>3.8</v>
      </c>
      <c r="G1003" s="3">
        <v>0.42479166666666668</v>
      </c>
      <c r="H1003" s="3">
        <v>0.42495370370370367</v>
      </c>
      <c r="I1003" s="3">
        <v>1.6203703703698835E-4</v>
      </c>
      <c r="J1003" s="3">
        <v>1.6203703703698835E-4</v>
      </c>
      <c r="K1003" s="5">
        <f t="shared" si="93"/>
        <v>14</v>
      </c>
      <c r="L1003" s="3">
        <v>1.3796296296296306E-2</v>
      </c>
      <c r="N1003" s="1" t="s">
        <v>42</v>
      </c>
      <c r="O1003" s="1" t="s">
        <v>43</v>
      </c>
      <c r="P1003" s="1" t="s">
        <v>227</v>
      </c>
      <c r="Q1003" s="1" t="s">
        <v>76</v>
      </c>
      <c r="S1003" s="1" t="s">
        <v>46</v>
      </c>
      <c r="T1003" s="1" t="s">
        <v>45</v>
      </c>
      <c r="U1003" s="1" t="s">
        <v>156</v>
      </c>
      <c r="V1003" s="1" t="s">
        <v>67</v>
      </c>
      <c r="W1003" s="1" t="s">
        <v>68</v>
      </c>
      <c r="Y1003" s="1" t="s">
        <v>68</v>
      </c>
      <c r="AB1003" s="1" t="s">
        <v>69</v>
      </c>
      <c r="AC1003" s="1">
        <v>0</v>
      </c>
      <c r="AD1003" s="1" t="s">
        <v>68</v>
      </c>
      <c r="AE1003" s="1" t="s">
        <v>70</v>
      </c>
      <c r="AG1003" s="1" t="s">
        <v>1087</v>
      </c>
      <c r="AI1003" s="1" t="s">
        <v>75</v>
      </c>
      <c r="AK1003" s="1" t="s">
        <v>86</v>
      </c>
      <c r="AL1003" s="1" t="s">
        <v>86</v>
      </c>
      <c r="AM1003" s="1">
        <v>2</v>
      </c>
      <c r="AN1003" s="1">
        <v>0</v>
      </c>
      <c r="AO1003" s="1">
        <f t="shared" si="94"/>
        <v>2</v>
      </c>
    </row>
    <row r="1004" spans="1:41" x14ac:dyDescent="0.4">
      <c r="A1004" s="1">
        <v>1</v>
      </c>
      <c r="B1004" s="1" t="s">
        <v>1033</v>
      </c>
      <c r="C1004" s="1" t="s">
        <v>41</v>
      </c>
      <c r="D1004" s="2">
        <v>38799</v>
      </c>
      <c r="E1004" s="1">
        <v>82</v>
      </c>
      <c r="F1004" s="1">
        <v>4</v>
      </c>
      <c r="G1004" s="3">
        <v>0.43874999999999997</v>
      </c>
      <c r="H1004" s="3">
        <v>0.44949074074074075</v>
      </c>
      <c r="I1004" s="3">
        <v>1.0740740740740773E-2</v>
      </c>
      <c r="J1004" s="3">
        <v>1.0115740740740731E-2</v>
      </c>
      <c r="K1004" s="5">
        <f t="shared" si="93"/>
        <v>874</v>
      </c>
      <c r="L1004" s="3">
        <v>5.7175925925926352E-3</v>
      </c>
      <c r="N1004" s="1" t="s">
        <v>42</v>
      </c>
      <c r="O1004" s="1" t="s">
        <v>43</v>
      </c>
      <c r="P1004" s="1" t="s">
        <v>227</v>
      </c>
      <c r="Q1004" s="1" t="s">
        <v>76</v>
      </c>
      <c r="S1004" s="1" t="s">
        <v>46</v>
      </c>
      <c r="T1004" s="1" t="s">
        <v>76</v>
      </c>
      <c r="U1004" s="1" t="s">
        <v>66</v>
      </c>
      <c r="V1004" s="1" t="s">
        <v>49</v>
      </c>
      <c r="W1004" s="1" t="s">
        <v>50</v>
      </c>
      <c r="X1004" s="1" t="s">
        <v>951</v>
      </c>
      <c r="Y1004" s="1" t="s">
        <v>159</v>
      </c>
      <c r="Z1004" s="1" t="s">
        <v>160</v>
      </c>
      <c r="AA1004" s="1" t="s">
        <v>952</v>
      </c>
      <c r="AB1004" s="1" t="s">
        <v>953</v>
      </c>
      <c r="AC1004" s="1">
        <v>0</v>
      </c>
      <c r="AD1004" s="1" t="s">
        <v>56</v>
      </c>
      <c r="AE1004" s="1" t="s">
        <v>83</v>
      </c>
      <c r="AF1004" s="1" t="s">
        <v>153</v>
      </c>
      <c r="AG1004" s="1" t="s">
        <v>1088</v>
      </c>
      <c r="AH1004" s="1" t="s">
        <v>165</v>
      </c>
      <c r="AI1004" s="1" t="s">
        <v>71</v>
      </c>
      <c r="AK1004" s="1" t="s">
        <v>61</v>
      </c>
      <c r="AL1004" s="1" t="s">
        <v>72</v>
      </c>
      <c r="AM1004" s="1">
        <v>2</v>
      </c>
      <c r="AN1004" s="1">
        <v>0</v>
      </c>
      <c r="AO1004" s="1">
        <f t="shared" si="94"/>
        <v>2</v>
      </c>
    </row>
    <row r="1005" spans="1:41" x14ac:dyDescent="0.4">
      <c r="A1005" s="1">
        <v>1</v>
      </c>
      <c r="B1005" s="1" t="s">
        <v>1033</v>
      </c>
      <c r="C1005" s="1" t="s">
        <v>41</v>
      </c>
      <c r="D1005" s="2">
        <v>38799</v>
      </c>
      <c r="E1005" s="1">
        <v>82</v>
      </c>
      <c r="F1005" s="1">
        <v>4.5</v>
      </c>
      <c r="G1005" s="3">
        <v>0.45520833333333338</v>
      </c>
      <c r="H1005" s="3">
        <v>0.45523148148148151</v>
      </c>
      <c r="I1005" s="3">
        <v>2.3148148148133263E-5</v>
      </c>
      <c r="J1005" s="3">
        <v>2.3148148148133263E-5</v>
      </c>
      <c r="K1005" s="5">
        <f t="shared" si="93"/>
        <v>2</v>
      </c>
      <c r="L1005" s="3">
        <v>1.6689814814814741E-2</v>
      </c>
      <c r="N1005" s="1" t="s">
        <v>42</v>
      </c>
      <c r="O1005" s="1" t="s">
        <v>43</v>
      </c>
      <c r="P1005" s="1" t="s">
        <v>227</v>
      </c>
      <c r="Q1005" s="1" t="s">
        <v>132</v>
      </c>
      <c r="S1005" s="1" t="s">
        <v>46</v>
      </c>
      <c r="AB1005" s="1" t="s">
        <v>93</v>
      </c>
      <c r="AC1005" s="1">
        <v>1</v>
      </c>
      <c r="AK1005" s="1" t="s">
        <v>86</v>
      </c>
      <c r="AL1005" s="1" t="s">
        <v>87</v>
      </c>
      <c r="AN1005" s="1">
        <v>1</v>
      </c>
      <c r="AO1005" s="1">
        <f t="shared" si="94"/>
        <v>1</v>
      </c>
    </row>
    <row r="1006" spans="1:41" x14ac:dyDescent="0.4">
      <c r="A1006" s="1">
        <v>1</v>
      </c>
      <c r="B1006" s="1" t="s">
        <v>1033</v>
      </c>
      <c r="C1006" s="1" t="s">
        <v>41</v>
      </c>
      <c r="D1006" s="2">
        <v>38799</v>
      </c>
      <c r="E1006" s="1">
        <v>82</v>
      </c>
      <c r="F1006" s="1">
        <v>5</v>
      </c>
      <c r="G1006" s="3">
        <v>0.47192129629629626</v>
      </c>
      <c r="H1006" s="3">
        <v>0.47370370370370374</v>
      </c>
      <c r="I1006" s="3">
        <v>1.7824074074074825E-3</v>
      </c>
      <c r="J1006" s="3">
        <v>1.0995370370371349E-3</v>
      </c>
      <c r="K1006" s="5">
        <f t="shared" si="93"/>
        <v>95</v>
      </c>
      <c r="L1006" s="3">
        <v>4.548611111111045E-3</v>
      </c>
      <c r="N1006" s="1" t="s">
        <v>42</v>
      </c>
      <c r="O1006" s="1" t="s">
        <v>43</v>
      </c>
      <c r="P1006" s="1" t="s">
        <v>227</v>
      </c>
      <c r="Q1006" s="1" t="s">
        <v>191</v>
      </c>
      <c r="S1006" s="1" t="s">
        <v>46</v>
      </c>
      <c r="T1006" s="1" t="s">
        <v>76</v>
      </c>
      <c r="U1006" s="1" t="s">
        <v>66</v>
      </c>
      <c r="V1006" s="1" t="s">
        <v>102</v>
      </c>
      <c r="W1006" s="1" t="s">
        <v>103</v>
      </c>
      <c r="X1006" s="1" t="s">
        <v>96</v>
      </c>
      <c r="Y1006" s="1">
        <v>26</v>
      </c>
      <c r="AB1006" s="1" t="s">
        <v>1089</v>
      </c>
      <c r="AC1006" s="1">
        <v>0</v>
      </c>
      <c r="AD1006" s="1" t="s">
        <v>56</v>
      </c>
      <c r="AE1006" s="1" t="s">
        <v>70</v>
      </c>
      <c r="AG1006" s="1" t="s">
        <v>1090</v>
      </c>
      <c r="AH1006" s="1" t="s">
        <v>157</v>
      </c>
      <c r="AI1006" s="1" t="s">
        <v>71</v>
      </c>
      <c r="AK1006" s="1" t="s">
        <v>86</v>
      </c>
      <c r="AL1006" s="1" t="s">
        <v>87</v>
      </c>
      <c r="AM1006" s="1">
        <v>1</v>
      </c>
      <c r="AN1006" s="1">
        <v>0</v>
      </c>
      <c r="AO1006" s="1">
        <f t="shared" si="94"/>
        <v>1</v>
      </c>
    </row>
    <row r="1007" spans="1:41" x14ac:dyDescent="0.4">
      <c r="A1007" s="1">
        <v>1</v>
      </c>
      <c r="B1007" s="1" t="s">
        <v>1033</v>
      </c>
      <c r="C1007" s="1" t="s">
        <v>41</v>
      </c>
      <c r="D1007" s="2">
        <v>38799</v>
      </c>
      <c r="E1007" s="1">
        <v>82</v>
      </c>
      <c r="F1007" s="1">
        <v>6</v>
      </c>
      <c r="G1007" s="3">
        <v>0.47825231481481478</v>
      </c>
      <c r="H1007" s="3">
        <v>0.48094907407407406</v>
      </c>
      <c r="I1007" s="3">
        <v>2.6967592592592737E-3</v>
      </c>
      <c r="J1007" s="3">
        <v>2.6967592592592737E-3</v>
      </c>
      <c r="K1007" s="5">
        <f t="shared" si="93"/>
        <v>233</v>
      </c>
      <c r="L1007" s="3">
        <v>2.6504629629629517E-3</v>
      </c>
      <c r="N1007" s="1" t="s">
        <v>42</v>
      </c>
      <c r="O1007" s="1" t="s">
        <v>43</v>
      </c>
      <c r="P1007" s="1" t="s">
        <v>227</v>
      </c>
      <c r="Q1007" s="1" t="s">
        <v>76</v>
      </c>
      <c r="S1007" s="1" t="s">
        <v>46</v>
      </c>
      <c r="T1007" s="1" t="s">
        <v>47</v>
      </c>
      <c r="V1007" s="1" t="s">
        <v>49</v>
      </c>
      <c r="W1007" s="1" t="s">
        <v>77</v>
      </c>
      <c r="X1007" s="1" t="s">
        <v>108</v>
      </c>
      <c r="Y1007" s="1" t="s">
        <v>109</v>
      </c>
      <c r="Z1007" s="1" t="s">
        <v>110</v>
      </c>
      <c r="AA1007" s="1" t="s">
        <v>111</v>
      </c>
      <c r="AB1007" s="1" t="s">
        <v>112</v>
      </c>
      <c r="AC1007" s="1">
        <v>0</v>
      </c>
      <c r="AD1007" s="1" t="s">
        <v>56</v>
      </c>
      <c r="AE1007" s="1" t="s">
        <v>57</v>
      </c>
      <c r="AG1007" s="1" t="s">
        <v>1041</v>
      </c>
      <c r="AH1007" s="1" t="s">
        <v>115</v>
      </c>
      <c r="AK1007" s="1" t="s">
        <v>86</v>
      </c>
      <c r="AL1007" s="1" t="s">
        <v>87</v>
      </c>
      <c r="AM1007" s="1">
        <v>6</v>
      </c>
      <c r="AN1007" s="1">
        <v>0</v>
      </c>
      <c r="AO1007" s="1">
        <f t="shared" si="94"/>
        <v>6</v>
      </c>
    </row>
    <row r="1008" spans="1:41" x14ac:dyDescent="0.4">
      <c r="A1008" s="1">
        <v>1</v>
      </c>
      <c r="B1008" s="1" t="s">
        <v>1033</v>
      </c>
      <c r="C1008" s="1" t="s">
        <v>41</v>
      </c>
      <c r="D1008" s="2">
        <v>38799</v>
      </c>
      <c r="E1008" s="1">
        <v>82</v>
      </c>
      <c r="F1008" s="1">
        <v>7</v>
      </c>
      <c r="G1008" s="3">
        <v>0.48359953703703701</v>
      </c>
      <c r="H1008" s="3">
        <v>0.48800925925925925</v>
      </c>
      <c r="I1008" s="3">
        <v>4.4097222222222454E-3</v>
      </c>
      <c r="J1008" s="3">
        <v>1.192129629629668E-3</v>
      </c>
      <c r="K1008" s="5">
        <f t="shared" si="93"/>
        <v>103</v>
      </c>
      <c r="L1008" s="3">
        <v>4.8240740740740751E-2</v>
      </c>
      <c r="N1008" s="1" t="s">
        <v>42</v>
      </c>
      <c r="O1008" s="1" t="s">
        <v>43</v>
      </c>
      <c r="P1008" s="1" t="s">
        <v>227</v>
      </c>
      <c r="Q1008" s="1" t="s">
        <v>76</v>
      </c>
      <c r="S1008" s="1" t="s">
        <v>46</v>
      </c>
      <c r="T1008" s="1" t="s">
        <v>45</v>
      </c>
      <c r="U1008" s="1" t="s">
        <v>66</v>
      </c>
      <c r="V1008" s="1" t="s">
        <v>102</v>
      </c>
      <c r="W1008" s="1" t="s">
        <v>103</v>
      </c>
      <c r="X1008" s="1" t="s">
        <v>96</v>
      </c>
      <c r="Y1008" s="1" t="s">
        <v>52</v>
      </c>
      <c r="AB1008" s="1" t="s">
        <v>225</v>
      </c>
      <c r="AC1008" s="1">
        <v>0</v>
      </c>
      <c r="AD1008" s="1" t="s">
        <v>105</v>
      </c>
      <c r="AE1008" s="1" t="s">
        <v>70</v>
      </c>
      <c r="AF1008" s="1" t="s">
        <v>153</v>
      </c>
      <c r="AG1008" s="1" t="s">
        <v>1091</v>
      </c>
      <c r="AH1008" s="1" t="s">
        <v>157</v>
      </c>
      <c r="AI1008" s="1" t="s">
        <v>71</v>
      </c>
      <c r="AJ1008" s="1" t="s">
        <v>147</v>
      </c>
      <c r="AK1008" s="1" t="s">
        <v>61</v>
      </c>
      <c r="AL1008" s="1" t="s">
        <v>72</v>
      </c>
      <c r="AM1008" s="1">
        <v>2</v>
      </c>
      <c r="AN1008" s="1">
        <v>0</v>
      </c>
      <c r="AO1008" s="1">
        <f t="shared" si="94"/>
        <v>2</v>
      </c>
    </row>
    <row r="1009" spans="1:41" x14ac:dyDescent="0.4">
      <c r="A1009" s="1">
        <v>1</v>
      </c>
      <c r="B1009" s="1" t="s">
        <v>1033</v>
      </c>
      <c r="C1009" s="1" t="s">
        <v>41</v>
      </c>
      <c r="D1009" s="2">
        <v>38799</v>
      </c>
      <c r="E1009" s="1">
        <v>82</v>
      </c>
      <c r="F1009" s="1">
        <v>7.2</v>
      </c>
      <c r="G1009" s="3">
        <v>0.53625</v>
      </c>
      <c r="H1009" s="3">
        <v>0.53791666666666671</v>
      </c>
      <c r="I1009" s="3">
        <v>1.6666666666667052E-3</v>
      </c>
      <c r="J1009" s="3">
        <v>7.8703703703697503E-4</v>
      </c>
      <c r="K1009" s="5">
        <f t="shared" si="93"/>
        <v>68</v>
      </c>
      <c r="L1009" s="3">
        <v>2.3460648148148078E-2</v>
      </c>
      <c r="N1009" s="1" t="s">
        <v>42</v>
      </c>
      <c r="O1009" s="1" t="s">
        <v>43</v>
      </c>
      <c r="P1009" s="1" t="s">
        <v>227</v>
      </c>
      <c r="Q1009" s="1" t="s">
        <v>45</v>
      </c>
      <c r="S1009" s="1" t="s">
        <v>46</v>
      </c>
      <c r="T1009" s="1" t="s">
        <v>76</v>
      </c>
      <c r="U1009" s="1" t="s">
        <v>66</v>
      </c>
      <c r="AB1009" s="1" t="s">
        <v>93</v>
      </c>
      <c r="AC1009" s="1">
        <v>1</v>
      </c>
      <c r="AI1009" s="1" t="s">
        <v>71</v>
      </c>
      <c r="AK1009" s="1" t="s">
        <v>86</v>
      </c>
      <c r="AL1009" s="1" t="s">
        <v>87</v>
      </c>
      <c r="AN1009" s="1">
        <v>1</v>
      </c>
      <c r="AO1009" s="1">
        <f t="shared" si="94"/>
        <v>1</v>
      </c>
    </row>
    <row r="1010" spans="1:41" x14ac:dyDescent="0.4">
      <c r="A1010" s="1">
        <v>1</v>
      </c>
      <c r="B1010" s="1" t="s">
        <v>1033</v>
      </c>
      <c r="C1010" s="1" t="s">
        <v>41</v>
      </c>
      <c r="D1010" s="2">
        <v>38799</v>
      </c>
      <c r="E1010" s="1">
        <v>82</v>
      </c>
      <c r="F1010" s="1">
        <v>7.7</v>
      </c>
      <c r="G1010" s="3">
        <v>0.56137731481481479</v>
      </c>
      <c r="H1010" s="3">
        <v>0.56414351851851852</v>
      </c>
      <c r="I1010" s="3">
        <v>2.766203703703729E-3</v>
      </c>
      <c r="J1010" s="3">
        <v>1.6203703703698835E-4</v>
      </c>
      <c r="K1010" s="5">
        <f t="shared" si="93"/>
        <v>14</v>
      </c>
      <c r="L1010" s="3">
        <v>4.7800925925925997E-3</v>
      </c>
      <c r="N1010" s="1" t="s">
        <v>42</v>
      </c>
      <c r="O1010" s="1" t="s">
        <v>43</v>
      </c>
      <c r="P1010" s="1" t="s">
        <v>227</v>
      </c>
      <c r="Q1010" s="1" t="s">
        <v>76</v>
      </c>
      <c r="S1010" s="1" t="s">
        <v>46</v>
      </c>
      <c r="T1010" s="1" t="s">
        <v>76</v>
      </c>
      <c r="U1010" s="1" t="s">
        <v>66</v>
      </c>
      <c r="AB1010" s="1" t="s">
        <v>93</v>
      </c>
      <c r="AC1010" s="1">
        <v>1</v>
      </c>
      <c r="AG1010" s="1" t="s">
        <v>1092</v>
      </c>
      <c r="AI1010" s="1" t="s">
        <v>71</v>
      </c>
      <c r="AK1010" s="1" t="s">
        <v>86</v>
      </c>
      <c r="AL1010" s="1" t="s">
        <v>187</v>
      </c>
      <c r="AM1010" s="1">
        <v>2</v>
      </c>
      <c r="AN1010" s="1">
        <v>0</v>
      </c>
      <c r="AO1010" s="1">
        <f t="shared" si="94"/>
        <v>2</v>
      </c>
    </row>
    <row r="1011" spans="1:41" x14ac:dyDescent="0.4">
      <c r="A1011" s="1">
        <v>1</v>
      </c>
      <c r="B1011" s="1" t="s">
        <v>1033</v>
      </c>
      <c r="C1011" s="1" t="s">
        <v>41</v>
      </c>
      <c r="D1011" s="2">
        <v>38799</v>
      </c>
      <c r="E1011" s="1">
        <v>82</v>
      </c>
      <c r="F1011" s="1">
        <v>7.75</v>
      </c>
      <c r="G1011" s="3">
        <v>0.56892361111111112</v>
      </c>
      <c r="H1011" s="3">
        <v>0.57059027777777771</v>
      </c>
      <c r="I1011" s="3">
        <v>1.6666666666665941E-3</v>
      </c>
      <c r="J1011" s="3">
        <v>2.0833333333325488E-4</v>
      </c>
      <c r="K1011" s="5">
        <f t="shared" si="93"/>
        <v>18</v>
      </c>
      <c r="L1011" s="3">
        <v>1.1041666666666727E-2</v>
      </c>
      <c r="N1011" s="1" t="s">
        <v>42</v>
      </c>
      <c r="O1011" s="1" t="s">
        <v>43</v>
      </c>
      <c r="P1011" s="1" t="s">
        <v>227</v>
      </c>
      <c r="Q1011" s="1" t="s">
        <v>45</v>
      </c>
      <c r="S1011" s="1" t="s">
        <v>46</v>
      </c>
      <c r="T1011" s="1" t="s">
        <v>76</v>
      </c>
      <c r="U1011" s="1" t="s">
        <v>92</v>
      </c>
      <c r="AB1011" s="1" t="s">
        <v>93</v>
      </c>
      <c r="AC1011" s="1">
        <v>1</v>
      </c>
      <c r="AI1011" s="1" t="s">
        <v>75</v>
      </c>
      <c r="AK1011" s="1" t="s">
        <v>86</v>
      </c>
      <c r="AL1011" s="1" t="s">
        <v>187</v>
      </c>
      <c r="AN1011" s="1">
        <v>1</v>
      </c>
      <c r="AO1011" s="1">
        <f t="shared" si="94"/>
        <v>1</v>
      </c>
    </row>
    <row r="1012" spans="1:41" x14ac:dyDescent="0.4">
      <c r="A1012" s="1">
        <v>1</v>
      </c>
      <c r="B1012" s="1" t="s">
        <v>1033</v>
      </c>
      <c r="C1012" s="1" t="s">
        <v>41</v>
      </c>
      <c r="D1012" s="2">
        <v>38799</v>
      </c>
      <c r="E1012" s="1">
        <v>82</v>
      </c>
      <c r="F1012" s="1">
        <v>7.8</v>
      </c>
      <c r="G1012" s="3">
        <v>0.58163194444444444</v>
      </c>
      <c r="H1012" s="3">
        <v>0.58178240740740739</v>
      </c>
      <c r="I1012" s="3">
        <v>1.5046296296294948E-4</v>
      </c>
      <c r="J1012" s="3">
        <v>1.5046296296294948E-4</v>
      </c>
      <c r="K1012" s="5">
        <f t="shared" si="93"/>
        <v>13</v>
      </c>
      <c r="L1012" s="3">
        <v>1.5104166666666696E-2</v>
      </c>
      <c r="N1012" s="1" t="s">
        <v>42</v>
      </c>
      <c r="O1012" s="1" t="s">
        <v>43</v>
      </c>
      <c r="P1012" s="1" t="s">
        <v>227</v>
      </c>
      <c r="Q1012" s="1" t="s">
        <v>45</v>
      </c>
      <c r="S1012" s="1" t="s">
        <v>46</v>
      </c>
      <c r="T1012" s="1" t="s">
        <v>45</v>
      </c>
      <c r="U1012" s="1" t="s">
        <v>66</v>
      </c>
      <c r="V1012" s="1" t="s">
        <v>102</v>
      </c>
      <c r="W1012" s="1" t="s">
        <v>103</v>
      </c>
      <c r="X1012" s="1" t="s">
        <v>121</v>
      </c>
      <c r="AB1012" s="1" t="s">
        <v>104</v>
      </c>
      <c r="AC1012" s="1">
        <v>0</v>
      </c>
      <c r="AE1012" s="1" t="s">
        <v>70</v>
      </c>
      <c r="AI1012" s="1" t="s">
        <v>71</v>
      </c>
      <c r="AK1012" s="1" t="s">
        <v>86</v>
      </c>
      <c r="AL1012" s="1" t="s">
        <v>86</v>
      </c>
      <c r="AN1012" s="1">
        <v>1</v>
      </c>
      <c r="AO1012" s="1">
        <f t="shared" si="94"/>
        <v>1</v>
      </c>
    </row>
    <row r="1013" spans="1:41" x14ac:dyDescent="0.4">
      <c r="A1013" s="1">
        <v>1</v>
      </c>
      <c r="B1013" s="1" t="s">
        <v>1033</v>
      </c>
      <c r="C1013" s="1" t="s">
        <v>41</v>
      </c>
      <c r="D1013" s="2">
        <v>38799</v>
      </c>
      <c r="E1013" s="1">
        <v>82</v>
      </c>
      <c r="F1013" s="1">
        <v>9</v>
      </c>
      <c r="G1013" s="3">
        <v>0.59688657407407408</v>
      </c>
      <c r="H1013" s="3">
        <v>0.60302083333333334</v>
      </c>
      <c r="I1013" s="3">
        <v>6.134259259259256E-3</v>
      </c>
      <c r="J1013" s="3">
        <v>3.1365740740740833E-3</v>
      </c>
      <c r="K1013" s="5">
        <f t="shared" si="93"/>
        <v>271</v>
      </c>
      <c r="L1013" s="3">
        <v>2.4537037037036802E-3</v>
      </c>
      <c r="N1013" s="1" t="s">
        <v>42</v>
      </c>
      <c r="O1013" s="1" t="s">
        <v>43</v>
      </c>
      <c r="P1013" s="1" t="s">
        <v>227</v>
      </c>
      <c r="Q1013" s="1" t="s">
        <v>76</v>
      </c>
      <c r="S1013" s="1" t="s">
        <v>46</v>
      </c>
      <c r="T1013" s="1" t="s">
        <v>45</v>
      </c>
      <c r="U1013" s="1" t="s">
        <v>66</v>
      </c>
      <c r="V1013" s="1" t="s">
        <v>49</v>
      </c>
      <c r="W1013" s="1" t="s">
        <v>50</v>
      </c>
      <c r="X1013" s="1" t="s">
        <v>464</v>
      </c>
      <c r="Y1013" s="1" t="s">
        <v>347</v>
      </c>
      <c r="Z1013" s="1" t="s">
        <v>348</v>
      </c>
      <c r="AA1013" s="1" t="s">
        <v>465</v>
      </c>
      <c r="AB1013" s="1" t="s">
        <v>466</v>
      </c>
      <c r="AC1013" s="1">
        <v>0</v>
      </c>
      <c r="AD1013" s="1" t="s">
        <v>56</v>
      </c>
      <c r="AE1013" s="1" t="s">
        <v>83</v>
      </c>
      <c r="AF1013" s="1" t="s">
        <v>84</v>
      </c>
      <c r="AG1013" s="1" t="s">
        <v>1075</v>
      </c>
      <c r="AH1013" s="1" t="s">
        <v>115</v>
      </c>
      <c r="AI1013" s="1" t="s">
        <v>71</v>
      </c>
      <c r="AK1013" s="1" t="s">
        <v>86</v>
      </c>
      <c r="AL1013" s="1" t="s">
        <v>86</v>
      </c>
      <c r="AM1013" s="1">
        <v>3</v>
      </c>
      <c r="AN1013" s="1">
        <v>0</v>
      </c>
      <c r="AO1013" s="1">
        <f t="shared" si="94"/>
        <v>3</v>
      </c>
    </row>
    <row r="1014" spans="1:41" x14ac:dyDescent="0.4">
      <c r="A1014" s="1">
        <v>1</v>
      </c>
      <c r="B1014" s="1" t="s">
        <v>1033</v>
      </c>
      <c r="C1014" s="1" t="s">
        <v>41</v>
      </c>
      <c r="D1014" s="2">
        <v>38799</v>
      </c>
      <c r="E1014" s="1">
        <v>82</v>
      </c>
      <c r="F1014" s="1">
        <v>9.5</v>
      </c>
      <c r="G1014" s="3">
        <v>0.60547453703703702</v>
      </c>
      <c r="H1014" s="3">
        <v>0.60550925925925925</v>
      </c>
      <c r="I1014" s="3">
        <v>3.472222222222765E-5</v>
      </c>
      <c r="J1014" s="3">
        <v>3.472222222222765E-5</v>
      </c>
      <c r="K1014" s="5">
        <f t="shared" si="93"/>
        <v>3</v>
      </c>
      <c r="L1014" s="3">
        <v>1.4259259259259305E-2</v>
      </c>
      <c r="N1014" s="1" t="s">
        <v>42</v>
      </c>
      <c r="O1014" s="1" t="s">
        <v>43</v>
      </c>
      <c r="P1014" s="1" t="s">
        <v>227</v>
      </c>
      <c r="Q1014" s="1" t="s">
        <v>76</v>
      </c>
      <c r="S1014" s="1" t="s">
        <v>46</v>
      </c>
      <c r="AB1014" s="1" t="s">
        <v>93</v>
      </c>
      <c r="AC1014" s="1">
        <v>1</v>
      </c>
      <c r="AK1014" s="1" t="s">
        <v>86</v>
      </c>
      <c r="AL1014" s="1" t="s">
        <v>86</v>
      </c>
      <c r="AN1014" s="1">
        <v>1</v>
      </c>
      <c r="AO1014" s="1">
        <f t="shared" si="94"/>
        <v>1</v>
      </c>
    </row>
    <row r="1015" spans="1:41" x14ac:dyDescent="0.4">
      <c r="A1015" s="1">
        <v>1</v>
      </c>
      <c r="B1015" s="1" t="s">
        <v>1033</v>
      </c>
      <c r="C1015" s="1" t="s">
        <v>41</v>
      </c>
      <c r="D1015" s="2">
        <v>38799</v>
      </c>
      <c r="E1015" s="1">
        <v>82</v>
      </c>
      <c r="F1015" s="1">
        <v>9.6999999999999993</v>
      </c>
      <c r="G1015" s="3">
        <v>0.61976851851851855</v>
      </c>
      <c r="H1015" s="3">
        <v>0.62016203703703698</v>
      </c>
      <c r="I1015" s="3">
        <v>3.93518518518432E-4</v>
      </c>
      <c r="J1015" s="3">
        <v>3.93518518518432E-4</v>
      </c>
      <c r="K1015" s="5">
        <f t="shared" si="93"/>
        <v>34</v>
      </c>
      <c r="L1015" s="3">
        <v>4.8726851851852437E-3</v>
      </c>
      <c r="N1015" s="1" t="s">
        <v>42</v>
      </c>
      <c r="O1015" s="1" t="s">
        <v>43</v>
      </c>
      <c r="P1015" s="1" t="s">
        <v>227</v>
      </c>
      <c r="Q1015" s="1" t="s">
        <v>45</v>
      </c>
      <c r="S1015" s="1" t="s">
        <v>46</v>
      </c>
      <c r="T1015" s="1" t="s">
        <v>45</v>
      </c>
      <c r="U1015" s="1" t="s">
        <v>66</v>
      </c>
      <c r="AB1015" s="1" t="s">
        <v>93</v>
      </c>
      <c r="AC1015" s="1">
        <v>1</v>
      </c>
      <c r="AI1015" s="1" t="s">
        <v>71</v>
      </c>
      <c r="AK1015" s="1" t="s">
        <v>61</v>
      </c>
      <c r="AL1015" s="1" t="s">
        <v>72</v>
      </c>
      <c r="AN1015" s="1">
        <v>1</v>
      </c>
      <c r="AO1015" s="1">
        <f t="shared" si="94"/>
        <v>1</v>
      </c>
    </row>
    <row r="1016" spans="1:41" x14ac:dyDescent="0.4">
      <c r="A1016" s="1">
        <v>1</v>
      </c>
      <c r="B1016" s="1" t="s">
        <v>1033</v>
      </c>
      <c r="C1016" s="1" t="s">
        <v>41</v>
      </c>
      <c r="D1016" s="2">
        <v>38799</v>
      </c>
      <c r="E1016" s="1">
        <v>82</v>
      </c>
      <c r="F1016" s="1">
        <v>10</v>
      </c>
      <c r="G1016" s="3">
        <v>0.62503472222222223</v>
      </c>
      <c r="H1016" s="3">
        <v>0.63101851851851853</v>
      </c>
      <c r="I1016" s="3">
        <v>5.9837962962963065E-3</v>
      </c>
      <c r="J1016" s="3">
        <v>5.9606481481481177E-3</v>
      </c>
      <c r="K1016" s="5">
        <f t="shared" si="93"/>
        <v>515</v>
      </c>
      <c r="L1016" s="3">
        <v>0</v>
      </c>
      <c r="N1016" s="1" t="s">
        <v>42</v>
      </c>
      <c r="O1016" s="1" t="s">
        <v>43</v>
      </c>
      <c r="P1016" s="1" t="s">
        <v>227</v>
      </c>
      <c r="Q1016" s="1" t="s">
        <v>76</v>
      </c>
      <c r="S1016" s="1" t="s">
        <v>46</v>
      </c>
      <c r="T1016" s="1" t="s">
        <v>45</v>
      </c>
      <c r="U1016" s="1" t="s">
        <v>66</v>
      </c>
      <c r="V1016" s="1" t="s">
        <v>49</v>
      </c>
      <c r="W1016" s="1" t="s">
        <v>50</v>
      </c>
      <c r="X1016" s="1" t="s">
        <v>464</v>
      </c>
      <c r="Y1016" s="1" t="s">
        <v>347</v>
      </c>
      <c r="Z1016" s="1" t="s">
        <v>348</v>
      </c>
      <c r="AA1016" s="1" t="s">
        <v>465</v>
      </c>
      <c r="AB1016" s="1" t="s">
        <v>466</v>
      </c>
      <c r="AC1016" s="1">
        <v>0</v>
      </c>
      <c r="AD1016" s="1" t="s">
        <v>56</v>
      </c>
      <c r="AE1016" s="1" t="s">
        <v>83</v>
      </c>
      <c r="AF1016" s="1" t="s">
        <v>113</v>
      </c>
      <c r="AG1016" s="1" t="s">
        <v>1054</v>
      </c>
      <c r="AH1016" s="1" t="s">
        <v>115</v>
      </c>
      <c r="AI1016" s="1" t="s">
        <v>71</v>
      </c>
      <c r="AK1016" s="1" t="s">
        <v>116</v>
      </c>
      <c r="AL1016" s="1" t="s">
        <v>155</v>
      </c>
      <c r="AM1016" s="1">
        <v>5</v>
      </c>
      <c r="AN1016" s="1">
        <v>0</v>
      </c>
      <c r="AO1016" s="1">
        <f t="shared" si="94"/>
        <v>5</v>
      </c>
    </row>
    <row r="1017" spans="1:41" x14ac:dyDescent="0.4">
      <c r="A1017" s="1">
        <v>1</v>
      </c>
      <c r="B1017" s="1" t="s">
        <v>1033</v>
      </c>
      <c r="C1017" s="1" t="s">
        <v>41</v>
      </c>
      <c r="D1017" s="2">
        <v>38799</v>
      </c>
      <c r="E1017" s="1">
        <v>82</v>
      </c>
      <c r="F1017" s="1">
        <v>11</v>
      </c>
      <c r="G1017" s="3">
        <v>0.63101851851851853</v>
      </c>
      <c r="H1017" s="3">
        <v>0.63497685185185182</v>
      </c>
      <c r="I1017" s="3">
        <v>3.958333333333286E-3</v>
      </c>
      <c r="J1017" s="3">
        <v>3.5532407407407041E-3</v>
      </c>
      <c r="K1017" s="5">
        <f t="shared" si="93"/>
        <v>307</v>
      </c>
      <c r="L1017" s="3">
        <v>2.8935185185186008E-3</v>
      </c>
      <c r="N1017" s="1" t="s">
        <v>42</v>
      </c>
      <c r="O1017" s="1" t="s">
        <v>43</v>
      </c>
      <c r="P1017" s="1" t="s">
        <v>227</v>
      </c>
      <c r="Q1017" s="1" t="s">
        <v>45</v>
      </c>
      <c r="S1017" s="1" t="s">
        <v>46</v>
      </c>
      <c r="T1017" s="1" t="s">
        <v>45</v>
      </c>
      <c r="U1017" s="1" t="s">
        <v>66</v>
      </c>
      <c r="V1017" s="1" t="s">
        <v>49</v>
      </c>
      <c r="W1017" s="1" t="s">
        <v>233</v>
      </c>
      <c r="X1017" s="1" t="s">
        <v>234</v>
      </c>
      <c r="Y1017" s="1" t="s">
        <v>235</v>
      </c>
      <c r="Z1017" s="1" t="s">
        <v>236</v>
      </c>
      <c r="AA1017" s="1" t="s">
        <v>221</v>
      </c>
      <c r="AB1017" s="1" t="s">
        <v>237</v>
      </c>
      <c r="AC1017" s="1">
        <v>0</v>
      </c>
      <c r="AD1017" s="1" t="s">
        <v>56</v>
      </c>
      <c r="AE1017" s="1" t="s">
        <v>83</v>
      </c>
      <c r="AF1017" s="1" t="s">
        <v>84</v>
      </c>
      <c r="AG1017" s="1" t="s">
        <v>1084</v>
      </c>
      <c r="AH1017" s="1" t="s">
        <v>206</v>
      </c>
      <c r="AI1017" s="1" t="s">
        <v>71</v>
      </c>
      <c r="AK1017" s="1" t="s">
        <v>86</v>
      </c>
      <c r="AL1017" s="1" t="s">
        <v>87</v>
      </c>
      <c r="AM1017" s="1">
        <v>3</v>
      </c>
      <c r="AN1017" s="1">
        <v>0</v>
      </c>
      <c r="AO1017" s="1">
        <f t="shared" si="94"/>
        <v>3</v>
      </c>
    </row>
    <row r="1018" spans="1:41" x14ac:dyDescent="0.4">
      <c r="A1018" s="1">
        <v>1</v>
      </c>
      <c r="B1018" s="1" t="s">
        <v>1033</v>
      </c>
      <c r="C1018" s="1" t="s">
        <v>41</v>
      </c>
      <c r="D1018" s="2">
        <v>38799</v>
      </c>
      <c r="E1018" s="1">
        <v>82</v>
      </c>
      <c r="F1018" s="1">
        <v>12</v>
      </c>
      <c r="G1018" s="3">
        <v>0.63787037037037042</v>
      </c>
      <c r="H1018" s="3">
        <v>0.6381944444444444</v>
      </c>
      <c r="I1018" s="3">
        <v>3.240740740739767E-4</v>
      </c>
      <c r="J1018" s="3">
        <v>3.240740740739767E-4</v>
      </c>
      <c r="K1018" s="5">
        <f t="shared" si="93"/>
        <v>28</v>
      </c>
      <c r="L1018" s="3">
        <v>7.4884259259260233E-3</v>
      </c>
      <c r="N1018" s="1" t="s">
        <v>42</v>
      </c>
      <c r="O1018" s="1" t="s">
        <v>43</v>
      </c>
      <c r="P1018" s="1" t="s">
        <v>227</v>
      </c>
      <c r="Q1018" s="1" t="s">
        <v>76</v>
      </c>
      <c r="S1018" s="1" t="s">
        <v>46</v>
      </c>
      <c r="T1018" s="1" t="s">
        <v>45</v>
      </c>
      <c r="U1018" s="1" t="s">
        <v>92</v>
      </c>
      <c r="V1018" s="1" t="s">
        <v>49</v>
      </c>
      <c r="W1018" s="1" t="s">
        <v>50</v>
      </c>
      <c r="X1018" s="1" t="s">
        <v>951</v>
      </c>
      <c r="Y1018" s="1" t="s">
        <v>159</v>
      </c>
      <c r="Z1018" s="1" t="s">
        <v>160</v>
      </c>
      <c r="AA1018" s="1" t="s">
        <v>952</v>
      </c>
      <c r="AB1018" s="1" t="s">
        <v>953</v>
      </c>
      <c r="AC1018" s="1">
        <v>0</v>
      </c>
      <c r="AD1018" s="1" t="s">
        <v>56</v>
      </c>
      <c r="AE1018" s="1" t="s">
        <v>83</v>
      </c>
      <c r="AF1018" s="1" t="s">
        <v>153</v>
      </c>
      <c r="AG1018" s="1" t="s">
        <v>1093</v>
      </c>
      <c r="AH1018" s="1" t="s">
        <v>165</v>
      </c>
      <c r="AI1018" s="1" t="s">
        <v>75</v>
      </c>
      <c r="AK1018" s="1" t="s">
        <v>86</v>
      </c>
      <c r="AL1018" s="1" t="s">
        <v>87</v>
      </c>
      <c r="AM1018" s="1">
        <v>2</v>
      </c>
      <c r="AN1018" s="1">
        <v>0</v>
      </c>
      <c r="AO1018" s="1">
        <f t="shared" si="94"/>
        <v>2</v>
      </c>
    </row>
    <row r="1019" spans="1:41" x14ac:dyDescent="0.4">
      <c r="A1019" s="1">
        <v>1</v>
      </c>
      <c r="B1019" s="1" t="s">
        <v>1033</v>
      </c>
      <c r="C1019" s="1" t="s">
        <v>41</v>
      </c>
      <c r="D1019" s="2">
        <v>38799</v>
      </c>
      <c r="E1019" s="1">
        <v>82</v>
      </c>
      <c r="F1019" s="1">
        <v>12.1</v>
      </c>
      <c r="G1019" s="3">
        <v>0.64568287037037042</v>
      </c>
      <c r="H1019" s="3">
        <v>0.64571759259259254</v>
      </c>
      <c r="I1019" s="3">
        <v>3.4722222222116628E-5</v>
      </c>
      <c r="J1019" s="3">
        <v>3.4722222222116628E-5</v>
      </c>
      <c r="K1019" s="5">
        <f t="shared" si="93"/>
        <v>3</v>
      </c>
      <c r="L1019" s="3">
        <v>1.1932870370370496E-2</v>
      </c>
      <c r="N1019" s="1" t="s">
        <v>42</v>
      </c>
      <c r="O1019" s="1" t="s">
        <v>43</v>
      </c>
      <c r="P1019" s="1" t="s">
        <v>227</v>
      </c>
      <c r="Q1019" s="1" t="s">
        <v>45</v>
      </c>
      <c r="S1019" s="1" t="s">
        <v>46</v>
      </c>
      <c r="T1019" s="1" t="s">
        <v>76</v>
      </c>
      <c r="U1019" s="1" t="s">
        <v>66</v>
      </c>
      <c r="AB1019" s="1" t="s">
        <v>93</v>
      </c>
      <c r="AC1019" s="1">
        <v>1</v>
      </c>
      <c r="AI1019" s="1" t="s">
        <v>71</v>
      </c>
      <c r="AK1019" s="1" t="s">
        <v>86</v>
      </c>
      <c r="AL1019" s="1" t="s">
        <v>133</v>
      </c>
      <c r="AN1019" s="1">
        <v>1</v>
      </c>
      <c r="AO1019" s="1">
        <f t="shared" si="94"/>
        <v>1</v>
      </c>
    </row>
    <row r="1020" spans="1:41" x14ac:dyDescent="0.4">
      <c r="A1020" s="1">
        <v>1</v>
      </c>
      <c r="B1020" s="1" t="s">
        <v>1033</v>
      </c>
      <c r="C1020" s="1" t="s">
        <v>41</v>
      </c>
      <c r="D1020" s="2">
        <v>38799</v>
      </c>
      <c r="E1020" s="1">
        <v>82</v>
      </c>
      <c r="F1020" s="1">
        <v>12.2</v>
      </c>
      <c r="G1020" s="3">
        <v>0.65765046296296303</v>
      </c>
      <c r="H1020" s="3">
        <v>0.65774305555555557</v>
      </c>
      <c r="I1020" s="3">
        <v>9.2592592592533052E-5</v>
      </c>
      <c r="J1020" s="3">
        <v>9.2592592592533052E-5</v>
      </c>
      <c r="K1020" s="5">
        <f t="shared" si="93"/>
        <v>8</v>
      </c>
      <c r="L1020" s="3">
        <v>2.5462962962963243E-3</v>
      </c>
      <c r="N1020" s="1" t="s">
        <v>42</v>
      </c>
      <c r="O1020" s="1" t="s">
        <v>43</v>
      </c>
      <c r="P1020" s="1" t="s">
        <v>227</v>
      </c>
      <c r="Q1020" s="1" t="s">
        <v>76</v>
      </c>
      <c r="S1020" s="1" t="s">
        <v>46</v>
      </c>
      <c r="T1020" s="1" t="s">
        <v>76</v>
      </c>
      <c r="U1020" s="1" t="s">
        <v>66</v>
      </c>
      <c r="AB1020" s="1" t="s">
        <v>93</v>
      </c>
      <c r="AC1020" s="1">
        <v>1</v>
      </c>
      <c r="AI1020" s="1" t="s">
        <v>71</v>
      </c>
      <c r="AK1020" s="1" t="s">
        <v>86</v>
      </c>
      <c r="AL1020" s="1" t="s">
        <v>87</v>
      </c>
      <c r="AN1020" s="1">
        <v>1</v>
      </c>
      <c r="AO1020" s="1">
        <f t="shared" si="94"/>
        <v>1</v>
      </c>
    </row>
    <row r="1021" spans="1:41" x14ac:dyDescent="0.4">
      <c r="A1021" s="1">
        <v>1</v>
      </c>
      <c r="B1021" s="1" t="s">
        <v>1033</v>
      </c>
      <c r="C1021" s="1" t="s">
        <v>41</v>
      </c>
      <c r="D1021" s="2">
        <v>38799</v>
      </c>
      <c r="E1021" s="1">
        <v>82</v>
      </c>
      <c r="F1021" s="1">
        <v>12.3</v>
      </c>
      <c r="G1021" s="3">
        <v>0.66028935185185189</v>
      </c>
      <c r="H1021" s="3">
        <v>0.66031249999999997</v>
      </c>
      <c r="I1021" s="3">
        <v>2.3148148148077752E-5</v>
      </c>
      <c r="J1021" s="3">
        <v>2.3148148148077752E-5</v>
      </c>
      <c r="K1021" s="5">
        <f t="shared" si="93"/>
        <v>2</v>
      </c>
      <c r="L1021" s="3">
        <v>1.6203703703703276E-3</v>
      </c>
      <c r="N1021" s="1" t="s">
        <v>75</v>
      </c>
      <c r="O1021" s="1" t="s">
        <v>43</v>
      </c>
      <c r="P1021" s="1" t="s">
        <v>227</v>
      </c>
      <c r="Q1021" s="1" t="s">
        <v>76</v>
      </c>
      <c r="S1021" s="1" t="s">
        <v>46</v>
      </c>
      <c r="AB1021" s="1" t="s">
        <v>93</v>
      </c>
      <c r="AC1021" s="1">
        <v>1</v>
      </c>
      <c r="AK1021" s="1" t="s">
        <v>61</v>
      </c>
      <c r="AL1021" s="1" t="s">
        <v>72</v>
      </c>
      <c r="AN1021" s="1">
        <v>1</v>
      </c>
      <c r="AO1021" s="1">
        <f t="shared" si="94"/>
        <v>1</v>
      </c>
    </row>
    <row r="1022" spans="1:41" x14ac:dyDescent="0.4">
      <c r="A1022" s="1">
        <v>1</v>
      </c>
      <c r="B1022" s="1" t="s">
        <v>1033</v>
      </c>
      <c r="C1022" s="1" t="s">
        <v>41</v>
      </c>
      <c r="D1022" s="2">
        <v>38799</v>
      </c>
      <c r="E1022" s="1">
        <v>82</v>
      </c>
      <c r="F1022" s="1">
        <v>12.4</v>
      </c>
      <c r="G1022" s="3">
        <v>0.67109953703703706</v>
      </c>
      <c r="H1022" s="3">
        <v>0.67206018518518518</v>
      </c>
      <c r="I1022" s="3">
        <v>9.6064814814811328E-4</v>
      </c>
      <c r="J1022" s="3">
        <v>9.6064814814811328E-4</v>
      </c>
      <c r="K1022" s="5">
        <f t="shared" si="93"/>
        <v>83</v>
      </c>
      <c r="L1022" s="3">
        <v>6.9444444444444198E-3</v>
      </c>
      <c r="N1022" s="1" t="s">
        <v>42</v>
      </c>
      <c r="O1022" s="1" t="s">
        <v>43</v>
      </c>
      <c r="P1022" s="1" t="s">
        <v>227</v>
      </c>
      <c r="Q1022" s="1" t="s">
        <v>76</v>
      </c>
      <c r="S1022" s="1" t="s">
        <v>46</v>
      </c>
      <c r="T1022" s="1" t="s">
        <v>76</v>
      </c>
      <c r="U1022" s="1" t="s">
        <v>66</v>
      </c>
      <c r="V1022" s="1" t="s">
        <v>102</v>
      </c>
      <c r="W1022" s="1" t="s">
        <v>184</v>
      </c>
      <c r="X1022" s="1" t="s">
        <v>121</v>
      </c>
      <c r="AB1022" s="1" t="s">
        <v>104</v>
      </c>
      <c r="AC1022" s="1">
        <v>0</v>
      </c>
      <c r="AE1022" s="1" t="s">
        <v>70</v>
      </c>
      <c r="AI1022" s="1" t="s">
        <v>71</v>
      </c>
      <c r="AJ1022" s="1" t="s">
        <v>147</v>
      </c>
      <c r="AK1022" s="1" t="s">
        <v>86</v>
      </c>
      <c r="AL1022" s="1" t="s">
        <v>86</v>
      </c>
      <c r="AN1022" s="1">
        <v>1</v>
      </c>
      <c r="AO1022" s="1">
        <f t="shared" si="94"/>
        <v>1</v>
      </c>
    </row>
    <row r="1023" spans="1:41" x14ac:dyDescent="0.4">
      <c r="A1023" s="1">
        <v>1</v>
      </c>
      <c r="B1023" s="1" t="s">
        <v>1033</v>
      </c>
      <c r="C1023" s="1" t="s">
        <v>41</v>
      </c>
      <c r="D1023" s="2">
        <v>38799</v>
      </c>
      <c r="E1023" s="1">
        <v>82</v>
      </c>
      <c r="F1023" s="1">
        <v>12.5</v>
      </c>
      <c r="G1023" s="3">
        <v>0.6790046296296296</v>
      </c>
      <c r="H1023" s="3">
        <v>0.68347222222222215</v>
      </c>
      <c r="I1023" s="3">
        <v>4.4675925925925508E-3</v>
      </c>
      <c r="J1023" s="3">
        <v>3.5763888888887818E-3</v>
      </c>
      <c r="K1023" s="5">
        <f t="shared" si="93"/>
        <v>309</v>
      </c>
      <c r="L1023" s="3">
        <v>5.7060185185185963E-3</v>
      </c>
      <c r="N1023" s="1" t="s">
        <v>42</v>
      </c>
      <c r="O1023" s="1" t="s">
        <v>43</v>
      </c>
      <c r="P1023" s="1" t="s">
        <v>227</v>
      </c>
      <c r="Q1023" s="1" t="s">
        <v>76</v>
      </c>
      <c r="S1023" s="1" t="s">
        <v>46</v>
      </c>
      <c r="T1023" s="1" t="s">
        <v>76</v>
      </c>
      <c r="U1023" s="1" t="s">
        <v>66</v>
      </c>
      <c r="V1023" s="1" t="s">
        <v>102</v>
      </c>
      <c r="W1023" s="1" t="s">
        <v>103</v>
      </c>
      <c r="X1023" s="1" t="s">
        <v>121</v>
      </c>
      <c r="AB1023" s="1" t="s">
        <v>104</v>
      </c>
      <c r="AC1023" s="1">
        <v>0</v>
      </c>
      <c r="AE1023" s="1" t="s">
        <v>70</v>
      </c>
      <c r="AF1023" s="1" t="s">
        <v>113</v>
      </c>
      <c r="AG1023" s="1" t="s">
        <v>1094</v>
      </c>
      <c r="AI1023" s="1" t="s">
        <v>71</v>
      </c>
      <c r="AK1023" s="1" t="s">
        <v>116</v>
      </c>
      <c r="AL1023" s="1" t="s">
        <v>116</v>
      </c>
      <c r="AM1023" s="1">
        <v>4</v>
      </c>
      <c r="AN1023" s="1">
        <v>0</v>
      </c>
      <c r="AO1023" s="1">
        <f t="shared" si="94"/>
        <v>4</v>
      </c>
    </row>
    <row r="1024" spans="1:41" x14ac:dyDescent="0.4">
      <c r="A1024" s="1">
        <v>1</v>
      </c>
      <c r="B1024" s="1" t="s">
        <v>1033</v>
      </c>
      <c r="C1024" s="1" t="s">
        <v>41</v>
      </c>
      <c r="D1024" s="2">
        <v>38799</v>
      </c>
      <c r="E1024" s="1">
        <v>82</v>
      </c>
      <c r="F1024" s="1">
        <v>13.4</v>
      </c>
      <c r="G1024" s="3">
        <v>0.6619328703703703</v>
      </c>
      <c r="H1024" s="3">
        <v>0.66263888888888889</v>
      </c>
      <c r="I1024" s="3">
        <v>7.0601851851859188E-4</v>
      </c>
      <c r="J1024" s="3">
        <v>5.0925925925926485E-4</v>
      </c>
      <c r="K1024" s="5">
        <f t="shared" si="93"/>
        <v>44</v>
      </c>
      <c r="L1024" s="3">
        <v>8.4606481481481755E-3</v>
      </c>
      <c r="N1024" s="1" t="s">
        <v>42</v>
      </c>
      <c r="O1024" s="1" t="s">
        <v>43</v>
      </c>
      <c r="P1024" s="1" t="s">
        <v>227</v>
      </c>
      <c r="Q1024" s="1" t="s">
        <v>76</v>
      </c>
      <c r="S1024" s="1" t="s">
        <v>46</v>
      </c>
      <c r="V1024" s="1" t="s">
        <v>102</v>
      </c>
      <c r="W1024" s="1" t="s">
        <v>184</v>
      </c>
      <c r="X1024" s="1" t="s">
        <v>121</v>
      </c>
      <c r="AB1024" s="1" t="s">
        <v>104</v>
      </c>
      <c r="AC1024" s="1">
        <v>0</v>
      </c>
      <c r="AE1024" s="1" t="s">
        <v>70</v>
      </c>
      <c r="AF1024" s="1" t="s">
        <v>84</v>
      </c>
      <c r="AK1024" s="1" t="s">
        <v>86</v>
      </c>
      <c r="AL1024" s="1" t="s">
        <v>86</v>
      </c>
      <c r="AN1024" s="1">
        <v>1</v>
      </c>
      <c r="AO1024" s="1">
        <f t="shared" si="94"/>
        <v>1</v>
      </c>
    </row>
    <row r="1025" spans="1:41" x14ac:dyDescent="0.4">
      <c r="A1025" s="1">
        <v>1</v>
      </c>
      <c r="B1025" s="1" t="s">
        <v>1033</v>
      </c>
      <c r="C1025" s="1" t="s">
        <v>41</v>
      </c>
      <c r="D1025" s="2">
        <v>38799</v>
      </c>
      <c r="E1025" s="1">
        <v>82</v>
      </c>
      <c r="F1025" s="1">
        <v>14</v>
      </c>
      <c r="G1025" s="3">
        <v>0.68917824074074074</v>
      </c>
      <c r="H1025" s="3">
        <v>0.69696759259259267</v>
      </c>
      <c r="I1025" s="3">
        <v>7.7893518518519222E-3</v>
      </c>
      <c r="J1025" s="3">
        <v>5.4745370370372637E-3</v>
      </c>
      <c r="K1025" s="5">
        <f t="shared" si="93"/>
        <v>473</v>
      </c>
      <c r="L1025" s="3" t="s">
        <v>120</v>
      </c>
      <c r="N1025" s="1" t="s">
        <v>42</v>
      </c>
      <c r="O1025" s="1" t="s">
        <v>43</v>
      </c>
      <c r="P1025" s="1" t="s">
        <v>227</v>
      </c>
      <c r="Q1025" s="1" t="s">
        <v>45</v>
      </c>
      <c r="S1025" s="1" t="s">
        <v>46</v>
      </c>
      <c r="T1025" s="1" t="s">
        <v>45</v>
      </c>
      <c r="U1025" s="1" t="s">
        <v>92</v>
      </c>
      <c r="V1025" s="1" t="s">
        <v>102</v>
      </c>
      <c r="W1025" s="1" t="s">
        <v>433</v>
      </c>
      <c r="X1025" s="1" t="s">
        <v>96</v>
      </c>
      <c r="Y1025" s="1" t="s">
        <v>1095</v>
      </c>
      <c r="Z1025" s="1" t="s">
        <v>1096</v>
      </c>
      <c r="AA1025" s="1" t="s">
        <v>1097</v>
      </c>
      <c r="AB1025" s="1" t="s">
        <v>1098</v>
      </c>
      <c r="AC1025" s="1">
        <v>0</v>
      </c>
      <c r="AD1025" s="1" t="s">
        <v>1099</v>
      </c>
      <c r="AE1025" s="1" t="s">
        <v>70</v>
      </c>
      <c r="AG1025" s="1" t="s">
        <v>1100</v>
      </c>
      <c r="AI1025" s="1" t="s">
        <v>75</v>
      </c>
      <c r="AK1025" s="1" t="s">
        <v>86</v>
      </c>
      <c r="AL1025" s="1" t="s">
        <v>87</v>
      </c>
      <c r="AM1025" s="1">
        <v>4</v>
      </c>
      <c r="AN1025" s="1">
        <v>0</v>
      </c>
      <c r="AO1025" s="1">
        <f t="shared" si="94"/>
        <v>4</v>
      </c>
    </row>
    <row r="1026" spans="1:41" x14ac:dyDescent="0.4">
      <c r="A1026" s="1">
        <v>1</v>
      </c>
      <c r="B1026" s="1" t="s">
        <v>1033</v>
      </c>
      <c r="C1026" s="1" t="s">
        <v>41</v>
      </c>
      <c r="D1026" s="2">
        <v>38817</v>
      </c>
      <c r="E1026" s="1">
        <v>100</v>
      </c>
      <c r="F1026" s="1">
        <v>1</v>
      </c>
      <c r="G1026" s="3">
        <v>0.40881944444444446</v>
      </c>
      <c r="H1026" s="3">
        <v>0.41060185185185188</v>
      </c>
      <c r="I1026" s="3">
        <v>1.782407407407427E-3</v>
      </c>
      <c r="J1026" s="3">
        <v>1.782407407407427E-3</v>
      </c>
      <c r="K1026" s="5">
        <f t="shared" ref="K1026:K1089" si="95">HOUR(J1026)*60*60+MINUTE(J1026)*60+SECOND(J1026)</f>
        <v>154</v>
      </c>
      <c r="L1026" s="3">
        <v>3.0196759259259243E-2</v>
      </c>
      <c r="N1026" s="1" t="s">
        <v>42</v>
      </c>
      <c r="O1026" s="1" t="s">
        <v>43</v>
      </c>
      <c r="P1026" s="1" t="s">
        <v>227</v>
      </c>
      <c r="Q1026" s="1" t="s">
        <v>45</v>
      </c>
      <c r="S1026" s="1" t="s">
        <v>46</v>
      </c>
      <c r="T1026" s="1" t="s">
        <v>124</v>
      </c>
      <c r="V1026" s="1" t="s">
        <v>49</v>
      </c>
      <c r="W1026" s="1" t="s">
        <v>50</v>
      </c>
      <c r="X1026" s="1" t="s">
        <v>158</v>
      </c>
      <c r="Y1026" s="1" t="s">
        <v>159</v>
      </c>
      <c r="Z1026" s="1" t="s">
        <v>160</v>
      </c>
      <c r="AA1026" s="1" t="s">
        <v>161</v>
      </c>
      <c r="AB1026" s="1" t="s">
        <v>162</v>
      </c>
      <c r="AC1026" s="1">
        <v>0</v>
      </c>
      <c r="AD1026" s="1" t="s">
        <v>56</v>
      </c>
      <c r="AE1026" s="1" t="s">
        <v>83</v>
      </c>
      <c r="AF1026" s="1" t="s">
        <v>113</v>
      </c>
      <c r="AG1026" s="1" t="s">
        <v>1074</v>
      </c>
      <c r="AH1026" s="1" t="s">
        <v>165</v>
      </c>
      <c r="AJ1026" s="1" t="s">
        <v>147</v>
      </c>
      <c r="AK1026" s="1" t="s">
        <v>116</v>
      </c>
      <c r="AL1026" s="1" t="s">
        <v>174</v>
      </c>
      <c r="AM1026" s="1">
        <v>4</v>
      </c>
      <c r="AN1026" s="1">
        <v>0</v>
      </c>
      <c r="AO1026" s="1">
        <f t="shared" si="94"/>
        <v>4</v>
      </c>
    </row>
    <row r="1027" spans="1:41" x14ac:dyDescent="0.4">
      <c r="A1027" s="1">
        <v>1</v>
      </c>
      <c r="B1027" s="1" t="s">
        <v>1033</v>
      </c>
      <c r="C1027" s="1" t="s">
        <v>41</v>
      </c>
      <c r="D1027" s="2">
        <v>38817</v>
      </c>
      <c r="E1027" s="1">
        <v>100</v>
      </c>
      <c r="F1027" s="1">
        <v>2</v>
      </c>
      <c r="G1027" s="3">
        <v>0.44079861111111113</v>
      </c>
      <c r="H1027" s="3">
        <v>0.44133101851851847</v>
      </c>
      <c r="I1027" s="3">
        <v>5.324074074073426E-4</v>
      </c>
      <c r="J1027" s="3">
        <v>5.324074074073426E-4</v>
      </c>
      <c r="K1027" s="5">
        <f t="shared" si="95"/>
        <v>46</v>
      </c>
      <c r="L1027" s="3" t="s">
        <v>120</v>
      </c>
      <c r="N1027" s="1" t="s">
        <v>42</v>
      </c>
      <c r="O1027" s="1" t="s">
        <v>43</v>
      </c>
      <c r="P1027" s="1" t="s">
        <v>227</v>
      </c>
      <c r="Q1027" s="1" t="s">
        <v>76</v>
      </c>
      <c r="S1027" s="1" t="s">
        <v>46</v>
      </c>
      <c r="T1027" s="1" t="s">
        <v>45</v>
      </c>
      <c r="U1027" s="1" t="s">
        <v>156</v>
      </c>
      <c r="V1027" s="1" t="s">
        <v>102</v>
      </c>
      <c r="W1027" s="1" t="s">
        <v>103</v>
      </c>
      <c r="X1027" s="1" t="s">
        <v>121</v>
      </c>
      <c r="AB1027" s="1" t="s">
        <v>104</v>
      </c>
      <c r="AC1027" s="1">
        <v>0</v>
      </c>
      <c r="AE1027" s="1" t="s">
        <v>70</v>
      </c>
      <c r="AG1027" s="1" t="s">
        <v>1062</v>
      </c>
      <c r="AI1027" s="1" t="s">
        <v>75</v>
      </c>
      <c r="AK1027" s="1" t="s">
        <v>86</v>
      </c>
      <c r="AL1027" s="1" t="s">
        <v>87</v>
      </c>
      <c r="AM1027" s="1">
        <v>4</v>
      </c>
      <c r="AN1027" s="1">
        <v>0</v>
      </c>
      <c r="AO1027" s="1">
        <f t="shared" ref="AO1027:AO1090" si="96">SUM(AM1027:AN1027)</f>
        <v>4</v>
      </c>
    </row>
    <row r="1028" spans="1:41" x14ac:dyDescent="0.4">
      <c r="A1028" s="1">
        <v>1</v>
      </c>
      <c r="B1028" s="1" t="s">
        <v>1033</v>
      </c>
      <c r="C1028" s="1" t="s">
        <v>41</v>
      </c>
      <c r="D1028" s="2">
        <v>38826</v>
      </c>
      <c r="E1028" s="1">
        <v>109</v>
      </c>
      <c r="F1028" s="1">
        <v>0.2</v>
      </c>
      <c r="G1028" s="3">
        <v>0.29856481481481484</v>
      </c>
      <c r="H1028" s="3">
        <v>0.29859953703703707</v>
      </c>
      <c r="I1028" s="3">
        <v>3.472222222222765E-5</v>
      </c>
      <c r="J1028" s="3">
        <v>3.472222222222765E-5</v>
      </c>
      <c r="K1028" s="5">
        <f t="shared" si="95"/>
        <v>3</v>
      </c>
      <c r="L1028" s="3">
        <v>5.5902777777777635E-3</v>
      </c>
      <c r="N1028" s="1" t="s">
        <v>75</v>
      </c>
      <c r="O1028" s="1" t="s">
        <v>43</v>
      </c>
      <c r="P1028" s="1" t="s">
        <v>227</v>
      </c>
      <c r="Q1028" s="1" t="s">
        <v>76</v>
      </c>
      <c r="S1028" s="1" t="s">
        <v>46</v>
      </c>
      <c r="T1028" s="1" t="s">
        <v>76</v>
      </c>
      <c r="U1028" s="1" t="s">
        <v>66</v>
      </c>
      <c r="AB1028" s="1" t="s">
        <v>93</v>
      </c>
      <c r="AC1028" s="1">
        <v>1</v>
      </c>
      <c r="AG1028" s="1" t="s">
        <v>1101</v>
      </c>
      <c r="AI1028" s="1" t="s">
        <v>75</v>
      </c>
      <c r="AJ1028" s="1" t="s">
        <v>147</v>
      </c>
      <c r="AK1028" s="1" t="s">
        <v>86</v>
      </c>
      <c r="AL1028" s="1" t="s">
        <v>87</v>
      </c>
      <c r="AM1028" s="1">
        <v>3</v>
      </c>
      <c r="AN1028" s="1">
        <v>0</v>
      </c>
      <c r="AO1028" s="1">
        <f t="shared" si="96"/>
        <v>3</v>
      </c>
    </row>
    <row r="1029" spans="1:41" x14ac:dyDescent="0.4">
      <c r="A1029" s="1">
        <v>1</v>
      </c>
      <c r="B1029" s="1" t="s">
        <v>1033</v>
      </c>
      <c r="C1029" s="1" t="s">
        <v>41</v>
      </c>
      <c r="D1029" s="2">
        <v>38826</v>
      </c>
      <c r="E1029" s="1">
        <v>109</v>
      </c>
      <c r="F1029" s="1">
        <v>0.3</v>
      </c>
      <c r="G1029" s="3">
        <v>0.30418981481481483</v>
      </c>
      <c r="H1029" s="3">
        <v>0.30443287037037037</v>
      </c>
      <c r="I1029" s="3">
        <v>2.4305555555553804E-4</v>
      </c>
      <c r="J1029" s="3">
        <v>2.4305555555553804E-4</v>
      </c>
      <c r="K1029" s="5">
        <f t="shared" si="95"/>
        <v>21</v>
      </c>
      <c r="L1029" s="3">
        <v>1.8437499999999996E-2</v>
      </c>
      <c r="N1029" s="1" t="s">
        <v>75</v>
      </c>
      <c r="O1029" s="1" t="s">
        <v>43</v>
      </c>
      <c r="P1029" s="1" t="s">
        <v>227</v>
      </c>
      <c r="Q1029" s="1" t="s">
        <v>76</v>
      </c>
      <c r="S1029" s="1" t="s">
        <v>46</v>
      </c>
      <c r="T1029" s="1" t="s">
        <v>45</v>
      </c>
      <c r="U1029" s="1" t="s">
        <v>66</v>
      </c>
      <c r="AB1029" s="1" t="s">
        <v>93</v>
      </c>
      <c r="AC1029" s="1">
        <v>1</v>
      </c>
      <c r="AG1029" s="1" t="s">
        <v>1101</v>
      </c>
      <c r="AI1029" s="1" t="s">
        <v>75</v>
      </c>
      <c r="AK1029" s="1" t="s">
        <v>86</v>
      </c>
      <c r="AL1029" s="1" t="s">
        <v>87</v>
      </c>
      <c r="AM1029" s="1">
        <v>3</v>
      </c>
      <c r="AN1029" s="1">
        <v>0</v>
      </c>
      <c r="AO1029" s="1">
        <f t="shared" si="96"/>
        <v>3</v>
      </c>
    </row>
    <row r="1030" spans="1:41" x14ac:dyDescent="0.4">
      <c r="A1030" s="1">
        <v>1</v>
      </c>
      <c r="B1030" s="1" t="s">
        <v>1033</v>
      </c>
      <c r="C1030" s="1" t="s">
        <v>41</v>
      </c>
      <c r="D1030" s="2">
        <v>38826</v>
      </c>
      <c r="E1030" s="1">
        <v>109</v>
      </c>
      <c r="F1030" s="1">
        <v>0.4</v>
      </c>
      <c r="G1030" s="3">
        <v>0.32287037037037036</v>
      </c>
      <c r="H1030" s="3">
        <v>0.32288194444444446</v>
      </c>
      <c r="I1030" s="3">
        <v>1.1574074074094387E-5</v>
      </c>
      <c r="J1030" s="3">
        <v>1.1574074074094387E-5</v>
      </c>
      <c r="K1030" s="5">
        <f t="shared" si="95"/>
        <v>1</v>
      </c>
      <c r="L1030" s="3">
        <v>3.1481481481481222E-3</v>
      </c>
      <c r="N1030" s="1" t="s">
        <v>75</v>
      </c>
      <c r="O1030" s="1" t="s">
        <v>43</v>
      </c>
      <c r="P1030" s="1" t="s">
        <v>227</v>
      </c>
      <c r="Q1030" s="1" t="s">
        <v>76</v>
      </c>
      <c r="S1030" s="1" t="s">
        <v>46</v>
      </c>
      <c r="T1030" s="1" t="s">
        <v>45</v>
      </c>
      <c r="U1030" s="1" t="s">
        <v>66</v>
      </c>
      <c r="AB1030" s="1" t="s">
        <v>93</v>
      </c>
      <c r="AC1030" s="1">
        <v>1</v>
      </c>
      <c r="AG1030" s="1" t="s">
        <v>1101</v>
      </c>
      <c r="AI1030" s="1" t="s">
        <v>75</v>
      </c>
      <c r="AK1030" s="1" t="s">
        <v>86</v>
      </c>
      <c r="AL1030" s="1" t="s">
        <v>133</v>
      </c>
      <c r="AM1030" s="1">
        <v>3</v>
      </c>
      <c r="AN1030" s="1">
        <v>0</v>
      </c>
      <c r="AO1030" s="1">
        <f t="shared" si="96"/>
        <v>3</v>
      </c>
    </row>
    <row r="1031" spans="1:41" x14ac:dyDescent="0.4">
      <c r="A1031" s="1">
        <v>1</v>
      </c>
      <c r="B1031" s="1" t="s">
        <v>1033</v>
      </c>
      <c r="C1031" s="1" t="s">
        <v>41</v>
      </c>
      <c r="D1031" s="2">
        <v>38826</v>
      </c>
      <c r="E1031" s="1">
        <v>109</v>
      </c>
      <c r="F1031" s="1">
        <v>0.5</v>
      </c>
      <c r="G1031" s="3">
        <v>0.32603009259259258</v>
      </c>
      <c r="H1031" s="3">
        <v>0.32606481481481481</v>
      </c>
      <c r="I1031" s="3">
        <v>3.472222222222765E-5</v>
      </c>
      <c r="J1031" s="3">
        <v>3.472222222222765E-5</v>
      </c>
      <c r="K1031" s="5">
        <f t="shared" si="95"/>
        <v>3</v>
      </c>
      <c r="L1031" s="3">
        <v>7.5231481481481455E-2</v>
      </c>
      <c r="N1031" s="1" t="s">
        <v>75</v>
      </c>
      <c r="O1031" s="1" t="s">
        <v>43</v>
      </c>
      <c r="P1031" s="1" t="s">
        <v>227</v>
      </c>
      <c r="Q1031" s="1" t="s">
        <v>76</v>
      </c>
      <c r="S1031" s="1" t="s">
        <v>46</v>
      </c>
      <c r="T1031" s="1" t="s">
        <v>76</v>
      </c>
      <c r="U1031" s="1" t="s">
        <v>66</v>
      </c>
      <c r="AB1031" s="1" t="s">
        <v>93</v>
      </c>
      <c r="AC1031" s="1">
        <v>1</v>
      </c>
      <c r="AI1031" s="1" t="s">
        <v>75</v>
      </c>
      <c r="AK1031" s="1" t="s">
        <v>61</v>
      </c>
      <c r="AL1031" s="1" t="s">
        <v>61</v>
      </c>
      <c r="AN1031" s="1">
        <v>1</v>
      </c>
      <c r="AO1031" s="1">
        <f t="shared" si="96"/>
        <v>1</v>
      </c>
    </row>
    <row r="1032" spans="1:41" x14ac:dyDescent="0.4">
      <c r="A1032" s="1">
        <v>1</v>
      </c>
      <c r="B1032" s="1" t="s">
        <v>1033</v>
      </c>
      <c r="C1032" s="1" t="s">
        <v>41</v>
      </c>
      <c r="D1032" s="2">
        <v>38826</v>
      </c>
      <c r="E1032" s="1">
        <v>109</v>
      </c>
      <c r="F1032" s="1">
        <v>1</v>
      </c>
      <c r="G1032" s="3">
        <v>0.40129629629629626</v>
      </c>
      <c r="H1032" s="3">
        <v>0.40452546296296293</v>
      </c>
      <c r="I1032" s="3">
        <v>3.2291666666666718E-3</v>
      </c>
      <c r="J1032" s="3">
        <v>3.2291666666666718E-3</v>
      </c>
      <c r="K1032" s="5">
        <f t="shared" si="95"/>
        <v>279</v>
      </c>
      <c r="L1032" s="3">
        <v>1.2604166666666694E-2</v>
      </c>
      <c r="N1032" s="1" t="s">
        <v>251</v>
      </c>
      <c r="O1032" s="1" t="s">
        <v>43</v>
      </c>
      <c r="P1032" s="1" t="s">
        <v>227</v>
      </c>
      <c r="Q1032" s="1" t="s">
        <v>45</v>
      </c>
      <c r="S1032" s="1" t="s">
        <v>46</v>
      </c>
      <c r="T1032" s="1" t="s">
        <v>45</v>
      </c>
      <c r="U1032" s="1" t="s">
        <v>66</v>
      </c>
      <c r="V1032" s="1" t="s">
        <v>102</v>
      </c>
      <c r="W1032" s="1" t="s">
        <v>433</v>
      </c>
      <c r="X1032" s="1" t="s">
        <v>96</v>
      </c>
      <c r="Y1032" s="1" t="s">
        <v>1095</v>
      </c>
      <c r="Z1032" s="1" t="s">
        <v>1096</v>
      </c>
      <c r="AA1032" s="1" t="s">
        <v>1097</v>
      </c>
      <c r="AB1032" s="1" t="s">
        <v>1098</v>
      </c>
      <c r="AC1032" s="1">
        <v>0</v>
      </c>
      <c r="AD1032" s="1" t="s">
        <v>1099</v>
      </c>
      <c r="AE1032" s="1" t="s">
        <v>70</v>
      </c>
      <c r="AG1032" s="1" t="s">
        <v>1102</v>
      </c>
      <c r="AI1032" s="1" t="s">
        <v>257</v>
      </c>
      <c r="AK1032" s="1" t="s">
        <v>61</v>
      </c>
      <c r="AL1032" s="1" t="s">
        <v>61</v>
      </c>
      <c r="AM1032" s="1">
        <v>1</v>
      </c>
      <c r="AN1032" s="1">
        <v>0</v>
      </c>
      <c r="AO1032" s="1">
        <f t="shared" si="96"/>
        <v>1</v>
      </c>
    </row>
    <row r="1033" spans="1:41" x14ac:dyDescent="0.4">
      <c r="A1033" s="1">
        <v>1</v>
      </c>
      <c r="B1033" s="1" t="s">
        <v>1033</v>
      </c>
      <c r="C1033" s="1" t="s">
        <v>41</v>
      </c>
      <c r="D1033" s="2">
        <v>38826</v>
      </c>
      <c r="E1033" s="1">
        <v>109</v>
      </c>
      <c r="F1033" s="1">
        <v>2</v>
      </c>
      <c r="G1033" s="3">
        <v>0.41712962962962963</v>
      </c>
      <c r="H1033" s="3">
        <v>0.42149305555555555</v>
      </c>
      <c r="I1033" s="3">
        <v>4.3634259259259234E-3</v>
      </c>
      <c r="J1033" s="3">
        <v>4.3634259259259234E-3</v>
      </c>
      <c r="K1033" s="5">
        <f t="shared" si="95"/>
        <v>377</v>
      </c>
      <c r="L1033" s="3">
        <v>7.1759259259263075E-4</v>
      </c>
      <c r="N1033" s="1" t="s">
        <v>251</v>
      </c>
      <c r="O1033" s="1" t="s">
        <v>43</v>
      </c>
      <c r="P1033" s="1" t="s">
        <v>227</v>
      </c>
      <c r="Q1033" s="1" t="s">
        <v>76</v>
      </c>
      <c r="S1033" s="1" t="s">
        <v>46</v>
      </c>
      <c r="T1033" s="1" t="s">
        <v>124</v>
      </c>
      <c r="U1033" s="1" t="s">
        <v>66</v>
      </c>
      <c r="V1033" s="1" t="s">
        <v>49</v>
      </c>
      <c r="W1033" s="1" t="s">
        <v>50</v>
      </c>
      <c r="X1033" s="1" t="s">
        <v>158</v>
      </c>
      <c r="Y1033" s="1" t="s">
        <v>159</v>
      </c>
      <c r="Z1033" s="1" t="s">
        <v>160</v>
      </c>
      <c r="AA1033" s="1" t="s">
        <v>161</v>
      </c>
      <c r="AB1033" s="1" t="s">
        <v>162</v>
      </c>
      <c r="AC1033" s="1">
        <v>0</v>
      </c>
      <c r="AD1033" s="1" t="s">
        <v>56</v>
      </c>
      <c r="AE1033" s="1" t="s">
        <v>83</v>
      </c>
      <c r="AF1033" s="1" t="s">
        <v>113</v>
      </c>
      <c r="AG1033" s="1" t="s">
        <v>1103</v>
      </c>
      <c r="AH1033" s="1" t="s">
        <v>165</v>
      </c>
      <c r="AI1033" s="1" t="s">
        <v>257</v>
      </c>
      <c r="AK1033" s="1" t="s">
        <v>116</v>
      </c>
      <c r="AL1033" s="1" t="s">
        <v>174</v>
      </c>
      <c r="AM1033" s="1">
        <v>1</v>
      </c>
      <c r="AN1033" s="1">
        <v>0</v>
      </c>
      <c r="AO1033" s="1">
        <f t="shared" si="96"/>
        <v>1</v>
      </c>
    </row>
    <row r="1034" spans="1:41" x14ac:dyDescent="0.4">
      <c r="A1034" s="1">
        <v>1</v>
      </c>
      <c r="B1034" s="1" t="s">
        <v>1033</v>
      </c>
      <c r="C1034" s="1" t="s">
        <v>41</v>
      </c>
      <c r="D1034" s="2">
        <v>38826</v>
      </c>
      <c r="E1034" s="1">
        <v>109</v>
      </c>
      <c r="F1034" s="1">
        <v>3</v>
      </c>
      <c r="G1034" s="3">
        <v>0.42221064814814818</v>
      </c>
      <c r="H1034" s="3">
        <v>0.42942129629629627</v>
      </c>
      <c r="I1034" s="3">
        <v>7.2106481481480911E-3</v>
      </c>
      <c r="J1034" s="3">
        <v>7.2106481481480911E-3</v>
      </c>
      <c r="K1034" s="5">
        <f t="shared" si="95"/>
        <v>623</v>
      </c>
      <c r="L1034" s="3">
        <v>1.4745370370370381E-2</v>
      </c>
      <c r="N1034" s="1" t="s">
        <v>251</v>
      </c>
      <c r="O1034" s="1" t="s">
        <v>43</v>
      </c>
      <c r="P1034" s="1" t="s">
        <v>227</v>
      </c>
      <c r="Q1034" s="1" t="s">
        <v>45</v>
      </c>
      <c r="S1034" s="1" t="s">
        <v>46</v>
      </c>
      <c r="T1034" s="1" t="s">
        <v>47</v>
      </c>
      <c r="U1034" s="1" t="s">
        <v>66</v>
      </c>
      <c r="V1034" s="1" t="s">
        <v>49</v>
      </c>
      <c r="W1034" s="1" t="s">
        <v>50</v>
      </c>
      <c r="X1034" s="1" t="s">
        <v>951</v>
      </c>
      <c r="Y1034" s="1" t="s">
        <v>159</v>
      </c>
      <c r="Z1034" s="1" t="s">
        <v>160</v>
      </c>
      <c r="AA1034" s="1" t="s">
        <v>952</v>
      </c>
      <c r="AB1034" s="1" t="s">
        <v>953</v>
      </c>
      <c r="AC1034" s="1">
        <v>0</v>
      </c>
      <c r="AD1034" s="1" t="s">
        <v>56</v>
      </c>
      <c r="AE1034" s="1" t="s">
        <v>83</v>
      </c>
      <c r="AF1034" s="1" t="s">
        <v>113</v>
      </c>
      <c r="AG1034" s="1" t="s">
        <v>1104</v>
      </c>
      <c r="AH1034" s="1" t="s">
        <v>165</v>
      </c>
      <c r="AI1034" s="1" t="s">
        <v>257</v>
      </c>
      <c r="AK1034" s="1" t="s">
        <v>61</v>
      </c>
      <c r="AL1034" s="1" t="s">
        <v>133</v>
      </c>
      <c r="AM1034" s="1">
        <v>2</v>
      </c>
      <c r="AN1034" s="1">
        <v>0</v>
      </c>
      <c r="AO1034" s="1">
        <f t="shared" si="96"/>
        <v>2</v>
      </c>
    </row>
    <row r="1035" spans="1:41" x14ac:dyDescent="0.4">
      <c r="A1035" s="1">
        <v>1</v>
      </c>
      <c r="B1035" s="1" t="s">
        <v>1033</v>
      </c>
      <c r="C1035" s="1" t="s">
        <v>41</v>
      </c>
      <c r="D1035" s="2">
        <v>38826</v>
      </c>
      <c r="E1035" s="1">
        <v>109</v>
      </c>
      <c r="F1035" s="1">
        <v>4</v>
      </c>
      <c r="G1035" s="3">
        <v>0.44416666666666665</v>
      </c>
      <c r="H1035" s="3">
        <v>0.44627314814814811</v>
      </c>
      <c r="I1035" s="3">
        <v>2.1064814814814592E-3</v>
      </c>
      <c r="J1035" s="3">
        <v>2.1064814814814592E-3</v>
      </c>
      <c r="K1035" s="5">
        <f t="shared" si="95"/>
        <v>182</v>
      </c>
      <c r="L1035" s="3">
        <v>2.2199074074074121E-2</v>
      </c>
      <c r="N1035" s="1" t="s">
        <v>251</v>
      </c>
      <c r="O1035" s="1" t="s">
        <v>43</v>
      </c>
      <c r="P1035" s="1" t="s">
        <v>227</v>
      </c>
      <c r="Q1035" s="1" t="s">
        <v>76</v>
      </c>
      <c r="S1035" s="1" t="s">
        <v>46</v>
      </c>
      <c r="T1035" s="1" t="s">
        <v>47</v>
      </c>
      <c r="U1035" s="1" t="s">
        <v>66</v>
      </c>
      <c r="V1035" s="1" t="s">
        <v>49</v>
      </c>
      <c r="W1035" s="1" t="s">
        <v>140</v>
      </c>
      <c r="X1035" s="1" t="s">
        <v>389</v>
      </c>
      <c r="Y1035" s="1" t="s">
        <v>239</v>
      </c>
      <c r="Z1035" s="1" t="s">
        <v>240</v>
      </c>
      <c r="AA1035" s="1" t="s">
        <v>241</v>
      </c>
      <c r="AB1035" s="1" t="s">
        <v>242</v>
      </c>
      <c r="AC1035" s="1">
        <v>0</v>
      </c>
      <c r="AD1035" s="1" t="s">
        <v>105</v>
      </c>
      <c r="AE1035" s="1" t="s">
        <v>181</v>
      </c>
      <c r="AG1035" s="1" t="s">
        <v>1065</v>
      </c>
      <c r="AH1035" s="1" t="s">
        <v>115</v>
      </c>
      <c r="AI1035" s="1" t="s">
        <v>257</v>
      </c>
      <c r="AK1035" s="1" t="s">
        <v>86</v>
      </c>
      <c r="AL1035" s="1" t="s">
        <v>87</v>
      </c>
      <c r="AM1035" s="1">
        <v>6</v>
      </c>
      <c r="AN1035" s="1">
        <v>0</v>
      </c>
      <c r="AO1035" s="1">
        <f t="shared" si="96"/>
        <v>6</v>
      </c>
    </row>
    <row r="1036" spans="1:41" x14ac:dyDescent="0.4">
      <c r="A1036" s="1">
        <v>1</v>
      </c>
      <c r="B1036" s="1" t="s">
        <v>1033</v>
      </c>
      <c r="C1036" s="1" t="s">
        <v>41</v>
      </c>
      <c r="D1036" s="2">
        <v>38826</v>
      </c>
      <c r="E1036" s="1">
        <v>109</v>
      </c>
      <c r="F1036" s="1">
        <v>5</v>
      </c>
      <c r="G1036" s="3">
        <v>0.46847222222222223</v>
      </c>
      <c r="H1036" s="3">
        <v>0.47751157407407407</v>
      </c>
      <c r="I1036" s="3">
        <v>9.0393518518518401E-3</v>
      </c>
      <c r="J1036" s="3">
        <v>9.0393518518518401E-3</v>
      </c>
      <c r="K1036" s="5">
        <f t="shared" si="95"/>
        <v>781</v>
      </c>
      <c r="L1036" s="3">
        <v>2.3148148148148251E-3</v>
      </c>
      <c r="N1036" s="1" t="s">
        <v>42</v>
      </c>
      <c r="O1036" s="1" t="s">
        <v>43</v>
      </c>
      <c r="P1036" s="1" t="s">
        <v>227</v>
      </c>
      <c r="Q1036" s="1" t="s">
        <v>45</v>
      </c>
      <c r="S1036" s="1" t="s">
        <v>46</v>
      </c>
      <c r="T1036" s="1" t="s">
        <v>124</v>
      </c>
      <c r="U1036" s="1" t="s">
        <v>66</v>
      </c>
      <c r="V1036" s="1" t="s">
        <v>49</v>
      </c>
      <c r="W1036" s="1" t="s">
        <v>50</v>
      </c>
      <c r="X1036" s="1" t="s">
        <v>158</v>
      </c>
      <c r="Y1036" s="1" t="s">
        <v>159</v>
      </c>
      <c r="Z1036" s="1" t="s">
        <v>160</v>
      </c>
      <c r="AA1036" s="1" t="s">
        <v>161</v>
      </c>
      <c r="AB1036" s="1" t="s">
        <v>162</v>
      </c>
      <c r="AC1036" s="1">
        <v>0</v>
      </c>
      <c r="AD1036" s="1" t="s">
        <v>56</v>
      </c>
      <c r="AE1036" s="1" t="s">
        <v>83</v>
      </c>
      <c r="AF1036" s="1" t="s">
        <v>84</v>
      </c>
      <c r="AG1036" s="1" t="s">
        <v>1074</v>
      </c>
      <c r="AH1036" s="1" t="s">
        <v>165</v>
      </c>
      <c r="AI1036" s="1" t="s">
        <v>71</v>
      </c>
      <c r="AK1036" s="1" t="s">
        <v>86</v>
      </c>
      <c r="AL1036" s="1" t="s">
        <v>133</v>
      </c>
      <c r="AM1036" s="1">
        <v>4</v>
      </c>
      <c r="AN1036" s="1">
        <v>0</v>
      </c>
      <c r="AO1036" s="1">
        <f t="shared" si="96"/>
        <v>4</v>
      </c>
    </row>
    <row r="1037" spans="1:41" x14ac:dyDescent="0.4">
      <c r="A1037" s="1">
        <v>1</v>
      </c>
      <c r="B1037" s="1" t="s">
        <v>1033</v>
      </c>
      <c r="C1037" s="1" t="s">
        <v>41</v>
      </c>
      <c r="D1037" s="2">
        <v>38826</v>
      </c>
      <c r="E1037" s="1">
        <v>109</v>
      </c>
      <c r="F1037" s="1">
        <v>6</v>
      </c>
      <c r="G1037" s="3">
        <v>0.4798263888888889</v>
      </c>
      <c r="H1037" s="3">
        <v>0.48620370370370369</v>
      </c>
      <c r="I1037" s="3">
        <v>6.377314814814794E-3</v>
      </c>
      <c r="J1037" s="3">
        <v>6.377314814814794E-3</v>
      </c>
      <c r="K1037" s="5">
        <f t="shared" si="95"/>
        <v>551</v>
      </c>
      <c r="L1037" s="3">
        <v>5.0972222222222197E-2</v>
      </c>
      <c r="N1037" s="1" t="s">
        <v>75</v>
      </c>
      <c r="O1037" s="1" t="s">
        <v>43</v>
      </c>
      <c r="P1037" s="1" t="s">
        <v>227</v>
      </c>
      <c r="Q1037" s="1" t="s">
        <v>76</v>
      </c>
      <c r="S1037" s="1" t="s">
        <v>46</v>
      </c>
      <c r="T1037" s="1" t="s">
        <v>47</v>
      </c>
      <c r="U1037" s="1" t="s">
        <v>66</v>
      </c>
      <c r="V1037" s="1" t="s">
        <v>49</v>
      </c>
      <c r="W1037" s="1" t="s">
        <v>50</v>
      </c>
      <c r="X1037" s="1" t="s">
        <v>951</v>
      </c>
      <c r="Y1037" s="1" t="s">
        <v>159</v>
      </c>
      <c r="Z1037" s="1" t="s">
        <v>160</v>
      </c>
      <c r="AA1037" s="1" t="s">
        <v>952</v>
      </c>
      <c r="AB1037" s="1" t="s">
        <v>953</v>
      </c>
      <c r="AC1037" s="1">
        <v>0</v>
      </c>
      <c r="AD1037" s="1" t="s">
        <v>56</v>
      </c>
      <c r="AE1037" s="1" t="s">
        <v>83</v>
      </c>
      <c r="AF1037" s="1" t="s">
        <v>113</v>
      </c>
      <c r="AG1037" s="1" t="s">
        <v>1105</v>
      </c>
      <c r="AH1037" s="1" t="s">
        <v>165</v>
      </c>
      <c r="AI1037" s="1" t="s">
        <v>75</v>
      </c>
      <c r="AK1037" s="1" t="s">
        <v>116</v>
      </c>
      <c r="AL1037" s="1" t="s">
        <v>117</v>
      </c>
      <c r="AM1037" s="1">
        <v>2</v>
      </c>
      <c r="AN1037" s="1">
        <v>0</v>
      </c>
      <c r="AO1037" s="1">
        <f t="shared" si="96"/>
        <v>2</v>
      </c>
    </row>
    <row r="1038" spans="1:41" x14ac:dyDescent="0.4">
      <c r="A1038" s="1">
        <v>1</v>
      </c>
      <c r="B1038" s="1" t="s">
        <v>1033</v>
      </c>
      <c r="C1038" s="1" t="s">
        <v>41</v>
      </c>
      <c r="D1038" s="2">
        <v>38826</v>
      </c>
      <c r="E1038" s="1">
        <v>109</v>
      </c>
      <c r="F1038" s="1">
        <v>6.5</v>
      </c>
      <c r="G1038" s="3">
        <v>0.53717592592592589</v>
      </c>
      <c r="H1038" s="3">
        <v>0.53718750000000004</v>
      </c>
      <c r="I1038" s="3">
        <v>1.1574074074149898E-5</v>
      </c>
      <c r="J1038" s="3">
        <v>1.1574074074149898E-5</v>
      </c>
      <c r="K1038" s="5">
        <f t="shared" si="95"/>
        <v>1</v>
      </c>
      <c r="L1038" s="3">
        <v>7.5694444444444065E-3</v>
      </c>
      <c r="N1038" s="1" t="s">
        <v>42</v>
      </c>
      <c r="O1038" s="1" t="s">
        <v>43</v>
      </c>
      <c r="P1038" s="1" t="s">
        <v>227</v>
      </c>
      <c r="Q1038" s="1" t="s">
        <v>45</v>
      </c>
      <c r="S1038" s="1" t="s">
        <v>46</v>
      </c>
      <c r="T1038" s="1" t="s">
        <v>45</v>
      </c>
      <c r="U1038" s="1" t="s">
        <v>66</v>
      </c>
      <c r="AB1038" s="1" t="s">
        <v>93</v>
      </c>
      <c r="AC1038" s="1">
        <v>1</v>
      </c>
      <c r="AG1038" s="1" t="s">
        <v>1062</v>
      </c>
      <c r="AI1038" s="1" t="s">
        <v>71</v>
      </c>
      <c r="AK1038" s="1" t="s">
        <v>86</v>
      </c>
      <c r="AL1038" s="1" t="s">
        <v>87</v>
      </c>
      <c r="AM1038" s="1">
        <v>4</v>
      </c>
      <c r="AN1038" s="1">
        <v>0</v>
      </c>
      <c r="AO1038" s="1">
        <f t="shared" si="96"/>
        <v>4</v>
      </c>
    </row>
    <row r="1039" spans="1:41" x14ac:dyDescent="0.4">
      <c r="A1039" s="1">
        <v>1</v>
      </c>
      <c r="B1039" s="1" t="s">
        <v>1033</v>
      </c>
      <c r="C1039" s="1" t="s">
        <v>41</v>
      </c>
      <c r="D1039" s="2">
        <v>38826</v>
      </c>
      <c r="E1039" s="1">
        <v>109</v>
      </c>
      <c r="F1039" s="1">
        <v>6.7</v>
      </c>
      <c r="G1039" s="3">
        <v>0.54475694444444445</v>
      </c>
      <c r="H1039" s="3">
        <v>0.54478009259259264</v>
      </c>
      <c r="I1039" s="3">
        <v>2.3148148148188774E-5</v>
      </c>
      <c r="J1039" s="3">
        <v>2.3148148148188774E-5</v>
      </c>
      <c r="K1039" s="5">
        <f t="shared" si="95"/>
        <v>2</v>
      </c>
      <c r="L1039" s="3">
        <v>4.548611111111045E-3</v>
      </c>
      <c r="N1039" s="1" t="s">
        <v>75</v>
      </c>
      <c r="O1039" s="1" t="s">
        <v>43</v>
      </c>
      <c r="P1039" s="1" t="s">
        <v>227</v>
      </c>
      <c r="Q1039" s="1" t="s">
        <v>76</v>
      </c>
      <c r="S1039" s="1" t="s">
        <v>46</v>
      </c>
      <c r="T1039" s="1" t="s">
        <v>47</v>
      </c>
      <c r="U1039" s="1" t="s">
        <v>66</v>
      </c>
      <c r="AB1039" s="1" t="s">
        <v>93</v>
      </c>
      <c r="AC1039" s="1">
        <v>1</v>
      </c>
      <c r="AG1039" s="1" t="s">
        <v>1106</v>
      </c>
      <c r="AI1039" s="1" t="s">
        <v>75</v>
      </c>
      <c r="AK1039" s="1" t="s">
        <v>86</v>
      </c>
      <c r="AL1039" s="1" t="s">
        <v>87</v>
      </c>
      <c r="AM1039" s="1">
        <v>3</v>
      </c>
      <c r="AN1039" s="1">
        <v>0</v>
      </c>
      <c r="AO1039" s="1">
        <f t="shared" si="96"/>
        <v>3</v>
      </c>
    </row>
    <row r="1040" spans="1:41" x14ac:dyDescent="0.4">
      <c r="A1040" s="1">
        <v>1</v>
      </c>
      <c r="B1040" s="1" t="s">
        <v>1033</v>
      </c>
      <c r="C1040" s="1" t="s">
        <v>41</v>
      </c>
      <c r="D1040" s="2">
        <v>38826</v>
      </c>
      <c r="E1040" s="1">
        <v>109</v>
      </c>
      <c r="F1040" s="1">
        <v>7</v>
      </c>
      <c r="G1040" s="3">
        <v>0.54932870370370368</v>
      </c>
      <c r="H1040" s="3">
        <v>0.54988425925925932</v>
      </c>
      <c r="I1040" s="3">
        <v>5.555555555556424E-4</v>
      </c>
      <c r="J1040" s="3">
        <v>5.555555555556424E-4</v>
      </c>
      <c r="K1040" s="5">
        <f t="shared" si="95"/>
        <v>48</v>
      </c>
      <c r="L1040" s="3">
        <v>3.398148148148139E-2</v>
      </c>
      <c r="N1040" s="1" t="s">
        <v>75</v>
      </c>
      <c r="O1040" s="1" t="s">
        <v>43</v>
      </c>
      <c r="P1040" s="1" t="s">
        <v>227</v>
      </c>
      <c r="Q1040" s="1" t="s">
        <v>45</v>
      </c>
      <c r="S1040" s="1" t="s">
        <v>46</v>
      </c>
      <c r="T1040" s="1" t="s">
        <v>47</v>
      </c>
      <c r="U1040" s="1" t="s">
        <v>66</v>
      </c>
      <c r="V1040" s="1" t="s">
        <v>49</v>
      </c>
      <c r="W1040" s="1" t="s">
        <v>50</v>
      </c>
      <c r="X1040" s="1" t="s">
        <v>951</v>
      </c>
      <c r="Y1040" s="1" t="s">
        <v>159</v>
      </c>
      <c r="Z1040" s="1" t="s">
        <v>160</v>
      </c>
      <c r="AA1040" s="1" t="s">
        <v>952</v>
      </c>
      <c r="AB1040" s="1" t="s">
        <v>953</v>
      </c>
      <c r="AC1040" s="1">
        <v>0</v>
      </c>
      <c r="AD1040" s="1" t="s">
        <v>56</v>
      </c>
      <c r="AE1040" s="1" t="s">
        <v>83</v>
      </c>
      <c r="AF1040" s="1" t="s">
        <v>84</v>
      </c>
      <c r="AG1040" s="1" t="s">
        <v>1105</v>
      </c>
      <c r="AH1040" s="1" t="s">
        <v>165</v>
      </c>
      <c r="AI1040" s="1" t="s">
        <v>75</v>
      </c>
      <c r="AK1040" s="1" t="s">
        <v>86</v>
      </c>
      <c r="AL1040" s="1" t="s">
        <v>87</v>
      </c>
      <c r="AM1040" s="1">
        <v>2</v>
      </c>
      <c r="AN1040" s="1">
        <v>0</v>
      </c>
      <c r="AO1040" s="1">
        <f t="shared" si="96"/>
        <v>2</v>
      </c>
    </row>
    <row r="1041" spans="1:41" x14ac:dyDescent="0.4">
      <c r="A1041" s="1">
        <v>1</v>
      </c>
      <c r="B1041" s="1" t="s">
        <v>1033</v>
      </c>
      <c r="C1041" s="1" t="s">
        <v>41</v>
      </c>
      <c r="D1041" s="2">
        <v>38826</v>
      </c>
      <c r="E1041" s="1">
        <v>109</v>
      </c>
      <c r="F1041" s="1">
        <v>8</v>
      </c>
      <c r="G1041" s="3">
        <v>0.58386574074074071</v>
      </c>
      <c r="H1041" s="3">
        <v>0.59369212962962969</v>
      </c>
      <c r="I1041" s="3">
        <v>9.8263888888889817E-3</v>
      </c>
      <c r="J1041" s="3">
        <v>1.5509259259259833E-3</v>
      </c>
      <c r="K1041" s="5">
        <f t="shared" si="95"/>
        <v>134</v>
      </c>
      <c r="L1041" s="3">
        <v>1.1412037037036971E-2</v>
      </c>
      <c r="N1041" s="1" t="s">
        <v>75</v>
      </c>
      <c r="O1041" s="1" t="s">
        <v>43</v>
      </c>
      <c r="P1041" s="1" t="s">
        <v>227</v>
      </c>
      <c r="Q1041" s="1" t="s">
        <v>76</v>
      </c>
      <c r="S1041" s="1" t="s">
        <v>46</v>
      </c>
      <c r="T1041" s="1" t="s">
        <v>45</v>
      </c>
      <c r="U1041" s="1" t="s">
        <v>66</v>
      </c>
      <c r="V1041" s="1" t="s">
        <v>102</v>
      </c>
      <c r="W1041" s="1" t="s">
        <v>433</v>
      </c>
      <c r="X1041" s="1" t="s">
        <v>96</v>
      </c>
      <c r="Y1041" s="1" t="s">
        <v>1095</v>
      </c>
      <c r="Z1041" s="1" t="s">
        <v>1096</v>
      </c>
      <c r="AA1041" s="1" t="s">
        <v>1097</v>
      </c>
      <c r="AB1041" s="1" t="s">
        <v>1098</v>
      </c>
      <c r="AC1041" s="1">
        <v>0</v>
      </c>
      <c r="AD1041" s="1" t="s">
        <v>1099</v>
      </c>
      <c r="AE1041" s="1" t="s">
        <v>70</v>
      </c>
      <c r="AG1041" s="1" t="s">
        <v>1107</v>
      </c>
      <c r="AI1041" s="1" t="s">
        <v>75</v>
      </c>
      <c r="AK1041" s="1" t="s">
        <v>61</v>
      </c>
      <c r="AL1041" s="1" t="s">
        <v>61</v>
      </c>
      <c r="AM1041" s="1">
        <v>2</v>
      </c>
      <c r="AN1041" s="1">
        <v>0</v>
      </c>
      <c r="AO1041" s="1">
        <f t="shared" si="96"/>
        <v>2</v>
      </c>
    </row>
    <row r="1042" spans="1:41" x14ac:dyDescent="0.4">
      <c r="A1042" s="1">
        <v>1</v>
      </c>
      <c r="B1042" s="1" t="s">
        <v>1033</v>
      </c>
      <c r="C1042" s="1" t="s">
        <v>41</v>
      </c>
      <c r="D1042" s="2">
        <v>38826</v>
      </c>
      <c r="E1042" s="1">
        <v>109</v>
      </c>
      <c r="F1042" s="1">
        <v>9</v>
      </c>
      <c r="G1042" s="3">
        <v>0.60510416666666667</v>
      </c>
      <c r="H1042" s="3">
        <v>0.60795138888888889</v>
      </c>
      <c r="I1042" s="3">
        <v>2.8472222222222232E-3</v>
      </c>
      <c r="J1042" s="3">
        <v>2.2106481481479756E-3</v>
      </c>
      <c r="K1042" s="5">
        <f t="shared" si="95"/>
        <v>191</v>
      </c>
      <c r="L1042" s="3">
        <v>0</v>
      </c>
      <c r="N1042" s="1" t="s">
        <v>75</v>
      </c>
      <c r="O1042" s="1" t="s">
        <v>43</v>
      </c>
      <c r="P1042" s="1" t="s">
        <v>227</v>
      </c>
      <c r="Q1042" s="1" t="s">
        <v>76</v>
      </c>
      <c r="S1042" s="1" t="s">
        <v>46</v>
      </c>
      <c r="T1042" s="1" t="s">
        <v>76</v>
      </c>
      <c r="U1042" s="1" t="s">
        <v>66</v>
      </c>
      <c r="V1042" s="1" t="s">
        <v>102</v>
      </c>
      <c r="W1042" s="1" t="s">
        <v>433</v>
      </c>
      <c r="X1042" s="1" t="s">
        <v>96</v>
      </c>
      <c r="Y1042" s="1" t="s">
        <v>1095</v>
      </c>
      <c r="Z1042" s="1" t="s">
        <v>1096</v>
      </c>
      <c r="AA1042" s="1" t="s">
        <v>1097</v>
      </c>
      <c r="AB1042" s="1" t="s">
        <v>1098</v>
      </c>
      <c r="AC1042" s="1">
        <v>0</v>
      </c>
      <c r="AD1042" s="1" t="s">
        <v>1099</v>
      </c>
      <c r="AE1042" s="1" t="s">
        <v>70</v>
      </c>
      <c r="AG1042" s="1" t="s">
        <v>1055</v>
      </c>
      <c r="AI1042" s="1" t="s">
        <v>75</v>
      </c>
      <c r="AK1042" s="1" t="s">
        <v>61</v>
      </c>
      <c r="AL1042" s="1" t="s">
        <v>72</v>
      </c>
      <c r="AM1042" s="1">
        <v>5</v>
      </c>
      <c r="AN1042" s="1">
        <v>0</v>
      </c>
      <c r="AO1042" s="1">
        <f t="shared" si="96"/>
        <v>5</v>
      </c>
    </row>
    <row r="1043" spans="1:41" x14ac:dyDescent="0.4">
      <c r="A1043" s="1">
        <v>1</v>
      </c>
      <c r="B1043" s="1" t="s">
        <v>1033</v>
      </c>
      <c r="C1043" s="1" t="s">
        <v>41</v>
      </c>
      <c r="D1043" s="2">
        <v>38826</v>
      </c>
      <c r="E1043" s="1">
        <v>109</v>
      </c>
      <c r="F1043" s="1">
        <v>9.1</v>
      </c>
      <c r="G1043" s="3">
        <v>0.60795138888888889</v>
      </c>
      <c r="H1043" s="3">
        <v>0.60932870370370373</v>
      </c>
      <c r="I1043" s="3">
        <v>1.3773148148148451E-3</v>
      </c>
      <c r="J1043" s="3">
        <v>1.3773148148148451E-3</v>
      </c>
      <c r="K1043" s="5">
        <f t="shared" si="95"/>
        <v>119</v>
      </c>
      <c r="L1043" s="3">
        <v>6.7592592592592426E-3</v>
      </c>
      <c r="N1043" s="1" t="s">
        <v>75</v>
      </c>
      <c r="O1043" s="1" t="s">
        <v>43</v>
      </c>
      <c r="P1043" s="1" t="s">
        <v>227</v>
      </c>
      <c r="Q1043" s="1" t="s">
        <v>76</v>
      </c>
      <c r="S1043" s="1" t="s">
        <v>46</v>
      </c>
      <c r="T1043" s="1" t="s">
        <v>76</v>
      </c>
      <c r="U1043" s="1" t="s">
        <v>92</v>
      </c>
      <c r="V1043" s="1" t="s">
        <v>49</v>
      </c>
      <c r="W1043" s="1" t="s">
        <v>140</v>
      </c>
      <c r="X1043" s="1" t="s">
        <v>177</v>
      </c>
      <c r="Y1043" s="1" t="s">
        <v>79</v>
      </c>
      <c r="Z1043" s="1" t="s">
        <v>178</v>
      </c>
      <c r="AA1043" s="1" t="s">
        <v>572</v>
      </c>
      <c r="AB1043" s="1" t="s">
        <v>573</v>
      </c>
      <c r="AC1043" s="1">
        <v>0</v>
      </c>
      <c r="AD1043" s="1" t="s">
        <v>56</v>
      </c>
      <c r="AE1043" s="1" t="s">
        <v>181</v>
      </c>
      <c r="AH1043" s="1" t="s">
        <v>115</v>
      </c>
      <c r="AI1043" s="1" t="s">
        <v>75</v>
      </c>
      <c r="AK1043" s="1" t="s">
        <v>61</v>
      </c>
      <c r="AL1043" s="1" t="s">
        <v>61</v>
      </c>
      <c r="AN1043" s="1">
        <v>1</v>
      </c>
      <c r="AO1043" s="1">
        <f t="shared" si="96"/>
        <v>1</v>
      </c>
    </row>
    <row r="1044" spans="1:41" x14ac:dyDescent="0.4">
      <c r="A1044" s="1">
        <v>1</v>
      </c>
      <c r="B1044" s="1" t="s">
        <v>1033</v>
      </c>
      <c r="C1044" s="1" t="s">
        <v>41</v>
      </c>
      <c r="D1044" s="2">
        <v>38826</v>
      </c>
      <c r="E1044" s="1">
        <v>109</v>
      </c>
      <c r="F1044" s="1">
        <v>9.1999999999999993</v>
      </c>
      <c r="G1044" s="3">
        <v>0.61608796296296298</v>
      </c>
      <c r="H1044" s="3">
        <v>0.61732638888888891</v>
      </c>
      <c r="I1044" s="3">
        <v>1.2384259259259345E-3</v>
      </c>
      <c r="J1044" s="3">
        <v>7.6388888888889728E-4</v>
      </c>
      <c r="K1044" s="5">
        <f t="shared" si="95"/>
        <v>66</v>
      </c>
      <c r="L1044" s="3">
        <v>0</v>
      </c>
      <c r="N1044" s="1" t="s">
        <v>75</v>
      </c>
      <c r="O1044" s="1" t="s">
        <v>43</v>
      </c>
      <c r="P1044" s="1" t="s">
        <v>227</v>
      </c>
      <c r="Q1044" s="1" t="s">
        <v>76</v>
      </c>
      <c r="S1044" s="1" t="s">
        <v>46</v>
      </c>
      <c r="T1044" s="1" t="s">
        <v>76</v>
      </c>
      <c r="U1044" s="1" t="s">
        <v>66</v>
      </c>
      <c r="V1044" s="1" t="s">
        <v>102</v>
      </c>
      <c r="W1044" s="1" t="s">
        <v>231</v>
      </c>
      <c r="X1044" s="1" t="s">
        <v>121</v>
      </c>
      <c r="AB1044" s="1" t="s">
        <v>104</v>
      </c>
      <c r="AC1044" s="1">
        <v>0</v>
      </c>
      <c r="AE1044" s="1" t="s">
        <v>70</v>
      </c>
      <c r="AG1044" s="1" t="s">
        <v>1108</v>
      </c>
      <c r="AI1044" s="1" t="s">
        <v>75</v>
      </c>
      <c r="AK1044" s="1" t="s">
        <v>86</v>
      </c>
      <c r="AL1044" s="1" t="s">
        <v>133</v>
      </c>
      <c r="AM1044" s="1">
        <v>4</v>
      </c>
      <c r="AN1044" s="1">
        <v>0</v>
      </c>
      <c r="AO1044" s="1">
        <f t="shared" si="96"/>
        <v>4</v>
      </c>
    </row>
    <row r="1045" spans="1:41" x14ac:dyDescent="0.4">
      <c r="A1045" s="1">
        <v>1</v>
      </c>
      <c r="B1045" s="1" t="s">
        <v>1033</v>
      </c>
      <c r="C1045" s="1" t="s">
        <v>41</v>
      </c>
      <c r="D1045" s="2">
        <v>38826</v>
      </c>
      <c r="E1045" s="1">
        <v>109</v>
      </c>
      <c r="F1045" s="1">
        <v>9.1999999999999993</v>
      </c>
      <c r="G1045" s="3">
        <v>0.62200231481481483</v>
      </c>
      <c r="H1045" s="3">
        <v>0.62265046296296289</v>
      </c>
      <c r="I1045" s="3">
        <v>6.4814814814806443E-4</v>
      </c>
      <c r="J1045" s="3">
        <v>3.8194444444428211E-4</v>
      </c>
      <c r="K1045" s="5">
        <f t="shared" si="95"/>
        <v>33</v>
      </c>
      <c r="L1045" s="3" t="s">
        <v>120</v>
      </c>
      <c r="N1045" s="1" t="s">
        <v>75</v>
      </c>
      <c r="O1045" s="1" t="s">
        <v>43</v>
      </c>
      <c r="P1045" s="1" t="s">
        <v>227</v>
      </c>
      <c r="Q1045" s="1" t="s">
        <v>76</v>
      </c>
      <c r="S1045" s="1" t="s">
        <v>46</v>
      </c>
      <c r="T1045" s="1" t="s">
        <v>76</v>
      </c>
      <c r="U1045" s="1" t="s">
        <v>48</v>
      </c>
      <c r="V1045" s="1" t="s">
        <v>102</v>
      </c>
      <c r="W1045" s="1" t="s">
        <v>231</v>
      </c>
      <c r="X1045" s="1" t="s">
        <v>121</v>
      </c>
      <c r="AB1045" s="1" t="s">
        <v>104</v>
      </c>
      <c r="AC1045" s="1">
        <v>0</v>
      </c>
      <c r="AE1045" s="1" t="s">
        <v>70</v>
      </c>
      <c r="AG1045" s="1" t="s">
        <v>1108</v>
      </c>
      <c r="AI1045" s="1" t="s">
        <v>75</v>
      </c>
      <c r="AK1045" s="1" t="s">
        <v>86</v>
      </c>
      <c r="AL1045" s="1" t="s">
        <v>133</v>
      </c>
      <c r="AM1045" s="1">
        <v>4</v>
      </c>
      <c r="AN1045" s="1">
        <v>0</v>
      </c>
      <c r="AO1045" s="1">
        <f t="shared" si="96"/>
        <v>4</v>
      </c>
    </row>
    <row r="1046" spans="1:41" x14ac:dyDescent="0.4">
      <c r="A1046" s="1">
        <v>1</v>
      </c>
      <c r="B1046" s="1" t="s">
        <v>1033</v>
      </c>
      <c r="C1046" s="1" t="s">
        <v>41</v>
      </c>
      <c r="D1046" s="2">
        <v>38826</v>
      </c>
      <c r="E1046" s="1">
        <v>109</v>
      </c>
      <c r="F1046" s="1">
        <v>9.3000000000000007</v>
      </c>
      <c r="G1046" s="3">
        <v>0.61732638888888891</v>
      </c>
      <c r="H1046" s="3">
        <v>0.6174074074074074</v>
      </c>
      <c r="I1046" s="3">
        <v>8.1018518518494176E-5</v>
      </c>
      <c r="J1046" s="3">
        <v>8.1018518518494176E-5</v>
      </c>
      <c r="K1046" s="5">
        <f t="shared" si="95"/>
        <v>7</v>
      </c>
      <c r="L1046" s="3">
        <v>4.5949074074074225E-3</v>
      </c>
      <c r="N1046" s="1" t="s">
        <v>75</v>
      </c>
      <c r="O1046" s="1" t="s">
        <v>43</v>
      </c>
      <c r="P1046" s="1" t="s">
        <v>227</v>
      </c>
      <c r="Q1046" s="1" t="s">
        <v>76</v>
      </c>
      <c r="S1046" s="1" t="s">
        <v>46</v>
      </c>
      <c r="T1046" s="1" t="s">
        <v>76</v>
      </c>
      <c r="U1046" s="1" t="s">
        <v>48</v>
      </c>
      <c r="V1046" s="1" t="s">
        <v>67</v>
      </c>
      <c r="W1046" s="1" t="s">
        <v>68</v>
      </c>
      <c r="Y1046" s="1" t="s">
        <v>68</v>
      </c>
      <c r="AB1046" s="1" t="s">
        <v>69</v>
      </c>
      <c r="AC1046" s="1">
        <v>0</v>
      </c>
      <c r="AD1046" s="1" t="s">
        <v>68</v>
      </c>
      <c r="AE1046" s="1" t="s">
        <v>70</v>
      </c>
      <c r="AG1046" s="1" t="s">
        <v>1108</v>
      </c>
      <c r="AI1046" s="1" t="s">
        <v>75</v>
      </c>
      <c r="AK1046" s="1" t="s">
        <v>86</v>
      </c>
      <c r="AL1046" s="1" t="s">
        <v>133</v>
      </c>
      <c r="AM1046" s="1">
        <v>4</v>
      </c>
      <c r="AN1046" s="1">
        <v>0</v>
      </c>
      <c r="AO1046" s="1">
        <f t="shared" si="96"/>
        <v>4</v>
      </c>
    </row>
    <row r="1047" spans="1:41" x14ac:dyDescent="0.4">
      <c r="A1047" s="1">
        <v>1</v>
      </c>
      <c r="B1047" s="1" t="s">
        <v>1033</v>
      </c>
      <c r="C1047" s="1" t="s">
        <v>41</v>
      </c>
      <c r="D1047" s="2">
        <v>38828</v>
      </c>
      <c r="E1047" s="1">
        <v>111</v>
      </c>
      <c r="F1047" s="1">
        <v>0.2</v>
      </c>
      <c r="G1047" s="3">
        <v>0.30180555555555555</v>
      </c>
      <c r="H1047" s="3">
        <v>0.30236111111111114</v>
      </c>
      <c r="I1047" s="3">
        <v>5.5555555555558689E-4</v>
      </c>
      <c r="J1047" s="3">
        <v>5.5555555555558689E-4</v>
      </c>
      <c r="K1047" s="5">
        <f t="shared" si="95"/>
        <v>48</v>
      </c>
      <c r="L1047" s="3">
        <v>1.1631944444444431E-2</v>
      </c>
      <c r="N1047" s="1" t="s">
        <v>75</v>
      </c>
      <c r="O1047" s="1" t="s">
        <v>43</v>
      </c>
      <c r="P1047" s="1" t="s">
        <v>227</v>
      </c>
      <c r="Q1047" s="1" t="s">
        <v>76</v>
      </c>
      <c r="S1047" s="1" t="s">
        <v>46</v>
      </c>
      <c r="T1047" s="1" t="s">
        <v>47</v>
      </c>
      <c r="U1047" s="1" t="s">
        <v>92</v>
      </c>
      <c r="V1047" s="1" t="s">
        <v>102</v>
      </c>
      <c r="W1047" s="1" t="s">
        <v>231</v>
      </c>
      <c r="X1047" s="1" t="s">
        <v>121</v>
      </c>
      <c r="AB1047" s="1" t="s">
        <v>104</v>
      </c>
      <c r="AC1047" s="1">
        <v>0</v>
      </c>
      <c r="AE1047" s="1" t="s">
        <v>70</v>
      </c>
      <c r="AF1047" s="1" t="s">
        <v>84</v>
      </c>
      <c r="AG1047" s="1" t="s">
        <v>1109</v>
      </c>
      <c r="AI1047" s="1" t="s">
        <v>75</v>
      </c>
      <c r="AK1047" s="1" t="s">
        <v>86</v>
      </c>
      <c r="AL1047" s="1" t="s">
        <v>87</v>
      </c>
      <c r="AM1047" s="1">
        <v>2</v>
      </c>
      <c r="AN1047" s="1">
        <v>0</v>
      </c>
      <c r="AO1047" s="1">
        <f t="shared" si="96"/>
        <v>2</v>
      </c>
    </row>
    <row r="1048" spans="1:41" x14ac:dyDescent="0.4">
      <c r="A1048" s="1">
        <v>1</v>
      </c>
      <c r="B1048" s="1" t="s">
        <v>1033</v>
      </c>
      <c r="C1048" s="1" t="s">
        <v>41</v>
      </c>
      <c r="D1048" s="2">
        <v>38828</v>
      </c>
      <c r="E1048" s="1">
        <v>111</v>
      </c>
      <c r="F1048" s="1">
        <v>0.5</v>
      </c>
      <c r="G1048" s="3">
        <v>0.31399305555555557</v>
      </c>
      <c r="H1048" s="3">
        <v>0.31462962962962965</v>
      </c>
      <c r="I1048" s="3">
        <v>6.3657407407408106E-4</v>
      </c>
      <c r="J1048" s="3">
        <v>6.3657407407408106E-4</v>
      </c>
      <c r="K1048" s="5">
        <f t="shared" si="95"/>
        <v>55</v>
      </c>
      <c r="L1048" s="3">
        <v>3.0416666666666647E-2</v>
      </c>
      <c r="N1048" s="1" t="s">
        <v>75</v>
      </c>
      <c r="O1048" s="1" t="s">
        <v>43</v>
      </c>
      <c r="P1048" s="1" t="s">
        <v>227</v>
      </c>
      <c r="Q1048" s="1" t="s">
        <v>76</v>
      </c>
      <c r="S1048" s="1" t="s">
        <v>46</v>
      </c>
      <c r="T1048" s="1" t="s">
        <v>45</v>
      </c>
      <c r="U1048" s="1" t="s">
        <v>66</v>
      </c>
      <c r="V1048" s="1" t="s">
        <v>102</v>
      </c>
      <c r="W1048" s="1" t="s">
        <v>103</v>
      </c>
      <c r="X1048" s="1" t="s">
        <v>121</v>
      </c>
      <c r="AB1048" s="1" t="s">
        <v>104</v>
      </c>
      <c r="AC1048" s="1">
        <v>0</v>
      </c>
      <c r="AE1048" s="1" t="s">
        <v>70</v>
      </c>
      <c r="AG1048" s="1" t="s">
        <v>1110</v>
      </c>
      <c r="AI1048" s="1" t="s">
        <v>75</v>
      </c>
      <c r="AK1048" s="1" t="s">
        <v>86</v>
      </c>
      <c r="AL1048" s="1" t="s">
        <v>133</v>
      </c>
      <c r="AM1048" s="1">
        <v>2</v>
      </c>
      <c r="AN1048" s="1">
        <v>0</v>
      </c>
      <c r="AO1048" s="1">
        <f t="shared" si="96"/>
        <v>2</v>
      </c>
    </row>
    <row r="1049" spans="1:41" x14ac:dyDescent="0.4">
      <c r="A1049" s="1">
        <v>1</v>
      </c>
      <c r="B1049" s="1" t="s">
        <v>1033</v>
      </c>
      <c r="C1049" s="1" t="s">
        <v>41</v>
      </c>
      <c r="D1049" s="2">
        <v>38828</v>
      </c>
      <c r="E1049" s="1">
        <v>111</v>
      </c>
      <c r="F1049" s="1">
        <v>1</v>
      </c>
      <c r="G1049" s="3">
        <v>0.3450462962962963</v>
      </c>
      <c r="H1049" s="3">
        <v>0.34608796296296296</v>
      </c>
      <c r="I1049" s="3">
        <v>1.041666666666663E-3</v>
      </c>
      <c r="J1049" s="3">
        <v>1.041666666666663E-3</v>
      </c>
      <c r="K1049" s="5">
        <f t="shared" si="95"/>
        <v>90</v>
      </c>
      <c r="L1049" s="3">
        <v>1.4016203703703711E-2</v>
      </c>
      <c r="N1049" s="1" t="s">
        <v>75</v>
      </c>
      <c r="O1049" s="1" t="s">
        <v>43</v>
      </c>
      <c r="P1049" s="1" t="s">
        <v>227</v>
      </c>
      <c r="Q1049" s="1" t="s">
        <v>191</v>
      </c>
      <c r="S1049" s="1" t="s">
        <v>46</v>
      </c>
      <c r="T1049" s="1" t="s">
        <v>47</v>
      </c>
      <c r="U1049" s="1" t="s">
        <v>66</v>
      </c>
      <c r="V1049" s="1" t="s">
        <v>67</v>
      </c>
      <c r="W1049" s="1" t="s">
        <v>68</v>
      </c>
      <c r="X1049" s="1" t="s">
        <v>96</v>
      </c>
      <c r="Y1049" s="1" t="s">
        <v>424</v>
      </c>
      <c r="AB1049" s="1" t="s">
        <v>425</v>
      </c>
      <c r="AC1049" s="1">
        <v>0</v>
      </c>
      <c r="AD1049" s="1" t="s">
        <v>68</v>
      </c>
      <c r="AE1049" s="1" t="s">
        <v>70</v>
      </c>
      <c r="AF1049" s="1" t="s">
        <v>113</v>
      </c>
      <c r="AG1049" s="1" t="s">
        <v>1106</v>
      </c>
      <c r="AH1049" s="1" t="s">
        <v>157</v>
      </c>
      <c r="AI1049" s="1" t="s">
        <v>75</v>
      </c>
      <c r="AK1049" s="1" t="s">
        <v>86</v>
      </c>
      <c r="AL1049" s="1" t="s">
        <v>87</v>
      </c>
      <c r="AM1049" s="1">
        <v>3</v>
      </c>
      <c r="AN1049" s="1">
        <v>0</v>
      </c>
      <c r="AO1049" s="1">
        <f t="shared" si="96"/>
        <v>3</v>
      </c>
    </row>
    <row r="1050" spans="1:41" x14ac:dyDescent="0.4">
      <c r="A1050" s="1">
        <v>1</v>
      </c>
      <c r="B1050" s="1" t="s">
        <v>1033</v>
      </c>
      <c r="C1050" s="1" t="s">
        <v>41</v>
      </c>
      <c r="D1050" s="2">
        <v>38828</v>
      </c>
      <c r="E1050" s="1">
        <v>111</v>
      </c>
      <c r="F1050" s="1">
        <v>3</v>
      </c>
      <c r="G1050" s="3">
        <v>0.36010416666666667</v>
      </c>
      <c r="H1050" s="3">
        <v>0.37027777777777776</v>
      </c>
      <c r="I1050" s="3">
        <v>1.0173611111111092E-2</v>
      </c>
      <c r="J1050" s="3">
        <v>1.0173611111111092E-2</v>
      </c>
      <c r="K1050" s="5">
        <f t="shared" si="95"/>
        <v>879</v>
      </c>
      <c r="L1050" s="3">
        <v>2.1064814814815147E-3</v>
      </c>
      <c r="N1050" s="1" t="s">
        <v>75</v>
      </c>
      <c r="O1050" s="1" t="s">
        <v>43</v>
      </c>
      <c r="P1050" s="1" t="s">
        <v>227</v>
      </c>
      <c r="Q1050" s="1" t="s">
        <v>45</v>
      </c>
      <c r="S1050" s="1" t="s">
        <v>46</v>
      </c>
      <c r="T1050" s="1" t="s">
        <v>124</v>
      </c>
      <c r="U1050" s="1" t="s">
        <v>66</v>
      </c>
      <c r="V1050" s="1" t="s">
        <v>49</v>
      </c>
      <c r="W1050" s="1" t="s">
        <v>50</v>
      </c>
      <c r="X1050" s="1" t="s">
        <v>158</v>
      </c>
      <c r="Y1050" s="1" t="s">
        <v>159</v>
      </c>
      <c r="Z1050" s="1" t="s">
        <v>160</v>
      </c>
      <c r="AA1050" s="1" t="s">
        <v>161</v>
      </c>
      <c r="AB1050" s="1" t="s">
        <v>162</v>
      </c>
      <c r="AC1050" s="1">
        <v>0</v>
      </c>
      <c r="AD1050" s="1" t="s">
        <v>56</v>
      </c>
      <c r="AE1050" s="1" t="s">
        <v>83</v>
      </c>
      <c r="AF1050" s="1" t="s">
        <v>153</v>
      </c>
      <c r="AG1050" s="1" t="s">
        <v>1074</v>
      </c>
      <c r="AH1050" s="1" t="s">
        <v>165</v>
      </c>
      <c r="AI1050" s="1" t="s">
        <v>75</v>
      </c>
      <c r="AK1050" s="1" t="s">
        <v>116</v>
      </c>
      <c r="AL1050" s="1" t="s">
        <v>117</v>
      </c>
      <c r="AM1050" s="1">
        <v>4</v>
      </c>
      <c r="AN1050" s="1">
        <v>0</v>
      </c>
      <c r="AO1050" s="1">
        <f t="shared" si="96"/>
        <v>4</v>
      </c>
    </row>
    <row r="1051" spans="1:41" x14ac:dyDescent="0.4">
      <c r="A1051" s="1">
        <v>1</v>
      </c>
      <c r="B1051" s="1" t="s">
        <v>1033</v>
      </c>
      <c r="C1051" s="1" t="s">
        <v>41</v>
      </c>
      <c r="D1051" s="2">
        <v>38828</v>
      </c>
      <c r="E1051" s="1">
        <v>111</v>
      </c>
      <c r="F1051" s="1">
        <v>4</v>
      </c>
      <c r="G1051" s="3">
        <v>0.37238425925925928</v>
      </c>
      <c r="H1051" s="3">
        <v>0.37496527777777783</v>
      </c>
      <c r="I1051" s="3">
        <v>2.5810185185185519E-3</v>
      </c>
      <c r="J1051" s="3">
        <v>2.5810185185185519E-3</v>
      </c>
      <c r="K1051" s="5">
        <f t="shared" si="95"/>
        <v>223</v>
      </c>
      <c r="L1051" s="3">
        <v>4.8495370370369995E-3</v>
      </c>
      <c r="N1051" s="1" t="s">
        <v>75</v>
      </c>
      <c r="O1051" s="1" t="s">
        <v>43</v>
      </c>
      <c r="P1051" s="1" t="s">
        <v>227</v>
      </c>
      <c r="Q1051" s="1" t="s">
        <v>45</v>
      </c>
      <c r="S1051" s="1" t="s">
        <v>46</v>
      </c>
      <c r="T1051" s="1" t="s">
        <v>124</v>
      </c>
      <c r="V1051" s="1" t="s">
        <v>49</v>
      </c>
      <c r="W1051" s="1" t="s">
        <v>50</v>
      </c>
      <c r="X1051" s="1" t="s">
        <v>951</v>
      </c>
      <c r="Y1051" s="1" t="s">
        <v>159</v>
      </c>
      <c r="Z1051" s="1" t="s">
        <v>160</v>
      </c>
      <c r="AA1051" s="1" t="s">
        <v>952</v>
      </c>
      <c r="AB1051" s="1" t="s">
        <v>953</v>
      </c>
      <c r="AC1051" s="1">
        <v>0</v>
      </c>
      <c r="AD1051" s="1" t="s">
        <v>56</v>
      </c>
      <c r="AE1051" s="1" t="s">
        <v>83</v>
      </c>
      <c r="AF1051" s="1" t="s">
        <v>113</v>
      </c>
      <c r="AG1051" s="1" t="s">
        <v>1104</v>
      </c>
      <c r="AH1051" s="1" t="s">
        <v>165</v>
      </c>
      <c r="AK1051" s="1" t="s">
        <v>116</v>
      </c>
      <c r="AL1051" s="1" t="s">
        <v>174</v>
      </c>
      <c r="AM1051" s="1">
        <v>2</v>
      </c>
      <c r="AN1051" s="1">
        <v>0</v>
      </c>
      <c r="AO1051" s="1">
        <f t="shared" si="96"/>
        <v>2</v>
      </c>
    </row>
    <row r="1052" spans="1:41" x14ac:dyDescent="0.4">
      <c r="A1052" s="1">
        <v>1</v>
      </c>
      <c r="B1052" s="1" t="s">
        <v>1033</v>
      </c>
      <c r="C1052" s="1" t="s">
        <v>41</v>
      </c>
      <c r="D1052" s="2">
        <v>38828</v>
      </c>
      <c r="E1052" s="1">
        <v>111</v>
      </c>
      <c r="F1052" s="1">
        <v>4.0999999999999996</v>
      </c>
      <c r="G1052" s="3">
        <v>0.37981481481481483</v>
      </c>
      <c r="H1052" s="3">
        <v>0.37991898148148145</v>
      </c>
      <c r="I1052" s="3">
        <v>1.0416666666662744E-4</v>
      </c>
      <c r="J1052" s="3">
        <v>1.0416666666662744E-4</v>
      </c>
      <c r="K1052" s="5">
        <f t="shared" si="95"/>
        <v>9</v>
      </c>
      <c r="L1052" s="3">
        <v>2.4421296296296413E-3</v>
      </c>
      <c r="N1052" s="1" t="s">
        <v>75</v>
      </c>
      <c r="O1052" s="1" t="s">
        <v>43</v>
      </c>
      <c r="P1052" s="1" t="s">
        <v>227</v>
      </c>
      <c r="Q1052" s="1" t="s">
        <v>76</v>
      </c>
      <c r="S1052" s="1" t="s">
        <v>46</v>
      </c>
      <c r="AB1052" s="1" t="s">
        <v>93</v>
      </c>
      <c r="AC1052" s="1">
        <v>1</v>
      </c>
      <c r="AK1052" s="1" t="s">
        <v>61</v>
      </c>
      <c r="AL1052" s="1" t="s">
        <v>133</v>
      </c>
      <c r="AN1052" s="1">
        <v>1</v>
      </c>
      <c r="AO1052" s="1">
        <f t="shared" si="96"/>
        <v>1</v>
      </c>
    </row>
    <row r="1053" spans="1:41" x14ac:dyDescent="0.4">
      <c r="A1053" s="1">
        <v>1</v>
      </c>
      <c r="B1053" s="1" t="s">
        <v>1033</v>
      </c>
      <c r="C1053" s="1" t="s">
        <v>41</v>
      </c>
      <c r="D1053" s="2">
        <v>38828</v>
      </c>
      <c r="E1053" s="1">
        <v>111</v>
      </c>
      <c r="F1053" s="1">
        <v>4.2</v>
      </c>
      <c r="G1053" s="3">
        <v>0.3823611111111111</v>
      </c>
      <c r="H1053" s="3">
        <v>0.3830439814814815</v>
      </c>
      <c r="I1053" s="3">
        <v>6.828703703704031E-4</v>
      </c>
      <c r="J1053" s="3">
        <v>5.4398148148143699E-4</v>
      </c>
      <c r="K1053" s="5">
        <f t="shared" si="95"/>
        <v>47</v>
      </c>
      <c r="L1053" s="3">
        <v>1.0868055555555534E-2</v>
      </c>
      <c r="N1053" s="1" t="s">
        <v>75</v>
      </c>
      <c r="O1053" s="1" t="s">
        <v>43</v>
      </c>
      <c r="P1053" s="1" t="s">
        <v>227</v>
      </c>
      <c r="Q1053" s="1" t="s">
        <v>132</v>
      </c>
      <c r="S1053" s="1" t="s">
        <v>46</v>
      </c>
      <c r="T1053" s="1" t="s">
        <v>76</v>
      </c>
      <c r="U1053" s="1" t="s">
        <v>66</v>
      </c>
      <c r="V1053" s="1" t="s">
        <v>102</v>
      </c>
      <c r="W1053" s="1" t="s">
        <v>103</v>
      </c>
      <c r="X1053" s="1" t="s">
        <v>121</v>
      </c>
      <c r="AB1053" s="1" t="s">
        <v>104</v>
      </c>
      <c r="AC1053" s="1">
        <v>0</v>
      </c>
      <c r="AE1053" s="1" t="s">
        <v>70</v>
      </c>
      <c r="AI1053" s="1" t="s">
        <v>75</v>
      </c>
      <c r="AK1053" s="1" t="s">
        <v>86</v>
      </c>
      <c r="AL1053" s="1" t="s">
        <v>133</v>
      </c>
      <c r="AN1053" s="1">
        <v>1</v>
      </c>
      <c r="AO1053" s="1">
        <f t="shared" si="96"/>
        <v>1</v>
      </c>
    </row>
    <row r="1054" spans="1:41" x14ac:dyDescent="0.4">
      <c r="A1054" s="1">
        <v>1</v>
      </c>
      <c r="B1054" s="1" t="s">
        <v>1033</v>
      </c>
      <c r="C1054" s="1" t="s">
        <v>41</v>
      </c>
      <c r="D1054" s="2">
        <v>38828</v>
      </c>
      <c r="E1054" s="1">
        <v>111</v>
      </c>
      <c r="F1054" s="1">
        <v>5</v>
      </c>
      <c r="G1054" s="3">
        <v>0.39391203703703703</v>
      </c>
      <c r="H1054" s="3">
        <v>0.39712962962962961</v>
      </c>
      <c r="I1054" s="3">
        <v>3.2175925925925775E-3</v>
      </c>
      <c r="J1054" s="3">
        <v>3.2175925925925775E-3</v>
      </c>
      <c r="K1054" s="5">
        <f t="shared" si="95"/>
        <v>278</v>
      </c>
      <c r="L1054" s="3">
        <v>8.181712962962967E-2</v>
      </c>
      <c r="N1054" s="1" t="s">
        <v>42</v>
      </c>
      <c r="O1054" s="1" t="s">
        <v>43</v>
      </c>
      <c r="P1054" s="1" t="s">
        <v>227</v>
      </c>
      <c r="Q1054" s="1" t="s">
        <v>45</v>
      </c>
      <c r="S1054" s="1" t="s">
        <v>46</v>
      </c>
      <c r="T1054" s="1" t="s">
        <v>47</v>
      </c>
      <c r="V1054" s="1" t="s">
        <v>49</v>
      </c>
      <c r="W1054" s="1" t="s">
        <v>50</v>
      </c>
      <c r="X1054" s="1" t="s">
        <v>510</v>
      </c>
      <c r="Y1054" s="1" t="s">
        <v>260</v>
      </c>
      <c r="Z1054" s="1" t="s">
        <v>511</v>
      </c>
      <c r="AA1054" s="1" t="s">
        <v>512</v>
      </c>
      <c r="AB1054" s="1" t="s">
        <v>513</v>
      </c>
      <c r="AC1054" s="1">
        <v>0</v>
      </c>
      <c r="AD1054" s="1" t="s">
        <v>105</v>
      </c>
      <c r="AE1054" s="1" t="s">
        <v>181</v>
      </c>
      <c r="AF1054" s="1" t="s">
        <v>113</v>
      </c>
      <c r="AG1054" s="1" t="s">
        <v>1111</v>
      </c>
      <c r="AH1054" s="1" t="s">
        <v>115</v>
      </c>
      <c r="AK1054" s="1" t="s">
        <v>86</v>
      </c>
      <c r="AL1054" s="1" t="s">
        <v>86</v>
      </c>
      <c r="AM1054" s="1">
        <v>2</v>
      </c>
      <c r="AN1054" s="1">
        <v>0</v>
      </c>
      <c r="AO1054" s="1">
        <f t="shared" si="96"/>
        <v>2</v>
      </c>
    </row>
    <row r="1055" spans="1:41" x14ac:dyDescent="0.4">
      <c r="A1055" s="1">
        <v>1</v>
      </c>
      <c r="B1055" s="1" t="s">
        <v>1033</v>
      </c>
      <c r="C1055" s="1" t="s">
        <v>41</v>
      </c>
      <c r="D1055" s="2">
        <v>38828</v>
      </c>
      <c r="E1055" s="1">
        <v>111</v>
      </c>
      <c r="F1055" s="1">
        <v>5.0999999999999996</v>
      </c>
      <c r="G1055" s="3">
        <v>0.47894675925925928</v>
      </c>
      <c r="H1055" s="3">
        <v>0.47912037037037036</v>
      </c>
      <c r="I1055" s="3">
        <v>1.7361111111108274E-4</v>
      </c>
      <c r="J1055" s="3">
        <v>1.7361111111108274E-4</v>
      </c>
      <c r="K1055" s="5">
        <f t="shared" si="95"/>
        <v>15</v>
      </c>
      <c r="L1055" s="3">
        <v>1.41087962962963E-2</v>
      </c>
      <c r="N1055" s="1" t="s">
        <v>42</v>
      </c>
      <c r="O1055" s="1" t="s">
        <v>43</v>
      </c>
      <c r="P1055" s="1" t="s">
        <v>227</v>
      </c>
      <c r="Q1055" s="1" t="s">
        <v>76</v>
      </c>
      <c r="S1055" s="1" t="s">
        <v>46</v>
      </c>
      <c r="T1055" s="1" t="s">
        <v>76</v>
      </c>
      <c r="U1055" s="1" t="s">
        <v>66</v>
      </c>
      <c r="AB1055" s="1" t="s">
        <v>93</v>
      </c>
      <c r="AC1055" s="1">
        <v>1</v>
      </c>
      <c r="AI1055" s="1" t="s">
        <v>71</v>
      </c>
      <c r="AK1055" s="1" t="s">
        <v>61</v>
      </c>
      <c r="AL1055" s="1" t="s">
        <v>72</v>
      </c>
      <c r="AN1055" s="1">
        <v>1</v>
      </c>
      <c r="AO1055" s="1">
        <f t="shared" si="96"/>
        <v>1</v>
      </c>
    </row>
    <row r="1056" spans="1:41" x14ac:dyDescent="0.4">
      <c r="A1056" s="1">
        <v>1</v>
      </c>
      <c r="B1056" s="1" t="s">
        <v>1033</v>
      </c>
      <c r="C1056" s="1" t="s">
        <v>41</v>
      </c>
      <c r="D1056" s="2">
        <v>38828</v>
      </c>
      <c r="E1056" s="1">
        <v>111</v>
      </c>
      <c r="F1056" s="1">
        <v>5.2</v>
      </c>
      <c r="G1056" s="3">
        <v>0.49322916666666666</v>
      </c>
      <c r="H1056" s="3">
        <v>0.49325231481481485</v>
      </c>
      <c r="I1056" s="3">
        <v>2.3148148148188774E-5</v>
      </c>
      <c r="J1056" s="3">
        <v>2.3148148148188774E-5</v>
      </c>
      <c r="K1056" s="5">
        <f t="shared" si="95"/>
        <v>2</v>
      </c>
      <c r="L1056" s="3">
        <v>1.4004629629629228E-3</v>
      </c>
      <c r="N1056" s="1" t="s">
        <v>42</v>
      </c>
      <c r="O1056" s="1" t="s">
        <v>43</v>
      </c>
      <c r="P1056" s="1" t="s">
        <v>227</v>
      </c>
      <c r="Q1056" s="1" t="s">
        <v>76</v>
      </c>
      <c r="S1056" s="1" t="s">
        <v>46</v>
      </c>
      <c r="AB1056" s="1" t="s">
        <v>93</v>
      </c>
      <c r="AC1056" s="1">
        <v>1</v>
      </c>
      <c r="AK1056" s="1" t="s">
        <v>61</v>
      </c>
      <c r="AL1056" s="1" t="s">
        <v>133</v>
      </c>
      <c r="AN1056" s="1">
        <v>1</v>
      </c>
      <c r="AO1056" s="1">
        <f t="shared" si="96"/>
        <v>1</v>
      </c>
    </row>
    <row r="1057" spans="1:41" x14ac:dyDescent="0.4">
      <c r="A1057" s="1">
        <v>1</v>
      </c>
      <c r="B1057" s="1" t="s">
        <v>1033</v>
      </c>
      <c r="C1057" s="1" t="s">
        <v>41</v>
      </c>
      <c r="D1057" s="2">
        <v>38828</v>
      </c>
      <c r="E1057" s="1">
        <v>111</v>
      </c>
      <c r="F1057" s="1">
        <v>5.3</v>
      </c>
      <c r="G1057" s="3">
        <v>0.49465277777777777</v>
      </c>
      <c r="H1057" s="3">
        <v>0.49519675925925927</v>
      </c>
      <c r="I1057" s="3">
        <v>5.439814814814925E-4</v>
      </c>
      <c r="J1057" s="3">
        <v>5.439814814814925E-4</v>
      </c>
      <c r="K1057" s="5">
        <f t="shared" si="95"/>
        <v>47</v>
      </c>
      <c r="L1057" s="3">
        <v>1.1712962962962925E-2</v>
      </c>
      <c r="N1057" s="1" t="s">
        <v>42</v>
      </c>
      <c r="O1057" s="1" t="s">
        <v>43</v>
      </c>
      <c r="P1057" s="1" t="s">
        <v>227</v>
      </c>
      <c r="Q1057" s="1" t="s">
        <v>76</v>
      </c>
      <c r="S1057" s="1" t="s">
        <v>46</v>
      </c>
      <c r="T1057" s="1" t="s">
        <v>45</v>
      </c>
      <c r="U1057" s="1" t="s">
        <v>48</v>
      </c>
      <c r="V1057" s="1" t="s">
        <v>67</v>
      </c>
      <c r="W1057" s="1" t="s">
        <v>68</v>
      </c>
      <c r="Y1057" s="1" t="s">
        <v>68</v>
      </c>
      <c r="AB1057" s="1" t="s">
        <v>69</v>
      </c>
      <c r="AC1057" s="1">
        <v>0</v>
      </c>
      <c r="AD1057" s="1" t="s">
        <v>68</v>
      </c>
      <c r="AE1057" s="1" t="s">
        <v>70</v>
      </c>
      <c r="AI1057" s="1" t="s">
        <v>60</v>
      </c>
      <c r="AK1057" s="1" t="s">
        <v>61</v>
      </c>
      <c r="AL1057" s="1" t="s">
        <v>61</v>
      </c>
      <c r="AN1057" s="1">
        <v>1</v>
      </c>
      <c r="AO1057" s="1">
        <f t="shared" si="96"/>
        <v>1</v>
      </c>
    </row>
    <row r="1058" spans="1:41" x14ac:dyDescent="0.4">
      <c r="A1058" s="1">
        <v>1</v>
      </c>
      <c r="B1058" s="1" t="s">
        <v>1033</v>
      </c>
      <c r="C1058" s="1" t="s">
        <v>41</v>
      </c>
      <c r="D1058" s="2">
        <v>38828</v>
      </c>
      <c r="E1058" s="1">
        <v>111</v>
      </c>
      <c r="F1058" s="1">
        <v>6</v>
      </c>
      <c r="G1058" s="3">
        <v>0.50690972222222219</v>
      </c>
      <c r="H1058" s="3">
        <v>0.51568287037037031</v>
      </c>
      <c r="I1058" s="3">
        <v>8.7731481481481133E-3</v>
      </c>
      <c r="J1058" s="3">
        <v>8.7731481481481133E-3</v>
      </c>
      <c r="K1058" s="5">
        <f t="shared" si="95"/>
        <v>758</v>
      </c>
      <c r="L1058" s="3">
        <v>3.0092592592593226E-3</v>
      </c>
      <c r="N1058" s="1" t="s">
        <v>42</v>
      </c>
      <c r="O1058" s="1" t="s">
        <v>43</v>
      </c>
      <c r="P1058" s="1" t="s">
        <v>227</v>
      </c>
      <c r="Q1058" s="1" t="s">
        <v>132</v>
      </c>
      <c r="S1058" s="1" t="s">
        <v>46</v>
      </c>
      <c r="T1058" s="1" t="s">
        <v>45</v>
      </c>
      <c r="U1058" s="1" t="s">
        <v>66</v>
      </c>
      <c r="V1058" s="1" t="s">
        <v>49</v>
      </c>
      <c r="W1058" s="1" t="s">
        <v>50</v>
      </c>
      <c r="X1058" s="1" t="s">
        <v>951</v>
      </c>
      <c r="Y1058" s="1" t="s">
        <v>159</v>
      </c>
      <c r="Z1058" s="1" t="s">
        <v>160</v>
      </c>
      <c r="AA1058" s="1" t="s">
        <v>952</v>
      </c>
      <c r="AB1058" s="1" t="s">
        <v>953</v>
      </c>
      <c r="AC1058" s="1">
        <v>0</v>
      </c>
      <c r="AD1058" s="1" t="s">
        <v>56</v>
      </c>
      <c r="AE1058" s="1" t="s">
        <v>83</v>
      </c>
      <c r="AF1058" s="1" t="s">
        <v>84</v>
      </c>
      <c r="AG1058" s="1" t="s">
        <v>1093</v>
      </c>
      <c r="AH1058" s="1" t="s">
        <v>165</v>
      </c>
      <c r="AI1058" s="1" t="s">
        <v>71</v>
      </c>
      <c r="AK1058" s="1" t="s">
        <v>86</v>
      </c>
      <c r="AL1058" s="1" t="s">
        <v>87</v>
      </c>
      <c r="AM1058" s="1">
        <v>2</v>
      </c>
      <c r="AN1058" s="1">
        <v>0</v>
      </c>
      <c r="AO1058" s="1">
        <f t="shared" si="96"/>
        <v>2</v>
      </c>
    </row>
    <row r="1059" spans="1:41" x14ac:dyDescent="0.4">
      <c r="A1059" s="1">
        <v>1</v>
      </c>
      <c r="B1059" s="1" t="s">
        <v>1033</v>
      </c>
      <c r="C1059" s="1" t="s">
        <v>41</v>
      </c>
      <c r="D1059" s="2">
        <v>38828</v>
      </c>
      <c r="E1059" s="1">
        <v>111</v>
      </c>
      <c r="F1059" s="1">
        <v>6.5</v>
      </c>
      <c r="G1059" s="3">
        <v>0.51869212962962963</v>
      </c>
      <c r="H1059" s="3">
        <v>0.51883101851851854</v>
      </c>
      <c r="I1059" s="3">
        <v>1.388888888889106E-4</v>
      </c>
      <c r="J1059" s="3">
        <v>1.388888888889106E-4</v>
      </c>
      <c r="K1059" s="5">
        <f t="shared" si="95"/>
        <v>12</v>
      </c>
      <c r="L1059" s="3">
        <v>7.8703703703697503E-4</v>
      </c>
      <c r="N1059" s="1" t="s">
        <v>75</v>
      </c>
      <c r="O1059" s="1" t="s">
        <v>43</v>
      </c>
      <c r="P1059" s="1" t="s">
        <v>227</v>
      </c>
      <c r="Q1059" s="1" t="s">
        <v>45</v>
      </c>
      <c r="S1059" s="1" t="s">
        <v>46</v>
      </c>
      <c r="AB1059" s="1" t="s">
        <v>93</v>
      </c>
      <c r="AC1059" s="1">
        <v>1</v>
      </c>
      <c r="AK1059" s="1" t="s">
        <v>61</v>
      </c>
      <c r="AL1059" s="1" t="s">
        <v>72</v>
      </c>
      <c r="AN1059" s="1">
        <v>1</v>
      </c>
      <c r="AO1059" s="1">
        <f t="shared" si="96"/>
        <v>1</v>
      </c>
    </row>
    <row r="1060" spans="1:41" x14ac:dyDescent="0.4">
      <c r="A1060" s="1">
        <v>1</v>
      </c>
      <c r="B1060" s="1" t="s">
        <v>1033</v>
      </c>
      <c r="C1060" s="1" t="s">
        <v>41</v>
      </c>
      <c r="D1060" s="2">
        <v>38828</v>
      </c>
      <c r="E1060" s="1">
        <v>111</v>
      </c>
      <c r="F1060" s="1">
        <v>6.7</v>
      </c>
      <c r="G1060" s="3">
        <v>0.51961805555555551</v>
      </c>
      <c r="H1060" s="3">
        <v>0.51998842592592587</v>
      </c>
      <c r="I1060" s="3">
        <v>3.7037037037035425E-4</v>
      </c>
      <c r="J1060" s="3">
        <v>3.7037037037035425E-4</v>
      </c>
      <c r="K1060" s="5">
        <f t="shared" si="95"/>
        <v>32</v>
      </c>
      <c r="L1060" s="3">
        <v>2.2222222222223476E-3</v>
      </c>
      <c r="N1060" s="1" t="s">
        <v>75</v>
      </c>
      <c r="O1060" s="1" t="s">
        <v>43</v>
      </c>
      <c r="P1060" s="1" t="s">
        <v>227</v>
      </c>
      <c r="Q1060" s="1" t="s">
        <v>45</v>
      </c>
      <c r="S1060" s="1" t="s">
        <v>46</v>
      </c>
      <c r="T1060" s="1" t="s">
        <v>45</v>
      </c>
      <c r="U1060" s="1" t="s">
        <v>66</v>
      </c>
      <c r="V1060" s="1" t="s">
        <v>102</v>
      </c>
      <c r="W1060" s="1" t="s">
        <v>231</v>
      </c>
      <c r="X1060" s="1" t="s">
        <v>121</v>
      </c>
      <c r="AB1060" s="1" t="s">
        <v>104</v>
      </c>
      <c r="AC1060" s="1">
        <v>0</v>
      </c>
      <c r="AE1060" s="1" t="s">
        <v>70</v>
      </c>
      <c r="AF1060" s="1" t="s">
        <v>153</v>
      </c>
      <c r="AI1060" s="1" t="s">
        <v>75</v>
      </c>
      <c r="AK1060" s="1" t="s">
        <v>116</v>
      </c>
      <c r="AL1060" s="1" t="s">
        <v>117</v>
      </c>
      <c r="AN1060" s="1">
        <v>1</v>
      </c>
      <c r="AO1060" s="1">
        <f t="shared" si="96"/>
        <v>1</v>
      </c>
    </row>
    <row r="1061" spans="1:41" x14ac:dyDescent="0.4">
      <c r="A1061" s="1">
        <v>1</v>
      </c>
      <c r="B1061" s="1" t="s">
        <v>1033</v>
      </c>
      <c r="C1061" s="1" t="s">
        <v>41</v>
      </c>
      <c r="D1061" s="2">
        <v>38828</v>
      </c>
      <c r="E1061" s="1">
        <v>111</v>
      </c>
      <c r="F1061" s="1">
        <v>7</v>
      </c>
      <c r="G1061" s="3">
        <v>0.52221064814814822</v>
      </c>
      <c r="H1061" s="3">
        <v>0.54574074074074075</v>
      </c>
      <c r="I1061" s="3">
        <v>2.3530092592592533E-2</v>
      </c>
      <c r="J1061" s="3">
        <v>1.4652777777777737E-2</v>
      </c>
      <c r="K1061" s="5">
        <f t="shared" si="95"/>
        <v>1266</v>
      </c>
      <c r="L1061" s="3">
        <v>1.3773148148148451E-3</v>
      </c>
      <c r="N1061" s="1" t="s">
        <v>75</v>
      </c>
      <c r="O1061" s="1" t="s">
        <v>43</v>
      </c>
      <c r="P1061" s="1" t="s">
        <v>227</v>
      </c>
      <c r="Q1061" s="1" t="s">
        <v>45</v>
      </c>
      <c r="S1061" s="1" t="s">
        <v>46</v>
      </c>
      <c r="T1061" s="1" t="s">
        <v>47</v>
      </c>
      <c r="V1061" s="1" t="s">
        <v>49</v>
      </c>
      <c r="W1061" s="1" t="s">
        <v>50</v>
      </c>
      <c r="X1061" s="1" t="s">
        <v>951</v>
      </c>
      <c r="Y1061" s="1" t="s">
        <v>159</v>
      </c>
      <c r="Z1061" s="1" t="s">
        <v>160</v>
      </c>
      <c r="AA1061" s="1" t="s">
        <v>952</v>
      </c>
      <c r="AB1061" s="1" t="s">
        <v>953</v>
      </c>
      <c r="AC1061" s="1">
        <v>0</v>
      </c>
      <c r="AD1061" s="1" t="s">
        <v>56</v>
      </c>
      <c r="AE1061" s="1" t="s">
        <v>83</v>
      </c>
      <c r="AF1061" s="1" t="s">
        <v>84</v>
      </c>
      <c r="AG1061" s="1" t="s">
        <v>1049</v>
      </c>
      <c r="AH1061" s="1" t="s">
        <v>165</v>
      </c>
      <c r="AK1061" s="1" t="s">
        <v>116</v>
      </c>
      <c r="AL1061" s="1" t="s">
        <v>117</v>
      </c>
      <c r="AM1061" s="1">
        <v>5</v>
      </c>
      <c r="AN1061" s="1">
        <v>0</v>
      </c>
      <c r="AO1061" s="1">
        <f t="shared" si="96"/>
        <v>5</v>
      </c>
    </row>
    <row r="1062" spans="1:41" x14ac:dyDescent="0.4">
      <c r="A1062" s="1">
        <v>1</v>
      </c>
      <c r="B1062" s="1" t="s">
        <v>1033</v>
      </c>
      <c r="C1062" s="1" t="s">
        <v>41</v>
      </c>
      <c r="D1062" s="2">
        <v>38828</v>
      </c>
      <c r="E1062" s="1">
        <v>111</v>
      </c>
      <c r="F1062" s="1">
        <v>8</v>
      </c>
      <c r="G1062" s="3">
        <v>0.54711805555555559</v>
      </c>
      <c r="H1062" s="3">
        <v>0.5475578703703704</v>
      </c>
      <c r="I1062" s="3">
        <v>4.3981481481480955E-4</v>
      </c>
      <c r="J1062" s="3">
        <v>4.3981481481480955E-4</v>
      </c>
      <c r="K1062" s="5">
        <f t="shared" si="95"/>
        <v>38</v>
      </c>
      <c r="L1062" s="3">
        <v>3.7384259259258812E-3</v>
      </c>
      <c r="N1062" s="1" t="s">
        <v>42</v>
      </c>
      <c r="O1062" s="1" t="s">
        <v>43</v>
      </c>
      <c r="P1062" s="1" t="s">
        <v>227</v>
      </c>
      <c r="Q1062" s="1" t="s">
        <v>91</v>
      </c>
      <c r="S1062" s="1" t="s">
        <v>46</v>
      </c>
      <c r="T1062" s="1" t="s">
        <v>45</v>
      </c>
      <c r="U1062" s="1" t="s">
        <v>156</v>
      </c>
      <c r="V1062" s="1" t="s">
        <v>102</v>
      </c>
      <c r="W1062" s="1" t="s">
        <v>433</v>
      </c>
      <c r="X1062" s="1" t="s">
        <v>96</v>
      </c>
      <c r="Y1062" s="1" t="s">
        <v>1095</v>
      </c>
      <c r="Z1062" s="1" t="s">
        <v>1096</v>
      </c>
      <c r="AA1062" s="1" t="s">
        <v>1097</v>
      </c>
      <c r="AB1062" s="1" t="s">
        <v>1098</v>
      </c>
      <c r="AC1062" s="1">
        <v>0</v>
      </c>
      <c r="AD1062" s="1" t="s">
        <v>1099</v>
      </c>
      <c r="AE1062" s="1" t="s">
        <v>70</v>
      </c>
      <c r="AG1062" s="1" t="s">
        <v>1049</v>
      </c>
      <c r="AI1062" s="1" t="s">
        <v>75</v>
      </c>
      <c r="AK1062" s="1" t="s">
        <v>86</v>
      </c>
      <c r="AL1062" s="1" t="s">
        <v>133</v>
      </c>
      <c r="AM1062" s="1">
        <v>5</v>
      </c>
      <c r="AN1062" s="1">
        <v>0</v>
      </c>
      <c r="AO1062" s="1">
        <f t="shared" si="96"/>
        <v>5</v>
      </c>
    </row>
    <row r="1063" spans="1:41" x14ac:dyDescent="0.4">
      <c r="A1063" s="1">
        <v>1</v>
      </c>
      <c r="B1063" s="1" t="s">
        <v>1033</v>
      </c>
      <c r="C1063" s="1" t="s">
        <v>41</v>
      </c>
      <c r="D1063" s="2">
        <v>38828</v>
      </c>
      <c r="E1063" s="1">
        <v>111</v>
      </c>
      <c r="F1063" s="1">
        <v>8.1999999999999993</v>
      </c>
      <c r="G1063" s="3">
        <v>0.55129629629629628</v>
      </c>
      <c r="H1063" s="3">
        <v>0.56078703703703703</v>
      </c>
      <c r="I1063" s="3">
        <v>9.490740740740744E-3</v>
      </c>
      <c r="J1063" s="3">
        <v>1.96759259259216E-4</v>
      </c>
      <c r="K1063" s="5">
        <f t="shared" si="95"/>
        <v>17</v>
      </c>
      <c r="L1063" s="3">
        <v>3.263888888888955E-3</v>
      </c>
      <c r="N1063" s="1" t="s">
        <v>42</v>
      </c>
      <c r="O1063" s="1" t="s">
        <v>43</v>
      </c>
      <c r="P1063" s="1" t="s">
        <v>227</v>
      </c>
      <c r="Q1063" s="1" t="s">
        <v>76</v>
      </c>
      <c r="S1063" s="1" t="s">
        <v>46</v>
      </c>
      <c r="T1063" s="1" t="s">
        <v>47</v>
      </c>
      <c r="U1063" s="1" t="s">
        <v>156</v>
      </c>
      <c r="AB1063" s="1" t="s">
        <v>93</v>
      </c>
      <c r="AC1063" s="1">
        <v>1</v>
      </c>
      <c r="AG1063" s="1" t="s">
        <v>1112</v>
      </c>
      <c r="AI1063" s="1" t="s">
        <v>75</v>
      </c>
      <c r="AK1063" s="1" t="s">
        <v>86</v>
      </c>
      <c r="AL1063" s="1" t="s">
        <v>187</v>
      </c>
      <c r="AM1063" s="1">
        <v>3</v>
      </c>
      <c r="AN1063" s="1">
        <v>0</v>
      </c>
      <c r="AO1063" s="1">
        <f t="shared" si="96"/>
        <v>3</v>
      </c>
    </row>
    <row r="1064" spans="1:41" x14ac:dyDescent="0.4">
      <c r="A1064" s="1">
        <v>1</v>
      </c>
      <c r="B1064" s="1" t="s">
        <v>1033</v>
      </c>
      <c r="C1064" s="1" t="s">
        <v>41</v>
      </c>
      <c r="D1064" s="2">
        <v>38828</v>
      </c>
      <c r="E1064" s="1">
        <v>111</v>
      </c>
      <c r="F1064" s="1">
        <v>8.5</v>
      </c>
      <c r="G1064" s="3">
        <v>0.56405092592592598</v>
      </c>
      <c r="H1064" s="3">
        <v>0.56407407407407406</v>
      </c>
      <c r="I1064" s="3">
        <v>2.3148148148077752E-5</v>
      </c>
      <c r="J1064" s="3">
        <v>2.3148148148077752E-5</v>
      </c>
      <c r="K1064" s="5">
        <f t="shared" si="95"/>
        <v>2</v>
      </c>
      <c r="L1064" s="3">
        <v>8.6805555555558023E-4</v>
      </c>
      <c r="N1064" s="1" t="s">
        <v>42</v>
      </c>
      <c r="O1064" s="1" t="s">
        <v>43</v>
      </c>
      <c r="P1064" s="1" t="s">
        <v>227</v>
      </c>
      <c r="Q1064" s="1" t="s">
        <v>76</v>
      </c>
      <c r="S1064" s="1" t="s">
        <v>46</v>
      </c>
      <c r="T1064" s="1" t="s">
        <v>47</v>
      </c>
      <c r="U1064" s="1" t="s">
        <v>66</v>
      </c>
      <c r="AB1064" s="1" t="s">
        <v>93</v>
      </c>
      <c r="AC1064" s="1">
        <v>1</v>
      </c>
      <c r="AI1064" s="1" t="s">
        <v>71</v>
      </c>
      <c r="AK1064" s="1" t="s">
        <v>61</v>
      </c>
      <c r="AL1064" s="1" t="s">
        <v>133</v>
      </c>
      <c r="AN1064" s="1">
        <v>1</v>
      </c>
      <c r="AO1064" s="1">
        <f t="shared" si="96"/>
        <v>1</v>
      </c>
    </row>
    <row r="1065" spans="1:41" x14ac:dyDescent="0.4">
      <c r="A1065" s="1">
        <v>1</v>
      </c>
      <c r="B1065" s="1" t="s">
        <v>1033</v>
      </c>
      <c r="C1065" s="1" t="s">
        <v>41</v>
      </c>
      <c r="D1065" s="2">
        <v>38828</v>
      </c>
      <c r="E1065" s="1">
        <v>111</v>
      </c>
      <c r="F1065" s="1">
        <v>8.6</v>
      </c>
      <c r="G1065" s="3">
        <v>0.56494212962962964</v>
      </c>
      <c r="H1065" s="3">
        <v>0.56496527777777772</v>
      </c>
      <c r="I1065" s="3">
        <v>2.3148148148077752E-5</v>
      </c>
      <c r="J1065" s="3">
        <v>2.3148148148077752E-5</v>
      </c>
      <c r="K1065" s="5">
        <f t="shared" si="95"/>
        <v>2</v>
      </c>
      <c r="L1065" s="3">
        <v>5.2662037037037868E-3</v>
      </c>
      <c r="N1065" s="1" t="s">
        <v>42</v>
      </c>
      <c r="O1065" s="1" t="s">
        <v>43</v>
      </c>
      <c r="P1065" s="1" t="s">
        <v>227</v>
      </c>
      <c r="Q1065" s="1" t="s">
        <v>45</v>
      </c>
      <c r="S1065" s="1" t="s">
        <v>46</v>
      </c>
      <c r="T1065" s="1" t="s">
        <v>47</v>
      </c>
      <c r="U1065" s="1" t="s">
        <v>66</v>
      </c>
      <c r="AB1065" s="1" t="s">
        <v>93</v>
      </c>
      <c r="AC1065" s="1">
        <v>1</v>
      </c>
      <c r="AI1065" s="1" t="s">
        <v>71</v>
      </c>
      <c r="AK1065" s="1" t="s">
        <v>86</v>
      </c>
      <c r="AL1065" s="1" t="s">
        <v>133</v>
      </c>
      <c r="AN1065" s="1">
        <v>1</v>
      </c>
      <c r="AO1065" s="1">
        <f t="shared" si="96"/>
        <v>1</v>
      </c>
    </row>
    <row r="1066" spans="1:41" x14ac:dyDescent="0.4">
      <c r="A1066" s="1">
        <v>1</v>
      </c>
      <c r="B1066" s="1" t="s">
        <v>1033</v>
      </c>
      <c r="C1066" s="1" t="s">
        <v>41</v>
      </c>
      <c r="D1066" s="2">
        <v>38828</v>
      </c>
      <c r="E1066" s="1">
        <v>111</v>
      </c>
      <c r="F1066" s="1">
        <v>9</v>
      </c>
      <c r="G1066" s="3">
        <v>0.57023148148148151</v>
      </c>
      <c r="H1066" s="3">
        <v>0.57862268518518511</v>
      </c>
      <c r="I1066" s="3">
        <v>8.3912037037036091E-3</v>
      </c>
      <c r="J1066" s="3">
        <v>8.3912037037036091E-3</v>
      </c>
      <c r="K1066" s="5">
        <f t="shared" si="95"/>
        <v>725</v>
      </c>
      <c r="L1066" s="3">
        <v>3.0439814814815502E-3</v>
      </c>
      <c r="N1066" s="1" t="s">
        <v>42</v>
      </c>
      <c r="O1066" s="1" t="s">
        <v>43</v>
      </c>
      <c r="P1066" s="1" t="s">
        <v>227</v>
      </c>
      <c r="Q1066" s="1" t="s">
        <v>45</v>
      </c>
      <c r="S1066" s="1" t="s">
        <v>46</v>
      </c>
      <c r="T1066" s="1" t="s">
        <v>45</v>
      </c>
      <c r="U1066" s="1" t="s">
        <v>66</v>
      </c>
      <c r="V1066" s="1" t="s">
        <v>49</v>
      </c>
      <c r="W1066" s="1" t="s">
        <v>233</v>
      </c>
      <c r="X1066" s="1" t="s">
        <v>234</v>
      </c>
      <c r="Y1066" s="1" t="s">
        <v>235</v>
      </c>
      <c r="Z1066" s="1" t="s">
        <v>236</v>
      </c>
      <c r="AA1066" s="1" t="s">
        <v>221</v>
      </c>
      <c r="AB1066" s="1" t="s">
        <v>237</v>
      </c>
      <c r="AC1066" s="1">
        <v>0</v>
      </c>
      <c r="AD1066" s="1" t="s">
        <v>56</v>
      </c>
      <c r="AE1066" s="1" t="s">
        <v>83</v>
      </c>
      <c r="AF1066" s="1" t="s">
        <v>113</v>
      </c>
      <c r="AG1066" s="1" t="s">
        <v>1113</v>
      </c>
      <c r="AH1066" s="1" t="s">
        <v>206</v>
      </c>
      <c r="AI1066" s="1" t="s">
        <v>71</v>
      </c>
      <c r="AK1066" s="1" t="s">
        <v>61</v>
      </c>
      <c r="AL1066" s="1" t="s">
        <v>72</v>
      </c>
      <c r="AM1066" s="1">
        <v>1</v>
      </c>
      <c r="AN1066" s="1">
        <v>0</v>
      </c>
      <c r="AO1066" s="1">
        <f t="shared" si="96"/>
        <v>1</v>
      </c>
    </row>
    <row r="1067" spans="1:41" x14ac:dyDescent="0.4">
      <c r="A1067" s="1">
        <v>1</v>
      </c>
      <c r="B1067" s="1" t="s">
        <v>1033</v>
      </c>
      <c r="C1067" s="1" t="s">
        <v>41</v>
      </c>
      <c r="D1067" s="2">
        <v>38828</v>
      </c>
      <c r="E1067" s="1">
        <v>111</v>
      </c>
      <c r="F1067" s="1">
        <v>10</v>
      </c>
      <c r="G1067" s="3">
        <v>0.58166666666666667</v>
      </c>
      <c r="H1067" s="3">
        <v>0.58391203703703709</v>
      </c>
      <c r="I1067" s="3">
        <v>2.2453703703704253E-3</v>
      </c>
      <c r="J1067" s="3">
        <v>1.7129629629630827E-3</v>
      </c>
      <c r="K1067" s="5">
        <f t="shared" si="95"/>
        <v>148</v>
      </c>
      <c r="L1067" s="3">
        <v>1.055555555555554E-2</v>
      </c>
      <c r="N1067" s="1" t="s">
        <v>75</v>
      </c>
      <c r="O1067" s="1" t="s">
        <v>43</v>
      </c>
      <c r="P1067" s="1" t="s">
        <v>227</v>
      </c>
      <c r="Q1067" s="1" t="s">
        <v>45</v>
      </c>
      <c r="S1067" s="1" t="s">
        <v>46</v>
      </c>
      <c r="T1067" s="1" t="s">
        <v>45</v>
      </c>
      <c r="U1067" s="1" t="s">
        <v>156</v>
      </c>
      <c r="V1067" s="1" t="s">
        <v>102</v>
      </c>
      <c r="W1067" s="1" t="s">
        <v>103</v>
      </c>
      <c r="X1067" s="1" t="s">
        <v>96</v>
      </c>
      <c r="AB1067" s="1" t="s">
        <v>104</v>
      </c>
      <c r="AC1067" s="1">
        <v>0</v>
      </c>
      <c r="AD1067" s="1" t="s">
        <v>56</v>
      </c>
      <c r="AE1067" s="1" t="s">
        <v>70</v>
      </c>
      <c r="AG1067" s="1" t="s">
        <v>1114</v>
      </c>
      <c r="AH1067" s="1" t="s">
        <v>157</v>
      </c>
      <c r="AI1067" s="1" t="s">
        <v>75</v>
      </c>
      <c r="AK1067" s="1" t="s">
        <v>86</v>
      </c>
      <c r="AL1067" s="1" t="s">
        <v>187</v>
      </c>
      <c r="AM1067" s="1">
        <v>1</v>
      </c>
      <c r="AN1067" s="1">
        <v>0</v>
      </c>
      <c r="AO1067" s="1">
        <f t="shared" si="96"/>
        <v>1</v>
      </c>
    </row>
    <row r="1068" spans="1:41" x14ac:dyDescent="0.4">
      <c r="A1068" s="1">
        <v>1</v>
      </c>
      <c r="B1068" s="1" t="s">
        <v>1033</v>
      </c>
      <c r="C1068" s="1" t="s">
        <v>41</v>
      </c>
      <c r="D1068" s="2">
        <v>38828</v>
      </c>
      <c r="E1068" s="1">
        <v>111</v>
      </c>
      <c r="F1068" s="1">
        <v>10.5</v>
      </c>
      <c r="G1068" s="3">
        <v>0.59446759259259263</v>
      </c>
      <c r="H1068" s="3">
        <v>0.5947337962962963</v>
      </c>
      <c r="I1068" s="3">
        <v>2.662037037036713E-4</v>
      </c>
      <c r="J1068" s="3">
        <v>2.662037037036713E-4</v>
      </c>
      <c r="K1068" s="5">
        <f t="shared" si="95"/>
        <v>23</v>
      </c>
      <c r="L1068" s="3">
        <v>9.1898148148148451E-3</v>
      </c>
      <c r="N1068" s="1" t="s">
        <v>42</v>
      </c>
      <c r="O1068" s="1" t="s">
        <v>43</v>
      </c>
      <c r="P1068" s="1" t="s">
        <v>227</v>
      </c>
      <c r="S1068" s="1" t="s">
        <v>46</v>
      </c>
      <c r="T1068" s="1" t="s">
        <v>47</v>
      </c>
      <c r="U1068" s="1" t="s">
        <v>66</v>
      </c>
      <c r="V1068" s="1" t="s">
        <v>102</v>
      </c>
      <c r="W1068" s="1" t="s">
        <v>103</v>
      </c>
      <c r="X1068" s="1" t="s">
        <v>96</v>
      </c>
      <c r="Y1068" s="1" t="s">
        <v>52</v>
      </c>
      <c r="AB1068" s="1" t="s">
        <v>225</v>
      </c>
      <c r="AC1068" s="1">
        <v>0</v>
      </c>
      <c r="AD1068" s="1" t="s">
        <v>105</v>
      </c>
      <c r="AE1068" s="1" t="s">
        <v>70</v>
      </c>
      <c r="AF1068" s="1" t="s">
        <v>113</v>
      </c>
      <c r="AG1068" s="1" t="s">
        <v>1115</v>
      </c>
      <c r="AH1068" s="1" t="s">
        <v>157</v>
      </c>
      <c r="AI1068" s="1" t="s">
        <v>71</v>
      </c>
      <c r="AK1068" s="1" t="s">
        <v>116</v>
      </c>
      <c r="AL1068" s="1" t="s">
        <v>174</v>
      </c>
      <c r="AM1068" s="1">
        <v>6</v>
      </c>
      <c r="AN1068" s="1">
        <v>0</v>
      </c>
      <c r="AO1068" s="1">
        <f t="shared" si="96"/>
        <v>6</v>
      </c>
    </row>
    <row r="1069" spans="1:41" x14ac:dyDescent="0.4">
      <c r="A1069" s="1">
        <v>1</v>
      </c>
      <c r="B1069" s="1" t="s">
        <v>1033</v>
      </c>
      <c r="C1069" s="1" t="s">
        <v>41</v>
      </c>
      <c r="D1069" s="2">
        <v>38828</v>
      </c>
      <c r="E1069" s="1">
        <v>111</v>
      </c>
      <c r="F1069" s="1">
        <v>10.6</v>
      </c>
      <c r="G1069" s="3">
        <v>0.60392361111111115</v>
      </c>
      <c r="H1069" s="3">
        <v>0.60398148148148145</v>
      </c>
      <c r="I1069" s="3">
        <v>5.7870370370305402E-5</v>
      </c>
      <c r="J1069" s="3">
        <v>5.7870370370305402E-5</v>
      </c>
      <c r="K1069" s="5">
        <f t="shared" si="95"/>
        <v>5</v>
      </c>
      <c r="L1069" s="3">
        <v>1.7418981481481466E-2</v>
      </c>
      <c r="N1069" s="1" t="s">
        <v>42</v>
      </c>
      <c r="O1069" s="1" t="s">
        <v>43</v>
      </c>
      <c r="P1069" s="1" t="s">
        <v>227</v>
      </c>
      <c r="Q1069" s="1" t="s">
        <v>76</v>
      </c>
      <c r="S1069" s="1" t="s">
        <v>46</v>
      </c>
      <c r="T1069" s="1" t="s">
        <v>47</v>
      </c>
      <c r="U1069" s="1" t="s">
        <v>66</v>
      </c>
      <c r="AB1069" s="1" t="s">
        <v>93</v>
      </c>
      <c r="AC1069" s="1">
        <v>1</v>
      </c>
      <c r="AI1069" s="1" t="s">
        <v>71</v>
      </c>
      <c r="AK1069" s="1" t="s">
        <v>86</v>
      </c>
      <c r="AL1069" s="1" t="s">
        <v>87</v>
      </c>
      <c r="AN1069" s="1">
        <v>1</v>
      </c>
      <c r="AO1069" s="1">
        <f t="shared" si="96"/>
        <v>1</v>
      </c>
    </row>
    <row r="1070" spans="1:41" x14ac:dyDescent="0.4">
      <c r="A1070" s="1">
        <v>1</v>
      </c>
      <c r="B1070" s="1" t="s">
        <v>1033</v>
      </c>
      <c r="C1070" s="1" t="s">
        <v>41</v>
      </c>
      <c r="D1070" s="2">
        <v>38828</v>
      </c>
      <c r="E1070" s="1">
        <v>111</v>
      </c>
      <c r="F1070" s="1">
        <v>11</v>
      </c>
      <c r="G1070" s="3">
        <v>0.62140046296296292</v>
      </c>
      <c r="H1070" s="3">
        <v>0.65170138888888884</v>
      </c>
      <c r="I1070" s="3">
        <v>3.0300925925925926E-2</v>
      </c>
      <c r="J1070" s="3">
        <v>9.594907407407427E-3</v>
      </c>
      <c r="K1070" s="5">
        <f t="shared" si="95"/>
        <v>829</v>
      </c>
      <c r="L1070" s="3" t="s">
        <v>120</v>
      </c>
      <c r="N1070" s="1" t="s">
        <v>42</v>
      </c>
      <c r="O1070" s="1" t="s">
        <v>43</v>
      </c>
      <c r="P1070" s="1" t="s">
        <v>227</v>
      </c>
      <c r="Q1070" s="1" t="s">
        <v>45</v>
      </c>
      <c r="S1070" s="1" t="s">
        <v>46</v>
      </c>
      <c r="T1070" s="1" t="s">
        <v>47</v>
      </c>
      <c r="U1070" s="1" t="s">
        <v>156</v>
      </c>
      <c r="V1070" s="1" t="s">
        <v>49</v>
      </c>
      <c r="W1070" s="1" t="s">
        <v>200</v>
      </c>
      <c r="X1070" s="1" t="s">
        <v>201</v>
      </c>
      <c r="Y1070" s="1" t="s">
        <v>126</v>
      </c>
      <c r="Z1070" s="1" t="s">
        <v>202</v>
      </c>
      <c r="AA1070" s="1" t="s">
        <v>203</v>
      </c>
      <c r="AB1070" s="1" t="s">
        <v>204</v>
      </c>
      <c r="AC1070" s="1">
        <v>0</v>
      </c>
      <c r="AD1070" s="1" t="s">
        <v>56</v>
      </c>
      <c r="AE1070" s="1" t="s">
        <v>83</v>
      </c>
      <c r="AF1070" s="1" t="s">
        <v>84</v>
      </c>
      <c r="AG1070" s="1" t="s">
        <v>1116</v>
      </c>
      <c r="AH1070" s="1" t="s">
        <v>206</v>
      </c>
      <c r="AI1070" s="1" t="s">
        <v>75</v>
      </c>
      <c r="AK1070" s="1" t="s">
        <v>86</v>
      </c>
      <c r="AL1070" s="1" t="s">
        <v>187</v>
      </c>
      <c r="AM1070" s="1">
        <v>1</v>
      </c>
      <c r="AN1070" s="1">
        <v>0</v>
      </c>
      <c r="AO1070" s="1">
        <f t="shared" si="96"/>
        <v>1</v>
      </c>
    </row>
    <row r="1071" spans="1:41" x14ac:dyDescent="0.4">
      <c r="A1071" s="1">
        <v>1</v>
      </c>
      <c r="B1071" s="1" t="s">
        <v>1033</v>
      </c>
      <c r="C1071" s="1" t="s">
        <v>41</v>
      </c>
      <c r="D1071" s="2">
        <v>38842</v>
      </c>
      <c r="E1071" s="1">
        <v>125</v>
      </c>
      <c r="F1071" s="1">
        <v>1</v>
      </c>
      <c r="G1071" s="3">
        <v>0.41434027777777777</v>
      </c>
      <c r="H1071" s="3">
        <v>0.41964120370370367</v>
      </c>
      <c r="I1071" s="3">
        <v>5.3009259259259034E-3</v>
      </c>
      <c r="J1071" s="3">
        <v>5.3009259259259034E-3</v>
      </c>
      <c r="K1071" s="5">
        <f t="shared" si="95"/>
        <v>458</v>
      </c>
      <c r="L1071" s="3">
        <v>2.9745370370370394E-3</v>
      </c>
      <c r="N1071" s="1" t="s">
        <v>251</v>
      </c>
      <c r="O1071" s="1" t="s">
        <v>286</v>
      </c>
      <c r="P1071" s="1" t="s">
        <v>227</v>
      </c>
      <c r="Q1071" s="1" t="s">
        <v>76</v>
      </c>
      <c r="S1071" s="1" t="s">
        <v>46</v>
      </c>
      <c r="T1071" s="1" t="s">
        <v>47</v>
      </c>
      <c r="V1071" s="1" t="s">
        <v>49</v>
      </c>
      <c r="W1071" s="1" t="s">
        <v>140</v>
      </c>
      <c r="X1071" s="1" t="s">
        <v>177</v>
      </c>
      <c r="Y1071" s="1" t="s">
        <v>239</v>
      </c>
      <c r="Z1071" s="1" t="s">
        <v>240</v>
      </c>
      <c r="AA1071" s="1" t="s">
        <v>241</v>
      </c>
      <c r="AB1071" s="1" t="s">
        <v>242</v>
      </c>
      <c r="AC1071" s="1">
        <v>0</v>
      </c>
      <c r="AD1071" s="1" t="s">
        <v>105</v>
      </c>
      <c r="AE1071" s="1" t="s">
        <v>181</v>
      </c>
      <c r="AF1071" s="1" t="s">
        <v>113</v>
      </c>
      <c r="AG1071" s="1" t="s">
        <v>1039</v>
      </c>
      <c r="AH1071" s="1" t="s">
        <v>115</v>
      </c>
      <c r="AK1071" s="1" t="s">
        <v>86</v>
      </c>
      <c r="AL1071" s="1" t="s">
        <v>87</v>
      </c>
      <c r="AM1071" s="1">
        <v>2</v>
      </c>
      <c r="AN1071" s="1">
        <v>0</v>
      </c>
      <c r="AO1071" s="1">
        <f t="shared" si="96"/>
        <v>2</v>
      </c>
    </row>
    <row r="1072" spans="1:41" x14ac:dyDescent="0.4">
      <c r="A1072" s="1">
        <v>1</v>
      </c>
      <c r="B1072" s="1" t="s">
        <v>1033</v>
      </c>
      <c r="C1072" s="1" t="s">
        <v>41</v>
      </c>
      <c r="D1072" s="2">
        <v>38842</v>
      </c>
      <c r="E1072" s="1">
        <v>125</v>
      </c>
      <c r="F1072" s="1">
        <v>2</v>
      </c>
      <c r="G1072" s="3">
        <v>0.42261574074074071</v>
      </c>
      <c r="H1072" s="3">
        <v>0.42314814814814811</v>
      </c>
      <c r="I1072" s="3">
        <v>5.3240740740739811E-4</v>
      </c>
      <c r="J1072" s="3">
        <v>5.3240740740739811E-4</v>
      </c>
      <c r="K1072" s="5">
        <f t="shared" si="95"/>
        <v>46</v>
      </c>
      <c r="L1072" s="3">
        <v>7.1990740740741077E-3</v>
      </c>
      <c r="N1072" s="1" t="s">
        <v>251</v>
      </c>
      <c r="O1072" s="1" t="s">
        <v>286</v>
      </c>
      <c r="P1072" s="1" t="s">
        <v>227</v>
      </c>
      <c r="Q1072" s="1" t="s">
        <v>45</v>
      </c>
      <c r="S1072" s="1" t="s">
        <v>46</v>
      </c>
      <c r="T1072" s="1" t="s">
        <v>45</v>
      </c>
      <c r="U1072" s="1" t="s">
        <v>156</v>
      </c>
      <c r="V1072" s="1" t="s">
        <v>49</v>
      </c>
      <c r="W1072" s="1" t="s">
        <v>439</v>
      </c>
      <c r="X1072" s="1" t="s">
        <v>440</v>
      </c>
      <c r="Y1072" s="1" t="s">
        <v>441</v>
      </c>
      <c r="Z1072" s="1" t="s">
        <v>442</v>
      </c>
      <c r="AA1072" s="1" t="s">
        <v>443</v>
      </c>
      <c r="AB1072" s="1" t="s">
        <v>444</v>
      </c>
      <c r="AC1072" s="1">
        <v>0</v>
      </c>
      <c r="AD1072" s="1" t="s">
        <v>56</v>
      </c>
      <c r="AE1072" s="1" t="s">
        <v>83</v>
      </c>
      <c r="AG1072" s="1" t="s">
        <v>1117</v>
      </c>
      <c r="AH1072" s="1" t="s">
        <v>115</v>
      </c>
      <c r="AI1072" s="1" t="s">
        <v>255</v>
      </c>
      <c r="AK1072" s="1" t="s">
        <v>86</v>
      </c>
      <c r="AL1072" s="1" t="s">
        <v>133</v>
      </c>
      <c r="AM1072" s="1">
        <v>4</v>
      </c>
      <c r="AN1072" s="1">
        <v>0</v>
      </c>
      <c r="AO1072" s="1">
        <f t="shared" si="96"/>
        <v>4</v>
      </c>
    </row>
    <row r="1073" spans="1:41" x14ac:dyDescent="0.4">
      <c r="A1073" s="1">
        <v>1</v>
      </c>
      <c r="B1073" s="1" t="s">
        <v>1033</v>
      </c>
      <c r="C1073" s="1" t="s">
        <v>41</v>
      </c>
      <c r="D1073" s="2">
        <v>38842</v>
      </c>
      <c r="E1073" s="1">
        <v>125</v>
      </c>
      <c r="F1073" s="1">
        <v>4</v>
      </c>
      <c r="G1073" s="3">
        <v>0.43034722222222221</v>
      </c>
      <c r="H1073" s="3">
        <v>0.4337152777777778</v>
      </c>
      <c r="I1073" s="3">
        <v>3.3680555555555824E-3</v>
      </c>
      <c r="J1073" s="3">
        <v>3.3680555555555824E-3</v>
      </c>
      <c r="K1073" s="5">
        <f t="shared" si="95"/>
        <v>291</v>
      </c>
      <c r="L1073" s="3">
        <v>9.2476851851851505E-3</v>
      </c>
      <c r="N1073" s="1" t="s">
        <v>251</v>
      </c>
      <c r="O1073" s="1" t="s">
        <v>286</v>
      </c>
      <c r="P1073" s="1" t="s">
        <v>227</v>
      </c>
      <c r="Q1073" s="1" t="s">
        <v>76</v>
      </c>
      <c r="S1073" s="1" t="s">
        <v>46</v>
      </c>
      <c r="T1073" s="1" t="s">
        <v>47</v>
      </c>
      <c r="U1073" s="1" t="s">
        <v>92</v>
      </c>
      <c r="V1073" s="1" t="s">
        <v>49</v>
      </c>
      <c r="W1073" s="1" t="s">
        <v>77</v>
      </c>
      <c r="X1073" s="1" t="s">
        <v>522</v>
      </c>
      <c r="Y1073" s="1" t="s">
        <v>79</v>
      </c>
      <c r="Z1073" s="1" t="s">
        <v>523</v>
      </c>
      <c r="AA1073" s="1" t="s">
        <v>524</v>
      </c>
      <c r="AB1073" s="1" t="s">
        <v>525</v>
      </c>
      <c r="AC1073" s="1">
        <v>0</v>
      </c>
      <c r="AD1073" s="1" t="s">
        <v>56</v>
      </c>
      <c r="AE1073" s="1" t="s">
        <v>57</v>
      </c>
      <c r="AF1073" s="1" t="s">
        <v>153</v>
      </c>
      <c r="AG1073" s="1" t="s">
        <v>1118</v>
      </c>
      <c r="AH1073" s="1" t="s">
        <v>115</v>
      </c>
      <c r="AI1073" s="1" t="s">
        <v>253</v>
      </c>
      <c r="AK1073" s="1" t="s">
        <v>116</v>
      </c>
      <c r="AL1073" s="1" t="s">
        <v>174</v>
      </c>
      <c r="AM1073" s="1">
        <v>4</v>
      </c>
      <c r="AN1073" s="1">
        <v>0</v>
      </c>
      <c r="AO1073" s="1">
        <f t="shared" si="96"/>
        <v>4</v>
      </c>
    </row>
    <row r="1074" spans="1:41" x14ac:dyDescent="0.4">
      <c r="A1074" s="1">
        <v>1</v>
      </c>
      <c r="B1074" s="1" t="s">
        <v>1033</v>
      </c>
      <c r="C1074" s="1" t="s">
        <v>41</v>
      </c>
      <c r="D1074" s="2">
        <v>38842</v>
      </c>
      <c r="E1074" s="1">
        <v>125</v>
      </c>
      <c r="F1074" s="1">
        <v>5</v>
      </c>
      <c r="G1074" s="3">
        <v>0.44296296296296295</v>
      </c>
      <c r="H1074" s="3">
        <v>0.4494097222222222</v>
      </c>
      <c r="I1074" s="3">
        <v>6.4467592592592493E-3</v>
      </c>
      <c r="J1074" s="3">
        <v>6.4467592592592493E-3</v>
      </c>
      <c r="K1074" s="5">
        <f t="shared" si="95"/>
        <v>557</v>
      </c>
      <c r="L1074" s="3">
        <v>6.7939814814814703E-3</v>
      </c>
      <c r="N1074" s="1" t="s">
        <v>251</v>
      </c>
      <c r="O1074" s="1" t="s">
        <v>286</v>
      </c>
      <c r="P1074" s="1" t="s">
        <v>227</v>
      </c>
      <c r="Q1074" s="1" t="s">
        <v>76</v>
      </c>
      <c r="S1074" s="1" t="s">
        <v>46</v>
      </c>
      <c r="T1074" s="1" t="s">
        <v>47</v>
      </c>
      <c r="U1074" s="1" t="s">
        <v>156</v>
      </c>
      <c r="V1074" s="1" t="s">
        <v>49</v>
      </c>
      <c r="W1074" s="1" t="s">
        <v>77</v>
      </c>
      <c r="X1074" s="1" t="s">
        <v>522</v>
      </c>
      <c r="Y1074" s="1" t="s">
        <v>79</v>
      </c>
      <c r="Z1074" s="1" t="s">
        <v>523</v>
      </c>
      <c r="AA1074" s="1" t="s">
        <v>524</v>
      </c>
      <c r="AB1074" s="1" t="s">
        <v>525</v>
      </c>
      <c r="AC1074" s="1">
        <v>0</v>
      </c>
      <c r="AD1074" s="1" t="s">
        <v>56</v>
      </c>
      <c r="AE1074" s="1" t="s">
        <v>57</v>
      </c>
      <c r="AF1074" s="1" t="s">
        <v>113</v>
      </c>
      <c r="AG1074" s="1" t="s">
        <v>1086</v>
      </c>
      <c r="AH1074" s="1" t="s">
        <v>115</v>
      </c>
      <c r="AI1074" s="1" t="s">
        <v>255</v>
      </c>
      <c r="AK1074" s="1" t="s">
        <v>86</v>
      </c>
      <c r="AL1074" s="1" t="s">
        <v>133</v>
      </c>
      <c r="AM1074" s="1">
        <v>4</v>
      </c>
      <c r="AN1074" s="1">
        <v>0</v>
      </c>
      <c r="AO1074" s="1">
        <f t="shared" si="96"/>
        <v>4</v>
      </c>
    </row>
    <row r="1075" spans="1:41" x14ac:dyDescent="0.4">
      <c r="A1075" s="1">
        <v>1</v>
      </c>
      <c r="B1075" s="1" t="s">
        <v>1033</v>
      </c>
      <c r="C1075" s="1" t="s">
        <v>41</v>
      </c>
      <c r="D1075" s="2">
        <v>38842</v>
      </c>
      <c r="E1075" s="1">
        <v>125</v>
      </c>
      <c r="F1075" s="1">
        <v>5.5</v>
      </c>
      <c r="G1075" s="3">
        <v>0.45620370370370367</v>
      </c>
      <c r="H1075" s="3">
        <v>0.45627314814814812</v>
      </c>
      <c r="I1075" s="3">
        <v>6.94444444444553E-5</v>
      </c>
      <c r="J1075" s="3">
        <v>6.94444444444553E-5</v>
      </c>
      <c r="K1075" s="5">
        <f t="shared" si="95"/>
        <v>6</v>
      </c>
      <c r="L1075" s="3">
        <v>1.6550925925925941E-2</v>
      </c>
      <c r="N1075" s="1" t="s">
        <v>251</v>
      </c>
      <c r="O1075" s="1" t="s">
        <v>286</v>
      </c>
      <c r="P1075" s="1" t="s">
        <v>227</v>
      </c>
      <c r="Q1075" s="1" t="s">
        <v>76</v>
      </c>
      <c r="S1075" s="1" t="s">
        <v>46</v>
      </c>
      <c r="T1075" s="1" t="s">
        <v>76</v>
      </c>
      <c r="U1075" s="1" t="s">
        <v>92</v>
      </c>
      <c r="AB1075" s="1" t="s">
        <v>93</v>
      </c>
      <c r="AC1075" s="1">
        <v>1</v>
      </c>
      <c r="AG1075" s="1" t="s">
        <v>1119</v>
      </c>
      <c r="AI1075" s="1" t="s">
        <v>253</v>
      </c>
      <c r="AK1075" s="1" t="s">
        <v>86</v>
      </c>
      <c r="AL1075" s="1" t="s">
        <v>133</v>
      </c>
      <c r="AM1075" s="1">
        <v>1</v>
      </c>
      <c r="AN1075" s="1">
        <v>0</v>
      </c>
      <c r="AO1075" s="1">
        <f t="shared" si="96"/>
        <v>1</v>
      </c>
    </row>
    <row r="1076" spans="1:41" x14ac:dyDescent="0.4">
      <c r="A1076" s="1">
        <v>1</v>
      </c>
      <c r="B1076" s="1" t="s">
        <v>1033</v>
      </c>
      <c r="C1076" s="1" t="s">
        <v>41</v>
      </c>
      <c r="D1076" s="2">
        <v>38842</v>
      </c>
      <c r="E1076" s="1">
        <v>125</v>
      </c>
      <c r="F1076" s="1">
        <v>6</v>
      </c>
      <c r="G1076" s="3">
        <v>0.47282407407407406</v>
      </c>
      <c r="H1076" s="3">
        <v>0.47321759259259261</v>
      </c>
      <c r="I1076" s="3">
        <v>3.9351851851854303E-4</v>
      </c>
      <c r="J1076" s="3">
        <v>3.9351851851854303E-4</v>
      </c>
      <c r="K1076" s="5">
        <f t="shared" si="95"/>
        <v>34</v>
      </c>
      <c r="L1076" s="3">
        <v>1.5081018518518507E-2</v>
      </c>
      <c r="N1076" s="1" t="s">
        <v>251</v>
      </c>
      <c r="O1076" s="1" t="s">
        <v>286</v>
      </c>
      <c r="P1076" s="1" t="s">
        <v>227</v>
      </c>
      <c r="Q1076" s="1" t="s">
        <v>45</v>
      </c>
      <c r="S1076" s="1" t="s">
        <v>46</v>
      </c>
      <c r="T1076" s="1" t="s">
        <v>76</v>
      </c>
      <c r="U1076" s="1" t="s">
        <v>156</v>
      </c>
      <c r="V1076" s="1" t="s">
        <v>102</v>
      </c>
      <c r="W1076" s="1" t="s">
        <v>433</v>
      </c>
      <c r="X1076" s="1" t="s">
        <v>96</v>
      </c>
      <c r="Y1076" s="1" t="s">
        <v>1095</v>
      </c>
      <c r="Z1076" s="1" t="s">
        <v>1096</v>
      </c>
      <c r="AA1076" s="1" t="s">
        <v>1097</v>
      </c>
      <c r="AB1076" s="1" t="s">
        <v>1098</v>
      </c>
      <c r="AC1076" s="1">
        <v>0</v>
      </c>
      <c r="AD1076" s="1" t="s">
        <v>1099</v>
      </c>
      <c r="AE1076" s="1" t="s">
        <v>70</v>
      </c>
      <c r="AG1076" s="1" t="s">
        <v>1120</v>
      </c>
      <c r="AI1076" s="1" t="s">
        <v>255</v>
      </c>
      <c r="AK1076" s="1" t="s">
        <v>86</v>
      </c>
      <c r="AL1076" s="1" t="s">
        <v>87</v>
      </c>
      <c r="AM1076" s="1">
        <v>1</v>
      </c>
      <c r="AN1076" s="1">
        <v>0</v>
      </c>
      <c r="AO1076" s="1">
        <f t="shared" si="96"/>
        <v>1</v>
      </c>
    </row>
    <row r="1077" spans="1:41" x14ac:dyDescent="0.4">
      <c r="A1077" s="1">
        <v>1</v>
      </c>
      <c r="B1077" s="1" t="s">
        <v>1033</v>
      </c>
      <c r="C1077" s="1" t="s">
        <v>41</v>
      </c>
      <c r="D1077" s="2">
        <v>38842</v>
      </c>
      <c r="E1077" s="1">
        <v>125</v>
      </c>
      <c r="F1077" s="1">
        <v>6.5</v>
      </c>
      <c r="G1077" s="3">
        <v>0.48829861111111111</v>
      </c>
      <c r="H1077" s="3">
        <v>0.48834490740740738</v>
      </c>
      <c r="I1077" s="3">
        <v>4.6296296296266526E-5</v>
      </c>
      <c r="J1077" s="3">
        <v>4.6296296296266526E-5</v>
      </c>
      <c r="K1077" s="5">
        <f t="shared" si="95"/>
        <v>4</v>
      </c>
      <c r="L1077" s="3">
        <v>2.1365740740740768E-2</v>
      </c>
      <c r="N1077" s="1" t="s">
        <v>42</v>
      </c>
      <c r="O1077" s="1" t="s">
        <v>286</v>
      </c>
      <c r="P1077" s="1" t="s">
        <v>227</v>
      </c>
      <c r="Q1077" s="1" t="s">
        <v>76</v>
      </c>
      <c r="S1077" s="1" t="s">
        <v>46</v>
      </c>
      <c r="T1077" s="1" t="s">
        <v>45</v>
      </c>
      <c r="U1077" s="1" t="s">
        <v>66</v>
      </c>
      <c r="AB1077" s="1" t="s">
        <v>93</v>
      </c>
      <c r="AC1077" s="1">
        <v>1</v>
      </c>
      <c r="AG1077" s="1" t="s">
        <v>1121</v>
      </c>
      <c r="AI1077" s="1" t="s">
        <v>71</v>
      </c>
      <c r="AK1077" s="1" t="s">
        <v>86</v>
      </c>
      <c r="AL1077" s="1" t="s">
        <v>87</v>
      </c>
      <c r="AM1077" s="1">
        <v>1</v>
      </c>
      <c r="AN1077" s="1">
        <v>0</v>
      </c>
      <c r="AO1077" s="1">
        <f t="shared" si="96"/>
        <v>1</v>
      </c>
    </row>
    <row r="1078" spans="1:41" x14ac:dyDescent="0.4">
      <c r="A1078" s="1">
        <v>1</v>
      </c>
      <c r="B1078" s="1" t="s">
        <v>1033</v>
      </c>
      <c r="C1078" s="1" t="s">
        <v>41</v>
      </c>
      <c r="D1078" s="2">
        <v>38842</v>
      </c>
      <c r="E1078" s="1">
        <v>125</v>
      </c>
      <c r="F1078" s="1">
        <v>6.6</v>
      </c>
      <c r="G1078" s="3">
        <v>0.50971064814814815</v>
      </c>
      <c r="H1078" s="3">
        <v>0.5097800925925926</v>
      </c>
      <c r="I1078" s="3">
        <v>6.94444444444553E-5</v>
      </c>
      <c r="J1078" s="3">
        <v>6.94444444444553E-5</v>
      </c>
      <c r="K1078" s="5">
        <f t="shared" si="95"/>
        <v>6</v>
      </c>
      <c r="L1078" s="3">
        <v>6.5740740740740655E-3</v>
      </c>
      <c r="N1078" s="1" t="s">
        <v>42</v>
      </c>
      <c r="O1078" s="1" t="s">
        <v>286</v>
      </c>
      <c r="P1078" s="1" t="s">
        <v>227</v>
      </c>
      <c r="Q1078" s="1" t="s">
        <v>76</v>
      </c>
      <c r="S1078" s="1" t="s">
        <v>46</v>
      </c>
      <c r="AB1078" s="1" t="s">
        <v>93</v>
      </c>
      <c r="AC1078" s="1">
        <v>1</v>
      </c>
      <c r="AK1078" s="1" t="s">
        <v>61</v>
      </c>
      <c r="AL1078" s="1" t="s">
        <v>72</v>
      </c>
      <c r="AN1078" s="1">
        <v>1</v>
      </c>
      <c r="AO1078" s="1">
        <f t="shared" si="96"/>
        <v>1</v>
      </c>
    </row>
    <row r="1079" spans="1:41" x14ac:dyDescent="0.4">
      <c r="A1079" s="1">
        <v>1</v>
      </c>
      <c r="B1079" s="1" t="s">
        <v>1033</v>
      </c>
      <c r="C1079" s="1" t="s">
        <v>41</v>
      </c>
      <c r="D1079" s="2">
        <v>38842</v>
      </c>
      <c r="E1079" s="1">
        <v>125</v>
      </c>
      <c r="F1079" s="1">
        <v>6.7</v>
      </c>
      <c r="G1079" s="3">
        <v>0.51635416666666667</v>
      </c>
      <c r="H1079" s="3">
        <v>0.51877314814814812</v>
      </c>
      <c r="I1079" s="3">
        <v>2.4189814814814525E-3</v>
      </c>
      <c r="J1079" s="3">
        <v>1.1111111111111738E-3</v>
      </c>
      <c r="K1079" s="5">
        <f t="shared" si="95"/>
        <v>96</v>
      </c>
      <c r="L1079" s="3">
        <v>2.9143518518518596E-2</v>
      </c>
      <c r="N1079" s="1" t="s">
        <v>42</v>
      </c>
      <c r="O1079" s="1" t="s">
        <v>286</v>
      </c>
      <c r="P1079" s="1" t="s">
        <v>227</v>
      </c>
      <c r="Q1079" s="1" t="s">
        <v>132</v>
      </c>
      <c r="S1079" s="1" t="s">
        <v>46</v>
      </c>
      <c r="T1079" s="1" t="s">
        <v>76</v>
      </c>
      <c r="U1079" s="1" t="s">
        <v>48</v>
      </c>
      <c r="V1079" s="1" t="s">
        <v>102</v>
      </c>
      <c r="W1079" s="1" t="s">
        <v>433</v>
      </c>
      <c r="X1079" s="1" t="s">
        <v>96</v>
      </c>
      <c r="Y1079" s="1" t="s">
        <v>1095</v>
      </c>
      <c r="Z1079" s="1" t="s">
        <v>1096</v>
      </c>
      <c r="AA1079" s="1" t="s">
        <v>1097</v>
      </c>
      <c r="AB1079" s="1" t="s">
        <v>1098</v>
      </c>
      <c r="AC1079" s="1">
        <v>0</v>
      </c>
      <c r="AD1079" s="1" t="s">
        <v>1099</v>
      </c>
      <c r="AE1079" s="1" t="s">
        <v>70</v>
      </c>
      <c r="AI1079" s="1" t="s">
        <v>60</v>
      </c>
      <c r="AK1079" s="1" t="s">
        <v>86</v>
      </c>
      <c r="AL1079" s="1" t="s">
        <v>87</v>
      </c>
      <c r="AN1079" s="1">
        <v>1</v>
      </c>
      <c r="AO1079" s="1">
        <f t="shared" si="96"/>
        <v>1</v>
      </c>
    </row>
    <row r="1080" spans="1:41" x14ac:dyDescent="0.4">
      <c r="A1080" s="1">
        <v>1</v>
      </c>
      <c r="B1080" s="1" t="s">
        <v>1033</v>
      </c>
      <c r="C1080" s="1" t="s">
        <v>41</v>
      </c>
      <c r="D1080" s="2">
        <v>38842</v>
      </c>
      <c r="E1080" s="1">
        <v>125</v>
      </c>
      <c r="F1080" s="1">
        <v>6.8</v>
      </c>
      <c r="G1080" s="3">
        <v>0.54791666666666672</v>
      </c>
      <c r="H1080" s="3">
        <v>0.54810185185185178</v>
      </c>
      <c r="I1080" s="3">
        <v>1.851851851850661E-4</v>
      </c>
      <c r="J1080" s="3">
        <v>1.851851851850661E-4</v>
      </c>
      <c r="K1080" s="5">
        <f t="shared" si="95"/>
        <v>16</v>
      </c>
      <c r="L1080" s="3">
        <v>3.415509259259264E-2</v>
      </c>
      <c r="N1080" s="1" t="s">
        <v>42</v>
      </c>
      <c r="O1080" s="1" t="s">
        <v>286</v>
      </c>
      <c r="P1080" s="1" t="s">
        <v>227</v>
      </c>
      <c r="Q1080" s="1" t="s">
        <v>132</v>
      </c>
      <c r="S1080" s="1" t="s">
        <v>46</v>
      </c>
      <c r="T1080" s="1" t="s">
        <v>76</v>
      </c>
      <c r="U1080" s="1" t="s">
        <v>66</v>
      </c>
      <c r="V1080" s="1" t="s">
        <v>102</v>
      </c>
      <c r="W1080" s="1" t="s">
        <v>433</v>
      </c>
      <c r="X1080" s="1" t="s">
        <v>96</v>
      </c>
      <c r="Y1080" s="1" t="s">
        <v>1095</v>
      </c>
      <c r="Z1080" s="1" t="s">
        <v>1096</v>
      </c>
      <c r="AA1080" s="1" t="s">
        <v>1097</v>
      </c>
      <c r="AB1080" s="1" t="s">
        <v>1098</v>
      </c>
      <c r="AC1080" s="1">
        <v>0</v>
      </c>
      <c r="AD1080" s="1" t="s">
        <v>1099</v>
      </c>
      <c r="AE1080" s="1" t="s">
        <v>70</v>
      </c>
      <c r="AI1080" s="1" t="s">
        <v>71</v>
      </c>
      <c r="AK1080" s="1" t="s">
        <v>86</v>
      </c>
      <c r="AL1080" s="1" t="s">
        <v>87</v>
      </c>
      <c r="AN1080" s="1">
        <v>1</v>
      </c>
      <c r="AO1080" s="1">
        <f t="shared" si="96"/>
        <v>1</v>
      </c>
    </row>
    <row r="1081" spans="1:41" x14ac:dyDescent="0.4">
      <c r="A1081" s="1">
        <v>1</v>
      </c>
      <c r="B1081" s="1" t="s">
        <v>1033</v>
      </c>
      <c r="C1081" s="1" t="s">
        <v>41</v>
      </c>
      <c r="D1081" s="2">
        <v>38842</v>
      </c>
      <c r="E1081" s="1">
        <v>125</v>
      </c>
      <c r="F1081" s="1">
        <v>7</v>
      </c>
      <c r="G1081" s="3">
        <v>0.58225694444444442</v>
      </c>
      <c r="H1081" s="3">
        <v>0.58753472222222225</v>
      </c>
      <c r="I1081" s="3">
        <v>5.2777777777778256E-3</v>
      </c>
      <c r="J1081" s="3">
        <v>5.2777777777778256E-3</v>
      </c>
      <c r="K1081" s="5">
        <f t="shared" si="95"/>
        <v>456</v>
      </c>
      <c r="L1081" s="3">
        <v>2.3495370370370305E-2</v>
      </c>
      <c r="N1081" s="1" t="s">
        <v>42</v>
      </c>
      <c r="O1081" s="1" t="s">
        <v>286</v>
      </c>
      <c r="P1081" s="1" t="s">
        <v>227</v>
      </c>
      <c r="Q1081" s="1" t="s">
        <v>191</v>
      </c>
      <c r="S1081" s="1" t="s">
        <v>46</v>
      </c>
      <c r="T1081" s="1" t="s">
        <v>47</v>
      </c>
      <c r="V1081" s="1" t="s">
        <v>49</v>
      </c>
      <c r="W1081" s="1" t="s">
        <v>140</v>
      </c>
      <c r="X1081" s="1" t="s">
        <v>389</v>
      </c>
      <c r="Y1081" s="1" t="s">
        <v>239</v>
      </c>
      <c r="Z1081" s="1" t="s">
        <v>240</v>
      </c>
      <c r="AA1081" s="1" t="s">
        <v>241</v>
      </c>
      <c r="AB1081" s="1" t="s">
        <v>242</v>
      </c>
      <c r="AC1081" s="1">
        <v>0</v>
      </c>
      <c r="AD1081" s="1" t="s">
        <v>105</v>
      </c>
      <c r="AE1081" s="1" t="s">
        <v>181</v>
      </c>
      <c r="AF1081" s="1" t="s">
        <v>113</v>
      </c>
      <c r="AG1081" s="1" t="s">
        <v>1065</v>
      </c>
      <c r="AH1081" s="1" t="s">
        <v>115</v>
      </c>
      <c r="AK1081" s="1" t="s">
        <v>61</v>
      </c>
      <c r="AL1081" s="1" t="s">
        <v>61</v>
      </c>
      <c r="AM1081" s="1">
        <v>6</v>
      </c>
      <c r="AN1081" s="1">
        <v>0</v>
      </c>
      <c r="AO1081" s="1">
        <f t="shared" si="96"/>
        <v>6</v>
      </c>
    </row>
    <row r="1082" spans="1:41" x14ac:dyDescent="0.4">
      <c r="A1082" s="1">
        <v>1</v>
      </c>
      <c r="B1082" s="1" t="s">
        <v>1033</v>
      </c>
      <c r="C1082" s="1" t="s">
        <v>41</v>
      </c>
      <c r="D1082" s="2">
        <v>38842</v>
      </c>
      <c r="E1082" s="1">
        <v>125</v>
      </c>
      <c r="F1082" s="1">
        <v>8</v>
      </c>
      <c r="G1082" s="3">
        <v>0.61103009259259256</v>
      </c>
      <c r="H1082" s="3">
        <v>0.61106481481481478</v>
      </c>
      <c r="I1082" s="3">
        <v>3.472222222222765E-5</v>
      </c>
      <c r="J1082" s="3">
        <v>3.472222222222765E-5</v>
      </c>
      <c r="K1082" s="5">
        <f t="shared" si="95"/>
        <v>3</v>
      </c>
      <c r="L1082" s="3">
        <v>3.067129629629628E-3</v>
      </c>
      <c r="N1082" s="1" t="s">
        <v>42</v>
      </c>
      <c r="O1082" s="1" t="s">
        <v>286</v>
      </c>
      <c r="P1082" s="1" t="s">
        <v>227</v>
      </c>
      <c r="Q1082" s="1" t="s">
        <v>132</v>
      </c>
      <c r="S1082" s="1" t="s">
        <v>46</v>
      </c>
      <c r="T1082" s="1" t="s">
        <v>45</v>
      </c>
      <c r="U1082" s="1" t="s">
        <v>156</v>
      </c>
      <c r="AB1082" s="1" t="s">
        <v>93</v>
      </c>
      <c r="AC1082" s="1">
        <v>1</v>
      </c>
      <c r="AI1082" s="1" t="s">
        <v>75</v>
      </c>
      <c r="AK1082" s="1" t="s">
        <v>86</v>
      </c>
      <c r="AL1082" s="1" t="s">
        <v>87</v>
      </c>
      <c r="AN1082" s="1">
        <v>1</v>
      </c>
      <c r="AO1082" s="1">
        <f t="shared" si="96"/>
        <v>1</v>
      </c>
    </row>
    <row r="1083" spans="1:41" x14ac:dyDescent="0.4">
      <c r="A1083" s="1">
        <v>1</v>
      </c>
      <c r="B1083" s="1" t="s">
        <v>1033</v>
      </c>
      <c r="C1083" s="1" t="s">
        <v>41</v>
      </c>
      <c r="D1083" s="2">
        <v>38842</v>
      </c>
      <c r="E1083" s="1">
        <v>125</v>
      </c>
      <c r="F1083" s="1">
        <v>8.5</v>
      </c>
      <c r="G1083" s="3">
        <v>0.61413194444444441</v>
      </c>
      <c r="H1083" s="3">
        <v>0.61417245370370366</v>
      </c>
      <c r="I1083" s="3">
        <v>4.0509259259247088E-5</v>
      </c>
      <c r="J1083" s="3">
        <v>4.0509259259247088E-5</v>
      </c>
      <c r="K1083" s="5">
        <f t="shared" si="95"/>
        <v>3</v>
      </c>
      <c r="L1083" s="3">
        <v>1.6718750000000004E-2</v>
      </c>
      <c r="N1083" s="1" t="s">
        <v>42</v>
      </c>
      <c r="O1083" s="1" t="s">
        <v>286</v>
      </c>
      <c r="P1083" s="1" t="s">
        <v>227</v>
      </c>
      <c r="Q1083" s="1" t="s">
        <v>45</v>
      </c>
      <c r="S1083" s="1" t="s">
        <v>46</v>
      </c>
      <c r="AB1083" s="1" t="s">
        <v>93</v>
      </c>
      <c r="AC1083" s="1">
        <v>1</v>
      </c>
      <c r="AK1083" s="1" t="s">
        <v>61</v>
      </c>
      <c r="AL1083" s="1" t="s">
        <v>133</v>
      </c>
      <c r="AN1083" s="1">
        <v>1</v>
      </c>
      <c r="AO1083" s="1">
        <f t="shared" si="96"/>
        <v>1</v>
      </c>
    </row>
    <row r="1084" spans="1:41" x14ac:dyDescent="0.4">
      <c r="A1084" s="1">
        <v>1</v>
      </c>
      <c r="B1084" s="1" t="s">
        <v>1033</v>
      </c>
      <c r="C1084" s="1" t="s">
        <v>41</v>
      </c>
      <c r="D1084" s="2">
        <v>38842</v>
      </c>
      <c r="E1084" s="1">
        <v>125</v>
      </c>
      <c r="F1084" s="1">
        <v>9</v>
      </c>
      <c r="G1084" s="3">
        <v>0.63089120370370366</v>
      </c>
      <c r="H1084" s="3">
        <v>0.63201388888888888</v>
      </c>
      <c r="I1084" s="3">
        <v>1.1226851851852127E-3</v>
      </c>
      <c r="J1084" s="3">
        <v>2.662037037036713E-4</v>
      </c>
      <c r="K1084" s="5">
        <f t="shared" si="95"/>
        <v>23</v>
      </c>
      <c r="L1084" s="3">
        <v>2.4305555555559355E-4</v>
      </c>
      <c r="N1084" s="1" t="s">
        <v>42</v>
      </c>
      <c r="O1084" s="1" t="s">
        <v>286</v>
      </c>
      <c r="P1084" s="1" t="s">
        <v>227</v>
      </c>
      <c r="Q1084" s="1" t="s">
        <v>76</v>
      </c>
      <c r="S1084" s="1" t="s">
        <v>46</v>
      </c>
      <c r="T1084" s="1" t="s">
        <v>76</v>
      </c>
      <c r="U1084" s="1" t="s">
        <v>156</v>
      </c>
      <c r="V1084" s="1" t="s">
        <v>102</v>
      </c>
      <c r="W1084" s="1" t="s">
        <v>433</v>
      </c>
      <c r="X1084" s="1" t="s">
        <v>651</v>
      </c>
      <c r="AB1084" s="1" t="s">
        <v>104</v>
      </c>
      <c r="AC1084" s="1">
        <v>0</v>
      </c>
      <c r="AD1084" s="1" t="s">
        <v>105</v>
      </c>
      <c r="AE1084" s="1" t="s">
        <v>181</v>
      </c>
      <c r="AH1084" s="1" t="s">
        <v>157</v>
      </c>
      <c r="AI1084" s="1" t="s">
        <v>75</v>
      </c>
      <c r="AK1084" s="1" t="s">
        <v>86</v>
      </c>
      <c r="AL1084" s="1" t="s">
        <v>87</v>
      </c>
      <c r="AN1084" s="1">
        <v>1</v>
      </c>
      <c r="AO1084" s="1">
        <f t="shared" si="96"/>
        <v>1</v>
      </c>
    </row>
    <row r="1085" spans="1:41" x14ac:dyDescent="0.4">
      <c r="A1085" s="1">
        <v>1</v>
      </c>
      <c r="B1085" s="1" t="s">
        <v>1033</v>
      </c>
      <c r="C1085" s="1" t="s">
        <v>41</v>
      </c>
      <c r="D1085" s="2">
        <v>38842</v>
      </c>
      <c r="E1085" s="1">
        <v>125</v>
      </c>
      <c r="F1085" s="1">
        <v>10</v>
      </c>
      <c r="G1085" s="3">
        <v>0.63225694444444447</v>
      </c>
      <c r="H1085" s="3">
        <v>0.63440972222222225</v>
      </c>
      <c r="I1085" s="3">
        <v>2.1527777777777812E-3</v>
      </c>
      <c r="J1085" s="3">
        <v>1.8750000000000711E-3</v>
      </c>
      <c r="K1085" s="5">
        <f t="shared" si="95"/>
        <v>162</v>
      </c>
      <c r="L1085" s="3">
        <v>1.6666666666665941E-3</v>
      </c>
      <c r="N1085" s="1" t="s">
        <v>42</v>
      </c>
      <c r="O1085" s="1" t="s">
        <v>286</v>
      </c>
      <c r="P1085" s="1" t="s">
        <v>227</v>
      </c>
      <c r="Q1085" s="1" t="s">
        <v>45</v>
      </c>
      <c r="S1085" s="1" t="s">
        <v>46</v>
      </c>
      <c r="T1085" s="1" t="s">
        <v>76</v>
      </c>
      <c r="U1085" s="1" t="s">
        <v>66</v>
      </c>
      <c r="V1085" s="1" t="s">
        <v>102</v>
      </c>
      <c r="W1085" s="1" t="s">
        <v>103</v>
      </c>
      <c r="X1085" s="1" t="s">
        <v>96</v>
      </c>
      <c r="AB1085" s="1" t="s">
        <v>104</v>
      </c>
      <c r="AC1085" s="1">
        <v>0</v>
      </c>
      <c r="AD1085" s="1" t="s">
        <v>105</v>
      </c>
      <c r="AE1085" s="1" t="s">
        <v>70</v>
      </c>
      <c r="AH1085" s="1" t="s">
        <v>157</v>
      </c>
      <c r="AI1085" s="1" t="s">
        <v>71</v>
      </c>
      <c r="AK1085" s="1" t="s">
        <v>61</v>
      </c>
      <c r="AL1085" s="1" t="s">
        <v>61</v>
      </c>
      <c r="AN1085" s="1">
        <v>1</v>
      </c>
      <c r="AO1085" s="1">
        <f t="shared" si="96"/>
        <v>1</v>
      </c>
    </row>
    <row r="1086" spans="1:41" x14ac:dyDescent="0.4">
      <c r="A1086" s="1">
        <v>1</v>
      </c>
      <c r="B1086" s="1" t="s">
        <v>1033</v>
      </c>
      <c r="C1086" s="1" t="s">
        <v>41</v>
      </c>
      <c r="D1086" s="2">
        <v>38842</v>
      </c>
      <c r="E1086" s="1">
        <v>125</v>
      </c>
      <c r="F1086" s="1">
        <v>11</v>
      </c>
      <c r="G1086" s="3">
        <v>0.63607638888888884</v>
      </c>
      <c r="H1086" s="3">
        <v>0.63664351851851853</v>
      </c>
      <c r="I1086" s="3">
        <v>5.6712962962968128E-4</v>
      </c>
      <c r="J1086" s="3">
        <v>5.6712962962968128E-4</v>
      </c>
      <c r="K1086" s="5">
        <f t="shared" si="95"/>
        <v>49</v>
      </c>
      <c r="L1086" s="3">
        <v>1.087962962962985E-3</v>
      </c>
      <c r="N1086" s="1" t="s">
        <v>42</v>
      </c>
      <c r="O1086" s="1" t="s">
        <v>286</v>
      </c>
      <c r="P1086" s="1" t="s">
        <v>227</v>
      </c>
      <c r="Q1086" s="1" t="s">
        <v>132</v>
      </c>
      <c r="S1086" s="1" t="s">
        <v>46</v>
      </c>
      <c r="T1086" s="1" t="s">
        <v>76</v>
      </c>
      <c r="U1086" s="1" t="s">
        <v>66</v>
      </c>
      <c r="V1086" s="1" t="s">
        <v>102</v>
      </c>
      <c r="W1086" s="1" t="s">
        <v>103</v>
      </c>
      <c r="X1086" s="1" t="s">
        <v>96</v>
      </c>
      <c r="AB1086" s="1" t="s">
        <v>104</v>
      </c>
      <c r="AC1086" s="1">
        <v>0</v>
      </c>
      <c r="AD1086" s="1" t="s">
        <v>105</v>
      </c>
      <c r="AE1086" s="1" t="s">
        <v>70</v>
      </c>
      <c r="AH1086" s="1" t="s">
        <v>157</v>
      </c>
      <c r="AI1086" s="1" t="s">
        <v>71</v>
      </c>
      <c r="AK1086" s="1" t="s">
        <v>86</v>
      </c>
      <c r="AL1086" s="1" t="s">
        <v>87</v>
      </c>
      <c r="AN1086" s="1">
        <v>1</v>
      </c>
      <c r="AO1086" s="1">
        <f t="shared" si="96"/>
        <v>1</v>
      </c>
    </row>
    <row r="1087" spans="1:41" x14ac:dyDescent="0.4">
      <c r="A1087" s="1">
        <v>1</v>
      </c>
      <c r="B1087" s="1" t="s">
        <v>1033</v>
      </c>
      <c r="C1087" s="1" t="s">
        <v>41</v>
      </c>
      <c r="D1087" s="2">
        <v>38842</v>
      </c>
      <c r="E1087" s="1">
        <v>125</v>
      </c>
      <c r="F1087" s="1">
        <v>12</v>
      </c>
      <c r="G1087" s="3">
        <v>0.63773148148148151</v>
      </c>
      <c r="H1087" s="3">
        <v>0.64456018518518521</v>
      </c>
      <c r="I1087" s="3">
        <v>6.8287037037036979E-3</v>
      </c>
      <c r="J1087" s="3">
        <v>4.1898148148149517E-3</v>
      </c>
      <c r="K1087" s="5">
        <f t="shared" si="95"/>
        <v>362</v>
      </c>
      <c r="L1087" s="3">
        <v>1.5856481481481E-3</v>
      </c>
      <c r="N1087" s="1" t="s">
        <v>42</v>
      </c>
      <c r="O1087" s="1" t="s">
        <v>286</v>
      </c>
      <c r="P1087" s="1" t="s">
        <v>227</v>
      </c>
      <c r="Q1087" s="1" t="s">
        <v>132</v>
      </c>
      <c r="S1087" s="1" t="s">
        <v>46</v>
      </c>
      <c r="T1087" s="1" t="s">
        <v>191</v>
      </c>
      <c r="U1087" s="1" t="s">
        <v>66</v>
      </c>
      <c r="V1087" s="1" t="s">
        <v>102</v>
      </c>
      <c r="W1087" s="1" t="s">
        <v>433</v>
      </c>
      <c r="X1087" s="1" t="s">
        <v>96</v>
      </c>
      <c r="Y1087" s="1" t="s">
        <v>1095</v>
      </c>
      <c r="Z1087" s="1" t="s">
        <v>1096</v>
      </c>
      <c r="AA1087" s="1" t="s">
        <v>1097</v>
      </c>
      <c r="AB1087" s="1" t="s">
        <v>1098</v>
      </c>
      <c r="AC1087" s="1">
        <v>0</v>
      </c>
      <c r="AD1087" s="1" t="s">
        <v>1099</v>
      </c>
      <c r="AE1087" s="1" t="s">
        <v>70</v>
      </c>
      <c r="AI1087" s="1" t="s">
        <v>71</v>
      </c>
      <c r="AK1087" s="1" t="s">
        <v>86</v>
      </c>
      <c r="AL1087" s="1" t="s">
        <v>87</v>
      </c>
      <c r="AN1087" s="1">
        <v>1</v>
      </c>
      <c r="AO1087" s="1">
        <f t="shared" si="96"/>
        <v>1</v>
      </c>
    </row>
    <row r="1088" spans="1:41" x14ac:dyDescent="0.4">
      <c r="A1088" s="1">
        <v>1</v>
      </c>
      <c r="B1088" s="1" t="s">
        <v>1033</v>
      </c>
      <c r="C1088" s="1" t="s">
        <v>41</v>
      </c>
      <c r="D1088" s="2">
        <v>38842</v>
      </c>
      <c r="E1088" s="1">
        <v>125</v>
      </c>
      <c r="F1088" s="1">
        <v>13</v>
      </c>
      <c r="G1088" s="3">
        <v>0.64614583333333331</v>
      </c>
      <c r="H1088" s="3">
        <v>0.64728009259259256</v>
      </c>
      <c r="I1088" s="3">
        <v>1.1342592592592515E-3</v>
      </c>
      <c r="J1088" s="3">
        <v>1.1342592592592515E-3</v>
      </c>
      <c r="K1088" s="5">
        <f t="shared" si="95"/>
        <v>98</v>
      </c>
      <c r="L1088" s="3">
        <v>1.8518518518517713E-4</v>
      </c>
      <c r="N1088" s="1" t="s">
        <v>42</v>
      </c>
      <c r="O1088" s="1" t="s">
        <v>286</v>
      </c>
      <c r="P1088" s="1" t="s">
        <v>227</v>
      </c>
      <c r="Q1088" s="1" t="s">
        <v>132</v>
      </c>
      <c r="S1088" s="1" t="s">
        <v>46</v>
      </c>
      <c r="T1088" s="1" t="s">
        <v>76</v>
      </c>
      <c r="U1088" s="1" t="s">
        <v>92</v>
      </c>
      <c r="V1088" s="1" t="s">
        <v>49</v>
      </c>
      <c r="W1088" s="1" t="s">
        <v>233</v>
      </c>
      <c r="X1088" s="1" t="s">
        <v>1122</v>
      </c>
      <c r="Y1088" s="1" t="s">
        <v>1123</v>
      </c>
      <c r="Z1088" s="1" t="s">
        <v>1124</v>
      </c>
      <c r="AA1088" s="1" t="s">
        <v>1125</v>
      </c>
      <c r="AB1088" s="1" t="s">
        <v>1126</v>
      </c>
      <c r="AC1088" s="1">
        <v>0</v>
      </c>
      <c r="AD1088" s="1" t="s">
        <v>1127</v>
      </c>
      <c r="AE1088" s="1" t="s">
        <v>83</v>
      </c>
      <c r="AH1088" s="1" t="s">
        <v>59</v>
      </c>
      <c r="AI1088" s="1" t="s">
        <v>75</v>
      </c>
      <c r="AK1088" s="1" t="s">
        <v>61</v>
      </c>
      <c r="AL1088" s="1" t="s">
        <v>61</v>
      </c>
      <c r="AN1088" s="1">
        <v>1</v>
      </c>
      <c r="AO1088" s="1">
        <f t="shared" si="96"/>
        <v>1</v>
      </c>
    </row>
    <row r="1089" spans="1:41" x14ac:dyDescent="0.4">
      <c r="A1089" s="1">
        <v>1</v>
      </c>
      <c r="B1089" s="1" t="s">
        <v>1033</v>
      </c>
      <c r="C1089" s="1" t="s">
        <v>41</v>
      </c>
      <c r="D1089" s="2">
        <v>38842</v>
      </c>
      <c r="E1089" s="1">
        <v>125</v>
      </c>
      <c r="F1089" s="1">
        <v>14</v>
      </c>
      <c r="G1089" s="3">
        <v>0.64746527777777774</v>
      </c>
      <c r="H1089" s="3">
        <v>0.66435185185185186</v>
      </c>
      <c r="I1089" s="3">
        <v>1.6886574074074123E-2</v>
      </c>
      <c r="J1089" s="3">
        <v>5.3009259259259034E-3</v>
      </c>
      <c r="K1089" s="5">
        <f t="shared" si="95"/>
        <v>458</v>
      </c>
      <c r="L1089" s="3" t="s">
        <v>120</v>
      </c>
      <c r="N1089" s="1" t="s">
        <v>42</v>
      </c>
      <c r="O1089" s="1" t="s">
        <v>286</v>
      </c>
      <c r="P1089" s="1" t="s">
        <v>227</v>
      </c>
      <c r="Q1089" s="1" t="s">
        <v>132</v>
      </c>
      <c r="S1089" s="1" t="s">
        <v>46</v>
      </c>
      <c r="T1089" s="1" t="s">
        <v>76</v>
      </c>
      <c r="U1089" s="1" t="s">
        <v>92</v>
      </c>
      <c r="V1089" s="1" t="s">
        <v>102</v>
      </c>
      <c r="W1089" s="1" t="s">
        <v>433</v>
      </c>
      <c r="X1089" s="1" t="s">
        <v>96</v>
      </c>
      <c r="Y1089" s="1" t="s">
        <v>1095</v>
      </c>
      <c r="Z1089" s="1" t="s">
        <v>1096</v>
      </c>
      <c r="AA1089" s="1" t="s">
        <v>1097</v>
      </c>
      <c r="AB1089" s="1" t="s">
        <v>1098</v>
      </c>
      <c r="AC1089" s="1">
        <v>0</v>
      </c>
      <c r="AD1089" s="1" t="s">
        <v>1099</v>
      </c>
      <c r="AE1089" s="1" t="s">
        <v>70</v>
      </c>
      <c r="AI1089" s="1" t="s">
        <v>75</v>
      </c>
      <c r="AK1089" s="1" t="s">
        <v>116</v>
      </c>
      <c r="AL1089" s="1" t="s">
        <v>116</v>
      </c>
      <c r="AN1089" s="1">
        <v>1</v>
      </c>
      <c r="AO1089" s="1">
        <f t="shared" si="96"/>
        <v>1</v>
      </c>
    </row>
    <row r="1090" spans="1:41" x14ac:dyDescent="0.4">
      <c r="A1090" s="1">
        <v>1</v>
      </c>
      <c r="B1090" s="1" t="s">
        <v>1033</v>
      </c>
      <c r="C1090" s="1" t="s">
        <v>41</v>
      </c>
      <c r="D1090" s="2">
        <v>38846</v>
      </c>
      <c r="E1090" s="1">
        <v>129</v>
      </c>
      <c r="F1090" s="1">
        <v>1</v>
      </c>
      <c r="G1090" s="3">
        <v>0.29653935185185182</v>
      </c>
      <c r="H1090" s="3">
        <v>0.31766203703703705</v>
      </c>
      <c r="I1090" s="3">
        <v>2.112268518518523E-2</v>
      </c>
      <c r="J1090" s="3">
        <v>1.7210648148148155E-2</v>
      </c>
      <c r="K1090" s="5">
        <f t="shared" ref="K1090:K1153" si="97">HOUR(J1090)*60*60+MINUTE(J1090)*60+SECOND(J1090)</f>
        <v>1487</v>
      </c>
      <c r="L1090" s="3">
        <v>1.5439814814814823E-2</v>
      </c>
      <c r="N1090" s="1" t="s">
        <v>75</v>
      </c>
      <c r="O1090" s="1" t="s">
        <v>286</v>
      </c>
      <c r="P1090" s="1" t="s">
        <v>227</v>
      </c>
      <c r="Q1090" s="1" t="s">
        <v>45</v>
      </c>
      <c r="S1090" s="1" t="s">
        <v>46</v>
      </c>
      <c r="T1090" s="1" t="s">
        <v>124</v>
      </c>
      <c r="U1090" s="1" t="s">
        <v>66</v>
      </c>
      <c r="V1090" s="1" t="s">
        <v>49</v>
      </c>
      <c r="W1090" s="1" t="s">
        <v>200</v>
      </c>
      <c r="X1090" s="1" t="s">
        <v>1128</v>
      </c>
      <c r="Y1090" s="1" t="s">
        <v>126</v>
      </c>
      <c r="Z1090" s="1" t="s">
        <v>202</v>
      </c>
      <c r="AA1090" s="1" t="s">
        <v>757</v>
      </c>
      <c r="AB1090" s="1" t="s">
        <v>758</v>
      </c>
      <c r="AC1090" s="1">
        <v>0</v>
      </c>
      <c r="AD1090" s="1" t="s">
        <v>56</v>
      </c>
      <c r="AE1090" s="1" t="s">
        <v>83</v>
      </c>
      <c r="AF1090" s="1" t="s">
        <v>113</v>
      </c>
      <c r="AG1090" s="1" t="s">
        <v>1129</v>
      </c>
      <c r="AH1090" s="1" t="s">
        <v>206</v>
      </c>
      <c r="AI1090" s="1" t="s">
        <v>75</v>
      </c>
      <c r="AK1090" s="1" t="s">
        <v>86</v>
      </c>
      <c r="AL1090" s="1" t="s">
        <v>87</v>
      </c>
      <c r="AM1090" s="1">
        <v>1</v>
      </c>
      <c r="AN1090" s="1">
        <v>0</v>
      </c>
      <c r="AO1090" s="1">
        <f t="shared" si="96"/>
        <v>1</v>
      </c>
    </row>
    <row r="1091" spans="1:41" x14ac:dyDescent="0.4">
      <c r="A1091" s="1">
        <v>1</v>
      </c>
      <c r="B1091" s="1" t="s">
        <v>1033</v>
      </c>
      <c r="C1091" s="1" t="s">
        <v>41</v>
      </c>
      <c r="D1091" s="2">
        <v>38846</v>
      </c>
      <c r="E1091" s="1">
        <v>129</v>
      </c>
      <c r="F1091" s="1">
        <v>2</v>
      </c>
      <c r="G1091" s="3">
        <v>0.33310185185185187</v>
      </c>
      <c r="H1091" s="3">
        <v>0.3395023148148148</v>
      </c>
      <c r="I1091" s="3">
        <v>6.4004629629629273E-3</v>
      </c>
      <c r="J1091" s="3">
        <v>4.4097222222221899E-3</v>
      </c>
      <c r="K1091" s="5">
        <f t="shared" si="97"/>
        <v>381</v>
      </c>
      <c r="L1091" s="3">
        <v>3.5115740740740753E-2</v>
      </c>
      <c r="N1091" s="1" t="s">
        <v>75</v>
      </c>
      <c r="O1091" s="1" t="s">
        <v>286</v>
      </c>
      <c r="P1091" s="1" t="s">
        <v>227</v>
      </c>
      <c r="Q1091" s="1" t="s">
        <v>45</v>
      </c>
      <c r="S1091" s="1" t="s">
        <v>46</v>
      </c>
      <c r="T1091" s="1" t="s">
        <v>45</v>
      </c>
      <c r="U1091" s="1" t="s">
        <v>92</v>
      </c>
      <c r="V1091" s="1" t="s">
        <v>49</v>
      </c>
      <c r="W1091" s="1" t="s">
        <v>77</v>
      </c>
      <c r="X1091" s="1" t="s">
        <v>522</v>
      </c>
      <c r="Y1091" s="1" t="s">
        <v>79</v>
      </c>
      <c r="Z1091" s="1" t="s">
        <v>523</v>
      </c>
      <c r="AA1091" s="1" t="s">
        <v>524</v>
      </c>
      <c r="AB1091" s="1" t="s">
        <v>525</v>
      </c>
      <c r="AC1091" s="1">
        <v>0</v>
      </c>
      <c r="AD1091" s="1" t="s">
        <v>56</v>
      </c>
      <c r="AE1091" s="1" t="s">
        <v>57</v>
      </c>
      <c r="AF1091" s="1" t="s">
        <v>113</v>
      </c>
      <c r="AG1091" s="1" t="s">
        <v>1130</v>
      </c>
      <c r="AH1091" s="1" t="s">
        <v>115</v>
      </c>
      <c r="AI1091" s="1" t="s">
        <v>75</v>
      </c>
      <c r="AK1091" s="1" t="s">
        <v>116</v>
      </c>
      <c r="AL1091" s="1" t="s">
        <v>174</v>
      </c>
      <c r="AM1091" s="1">
        <v>3</v>
      </c>
      <c r="AN1091" s="1">
        <v>0</v>
      </c>
      <c r="AO1091" s="1">
        <f t="shared" ref="AO1091:AO1154" si="98">SUM(AM1091:AN1091)</f>
        <v>3</v>
      </c>
    </row>
    <row r="1092" spans="1:41" x14ac:dyDescent="0.4">
      <c r="A1092" s="1">
        <v>1</v>
      </c>
      <c r="B1092" s="1" t="s">
        <v>1033</v>
      </c>
      <c r="C1092" s="1" t="s">
        <v>41</v>
      </c>
      <c r="D1092" s="2">
        <v>38846</v>
      </c>
      <c r="E1092" s="1">
        <v>129</v>
      </c>
      <c r="F1092" s="1">
        <v>2.2000000000000002</v>
      </c>
      <c r="G1092" s="3">
        <v>0.37461805555555555</v>
      </c>
      <c r="H1092" s="3">
        <v>0.37466435185185182</v>
      </c>
      <c r="I1092" s="3">
        <v>4.6296296296266526E-5</v>
      </c>
      <c r="J1092" s="3">
        <v>4.6296296296266526E-5</v>
      </c>
      <c r="K1092" s="5">
        <f t="shared" si="97"/>
        <v>4</v>
      </c>
      <c r="L1092" s="3">
        <v>2.0833333333333814E-3</v>
      </c>
      <c r="N1092" s="1" t="s">
        <v>75</v>
      </c>
      <c r="O1092" s="1" t="s">
        <v>286</v>
      </c>
      <c r="P1092" s="1" t="s">
        <v>227</v>
      </c>
      <c r="Q1092" s="1" t="s">
        <v>76</v>
      </c>
      <c r="S1092" s="1" t="s">
        <v>46</v>
      </c>
      <c r="T1092" s="1" t="s">
        <v>45</v>
      </c>
      <c r="U1092" s="1" t="s">
        <v>92</v>
      </c>
      <c r="AB1092" s="1" t="s">
        <v>93</v>
      </c>
      <c r="AC1092" s="1">
        <v>1</v>
      </c>
      <c r="AI1092" s="1" t="s">
        <v>75</v>
      </c>
      <c r="AK1092" s="1" t="s">
        <v>86</v>
      </c>
      <c r="AL1092" s="1" t="s">
        <v>87</v>
      </c>
      <c r="AN1092" s="1">
        <v>1</v>
      </c>
      <c r="AO1092" s="1">
        <f t="shared" si="98"/>
        <v>1</v>
      </c>
    </row>
    <row r="1093" spans="1:41" x14ac:dyDescent="0.4">
      <c r="A1093" s="1">
        <v>1</v>
      </c>
      <c r="B1093" s="1" t="s">
        <v>1033</v>
      </c>
      <c r="C1093" s="1" t="s">
        <v>41</v>
      </c>
      <c r="D1093" s="2">
        <v>38846</v>
      </c>
      <c r="E1093" s="1">
        <v>129</v>
      </c>
      <c r="F1093" s="1">
        <v>2.2999999999999998</v>
      </c>
      <c r="G1093" s="3">
        <v>0.3767476851851852</v>
      </c>
      <c r="H1093" s="3">
        <v>0.37675925925925924</v>
      </c>
      <c r="I1093" s="3">
        <v>1.1574074074038876E-5</v>
      </c>
      <c r="J1093" s="3">
        <v>1.1574074074038876E-5</v>
      </c>
      <c r="K1093" s="5">
        <f t="shared" si="97"/>
        <v>1</v>
      </c>
      <c r="L1093" s="3">
        <v>1.6550925925926108E-3</v>
      </c>
      <c r="N1093" s="1" t="s">
        <v>75</v>
      </c>
      <c r="O1093" s="1" t="s">
        <v>286</v>
      </c>
      <c r="P1093" s="1" t="s">
        <v>227</v>
      </c>
      <c r="Q1093" s="1" t="s">
        <v>45</v>
      </c>
      <c r="S1093" s="1" t="s">
        <v>46</v>
      </c>
      <c r="T1093" s="1" t="s">
        <v>45</v>
      </c>
      <c r="U1093" s="1" t="s">
        <v>66</v>
      </c>
      <c r="AB1093" s="1" t="s">
        <v>93</v>
      </c>
      <c r="AC1093" s="1">
        <v>1</v>
      </c>
      <c r="AI1093" s="1" t="s">
        <v>75</v>
      </c>
      <c r="AK1093" s="1" t="s">
        <v>86</v>
      </c>
      <c r="AL1093" s="1" t="s">
        <v>87</v>
      </c>
      <c r="AN1093" s="1">
        <v>1</v>
      </c>
      <c r="AO1093" s="1">
        <f t="shared" si="98"/>
        <v>1</v>
      </c>
    </row>
    <row r="1094" spans="1:41" x14ac:dyDescent="0.4">
      <c r="A1094" s="1">
        <v>1</v>
      </c>
      <c r="B1094" s="1" t="s">
        <v>1033</v>
      </c>
      <c r="C1094" s="1" t="s">
        <v>41</v>
      </c>
      <c r="D1094" s="2">
        <v>38846</v>
      </c>
      <c r="E1094" s="1">
        <v>129</v>
      </c>
      <c r="F1094" s="1">
        <v>2.5</v>
      </c>
      <c r="G1094" s="3">
        <v>0.37841435185185185</v>
      </c>
      <c r="H1094" s="3">
        <v>0.37843749999999998</v>
      </c>
      <c r="I1094" s="3">
        <v>2.3148148148133263E-5</v>
      </c>
      <c r="J1094" s="3">
        <v>2.3148148148133263E-5</v>
      </c>
      <c r="K1094" s="5">
        <f t="shared" si="97"/>
        <v>2</v>
      </c>
      <c r="L1094" s="3">
        <v>1.2094907407407429E-2</v>
      </c>
      <c r="N1094" s="1" t="s">
        <v>75</v>
      </c>
      <c r="O1094" s="1" t="s">
        <v>286</v>
      </c>
      <c r="P1094" s="1" t="s">
        <v>227</v>
      </c>
      <c r="Q1094" s="1" t="s">
        <v>45</v>
      </c>
      <c r="S1094" s="1" t="s">
        <v>46</v>
      </c>
      <c r="AB1094" s="1" t="s">
        <v>93</v>
      </c>
      <c r="AC1094" s="1">
        <v>1</v>
      </c>
      <c r="AK1094" s="1" t="s">
        <v>61</v>
      </c>
      <c r="AL1094" s="1" t="s">
        <v>133</v>
      </c>
      <c r="AN1094" s="1">
        <v>1</v>
      </c>
      <c r="AO1094" s="1">
        <f t="shared" si="98"/>
        <v>1</v>
      </c>
    </row>
    <row r="1095" spans="1:41" x14ac:dyDescent="0.4">
      <c r="A1095" s="1">
        <v>1</v>
      </c>
      <c r="B1095" s="1" t="s">
        <v>1033</v>
      </c>
      <c r="C1095" s="1" t="s">
        <v>41</v>
      </c>
      <c r="D1095" s="2">
        <v>38846</v>
      </c>
      <c r="E1095" s="1">
        <v>129</v>
      </c>
      <c r="F1095" s="1">
        <v>2.7</v>
      </c>
      <c r="G1095" s="3">
        <v>0.39053240740740741</v>
      </c>
      <c r="H1095" s="3">
        <v>0.39072916666666663</v>
      </c>
      <c r="I1095" s="3">
        <v>1.96759259259216E-4</v>
      </c>
      <c r="J1095" s="3">
        <v>1.96759259259216E-4</v>
      </c>
      <c r="K1095" s="5">
        <f t="shared" si="97"/>
        <v>17</v>
      </c>
      <c r="L1095" s="3">
        <v>2.0254629629630205E-3</v>
      </c>
      <c r="N1095" s="1" t="s">
        <v>75</v>
      </c>
      <c r="O1095" s="1" t="s">
        <v>286</v>
      </c>
      <c r="P1095" s="1" t="s">
        <v>227</v>
      </c>
      <c r="Q1095" s="1" t="s">
        <v>76</v>
      </c>
      <c r="S1095" s="1" t="s">
        <v>46</v>
      </c>
      <c r="T1095" s="1" t="s">
        <v>45</v>
      </c>
      <c r="U1095" s="1" t="s">
        <v>92</v>
      </c>
      <c r="AB1095" s="1" t="s">
        <v>93</v>
      </c>
      <c r="AC1095" s="1">
        <v>1</v>
      </c>
      <c r="AG1095" s="1" t="s">
        <v>1131</v>
      </c>
      <c r="AI1095" s="1" t="s">
        <v>75</v>
      </c>
      <c r="AK1095" s="1" t="s">
        <v>86</v>
      </c>
      <c r="AL1095" s="1" t="s">
        <v>87</v>
      </c>
      <c r="AM1095" s="1">
        <v>6</v>
      </c>
      <c r="AN1095" s="1">
        <v>0</v>
      </c>
      <c r="AO1095" s="1">
        <f t="shared" si="98"/>
        <v>6</v>
      </c>
    </row>
    <row r="1096" spans="1:41" x14ac:dyDescent="0.4">
      <c r="A1096" s="1">
        <v>1</v>
      </c>
      <c r="B1096" s="1" t="s">
        <v>1033</v>
      </c>
      <c r="C1096" s="1" t="s">
        <v>41</v>
      </c>
      <c r="D1096" s="2">
        <v>38846</v>
      </c>
      <c r="E1096" s="1">
        <v>129</v>
      </c>
      <c r="F1096" s="1">
        <v>3</v>
      </c>
      <c r="G1096" s="3">
        <v>0.39275462962962965</v>
      </c>
      <c r="H1096" s="3">
        <v>0.40621527777777783</v>
      </c>
      <c r="I1096" s="3">
        <v>1.346064814814818E-2</v>
      </c>
      <c r="J1096" s="3">
        <v>3.3796296296296768E-3</v>
      </c>
      <c r="K1096" s="5">
        <f t="shared" si="97"/>
        <v>292</v>
      </c>
      <c r="L1096" s="3">
        <v>1.2893518518518443E-2</v>
      </c>
      <c r="N1096" s="1" t="s">
        <v>75</v>
      </c>
      <c r="O1096" s="1" t="s">
        <v>286</v>
      </c>
      <c r="P1096" s="1" t="s">
        <v>227</v>
      </c>
      <c r="Q1096" s="1" t="s">
        <v>76</v>
      </c>
      <c r="S1096" s="1" t="s">
        <v>46</v>
      </c>
      <c r="T1096" s="1" t="s">
        <v>45</v>
      </c>
      <c r="U1096" s="1" t="s">
        <v>92</v>
      </c>
      <c r="V1096" s="1" t="s">
        <v>102</v>
      </c>
      <c r="W1096" s="1" t="s">
        <v>433</v>
      </c>
      <c r="X1096" s="1" t="s">
        <v>96</v>
      </c>
      <c r="Y1096" s="1" t="s">
        <v>1095</v>
      </c>
      <c r="Z1096" s="1" t="s">
        <v>1096</v>
      </c>
      <c r="AA1096" s="1" t="s">
        <v>1097</v>
      </c>
      <c r="AB1096" s="1" t="s">
        <v>1098</v>
      </c>
      <c r="AC1096" s="1">
        <v>0</v>
      </c>
      <c r="AD1096" s="1" t="s">
        <v>1099</v>
      </c>
      <c r="AE1096" s="1" t="s">
        <v>70</v>
      </c>
      <c r="AG1096" s="1" t="s">
        <v>1132</v>
      </c>
      <c r="AI1096" s="1" t="s">
        <v>75</v>
      </c>
      <c r="AK1096" s="1" t="s">
        <v>86</v>
      </c>
      <c r="AL1096" s="1" t="s">
        <v>87</v>
      </c>
      <c r="AM1096" s="1">
        <v>3</v>
      </c>
      <c r="AN1096" s="1">
        <v>0</v>
      </c>
      <c r="AO1096" s="1">
        <f t="shared" si="98"/>
        <v>3</v>
      </c>
    </row>
    <row r="1097" spans="1:41" x14ac:dyDescent="0.4">
      <c r="A1097" s="1">
        <v>1</v>
      </c>
      <c r="B1097" s="1" t="s">
        <v>1033</v>
      </c>
      <c r="C1097" s="1" t="s">
        <v>41</v>
      </c>
      <c r="D1097" s="2">
        <v>38846</v>
      </c>
      <c r="E1097" s="1">
        <v>129</v>
      </c>
      <c r="F1097" s="1">
        <v>3.2</v>
      </c>
      <c r="G1097" s="3">
        <v>0.41910879629629627</v>
      </c>
      <c r="H1097" s="3">
        <v>0.42040509259259262</v>
      </c>
      <c r="I1097" s="3">
        <v>1.2962962962963509E-3</v>
      </c>
      <c r="J1097" s="3">
        <v>8.3333333333329707E-4</v>
      </c>
      <c r="K1097" s="5">
        <f t="shared" si="97"/>
        <v>72</v>
      </c>
      <c r="L1097" s="3">
        <v>3.8425925925925086E-3</v>
      </c>
      <c r="N1097" s="1" t="s">
        <v>75</v>
      </c>
      <c r="O1097" s="1" t="s">
        <v>286</v>
      </c>
      <c r="P1097" s="1" t="s">
        <v>227</v>
      </c>
      <c r="Q1097" s="1" t="s">
        <v>45</v>
      </c>
      <c r="S1097" s="1" t="s">
        <v>46</v>
      </c>
      <c r="T1097" s="1" t="s">
        <v>45</v>
      </c>
      <c r="U1097" s="1" t="s">
        <v>92</v>
      </c>
      <c r="V1097" s="1" t="s">
        <v>67</v>
      </c>
      <c r="W1097" s="1" t="s">
        <v>68</v>
      </c>
      <c r="Y1097" s="1" t="s">
        <v>68</v>
      </c>
      <c r="AB1097" s="1" t="s">
        <v>69</v>
      </c>
      <c r="AC1097" s="1">
        <v>0</v>
      </c>
      <c r="AD1097" s="1" t="s">
        <v>68</v>
      </c>
      <c r="AE1097" s="1" t="s">
        <v>70</v>
      </c>
      <c r="AG1097" s="1" t="s">
        <v>1132</v>
      </c>
      <c r="AI1097" s="1" t="s">
        <v>75</v>
      </c>
      <c r="AK1097" s="1" t="s">
        <v>86</v>
      </c>
      <c r="AL1097" s="1" t="s">
        <v>87</v>
      </c>
      <c r="AM1097" s="1">
        <v>3</v>
      </c>
      <c r="AN1097" s="1">
        <v>0</v>
      </c>
      <c r="AO1097" s="1">
        <f t="shared" si="98"/>
        <v>3</v>
      </c>
    </row>
    <row r="1098" spans="1:41" x14ac:dyDescent="0.4">
      <c r="A1098" s="1">
        <v>1</v>
      </c>
      <c r="B1098" s="1" t="s">
        <v>1033</v>
      </c>
      <c r="C1098" s="1" t="s">
        <v>41</v>
      </c>
      <c r="D1098" s="2">
        <v>38846</v>
      </c>
      <c r="E1098" s="1">
        <v>129</v>
      </c>
      <c r="F1098" s="1">
        <v>3.3</v>
      </c>
      <c r="G1098" s="3">
        <v>0.42424768518518513</v>
      </c>
      <c r="H1098" s="3">
        <v>0.42432870370370374</v>
      </c>
      <c r="I1098" s="3">
        <v>8.1018518518605198E-5</v>
      </c>
      <c r="J1098" s="3">
        <v>8.1018518518605198E-5</v>
      </c>
      <c r="K1098" s="5">
        <f t="shared" si="97"/>
        <v>7</v>
      </c>
      <c r="L1098" s="3">
        <v>6.1863425925925919E-2</v>
      </c>
      <c r="N1098" s="1" t="s">
        <v>75</v>
      </c>
      <c r="O1098" s="1" t="s">
        <v>286</v>
      </c>
      <c r="P1098" s="1" t="s">
        <v>227</v>
      </c>
      <c r="Q1098" s="1" t="s">
        <v>76</v>
      </c>
      <c r="S1098" s="1" t="s">
        <v>46</v>
      </c>
      <c r="T1098" s="1" t="s">
        <v>45</v>
      </c>
      <c r="U1098" s="1" t="s">
        <v>48</v>
      </c>
      <c r="AB1098" s="1" t="s">
        <v>93</v>
      </c>
      <c r="AC1098" s="1">
        <v>1</v>
      </c>
      <c r="AG1098" s="1" t="s">
        <v>1132</v>
      </c>
      <c r="AI1098" s="1" t="s">
        <v>75</v>
      </c>
      <c r="AK1098" s="1" t="s">
        <v>86</v>
      </c>
      <c r="AL1098" s="1" t="s">
        <v>133</v>
      </c>
      <c r="AM1098" s="1">
        <v>3</v>
      </c>
      <c r="AN1098" s="1">
        <v>0</v>
      </c>
      <c r="AO1098" s="1">
        <f t="shared" si="98"/>
        <v>3</v>
      </c>
    </row>
    <row r="1099" spans="1:41" x14ac:dyDescent="0.4">
      <c r="A1099" s="1">
        <v>1</v>
      </c>
      <c r="B1099" s="1" t="s">
        <v>1033</v>
      </c>
      <c r="C1099" s="1" t="s">
        <v>41</v>
      </c>
      <c r="D1099" s="2">
        <v>38846</v>
      </c>
      <c r="E1099" s="1">
        <v>129</v>
      </c>
      <c r="F1099" s="1">
        <v>4</v>
      </c>
      <c r="G1099" s="3">
        <v>0.48619212962962965</v>
      </c>
      <c r="H1099" s="3">
        <v>0.48672453703703705</v>
      </c>
      <c r="I1099" s="3">
        <v>5.3240740740739811E-4</v>
      </c>
      <c r="J1099" s="3">
        <v>5.3240740740739811E-4</v>
      </c>
      <c r="K1099" s="5">
        <f t="shared" si="97"/>
        <v>46</v>
      </c>
      <c r="L1099" s="3">
        <v>5.8217592592592571E-2</v>
      </c>
      <c r="N1099" s="1" t="s">
        <v>75</v>
      </c>
      <c r="O1099" s="1" t="s">
        <v>286</v>
      </c>
      <c r="P1099" s="1" t="s">
        <v>227</v>
      </c>
      <c r="Q1099" s="1" t="s">
        <v>76</v>
      </c>
      <c r="S1099" s="1" t="s">
        <v>46</v>
      </c>
      <c r="T1099" s="1" t="s">
        <v>45</v>
      </c>
      <c r="U1099" s="1" t="s">
        <v>92</v>
      </c>
      <c r="V1099" s="1" t="s">
        <v>102</v>
      </c>
      <c r="W1099" s="1" t="s">
        <v>433</v>
      </c>
      <c r="X1099" s="1" t="s">
        <v>96</v>
      </c>
      <c r="Y1099" s="1" t="s">
        <v>1095</v>
      </c>
      <c r="Z1099" s="1" t="s">
        <v>1096</v>
      </c>
      <c r="AA1099" s="1" t="s">
        <v>1097</v>
      </c>
      <c r="AB1099" s="1" t="s">
        <v>1098</v>
      </c>
      <c r="AC1099" s="1">
        <v>0</v>
      </c>
      <c r="AD1099" s="1" t="s">
        <v>1099</v>
      </c>
      <c r="AE1099" s="1" t="s">
        <v>70</v>
      </c>
      <c r="AG1099" s="1" t="s">
        <v>1100</v>
      </c>
      <c r="AI1099" s="1" t="s">
        <v>75</v>
      </c>
      <c r="AK1099" s="1" t="s">
        <v>86</v>
      </c>
      <c r="AL1099" s="1" t="s">
        <v>86</v>
      </c>
      <c r="AM1099" s="1">
        <v>4</v>
      </c>
      <c r="AN1099" s="1">
        <v>0</v>
      </c>
      <c r="AO1099" s="1">
        <f t="shared" si="98"/>
        <v>4</v>
      </c>
    </row>
    <row r="1100" spans="1:41" x14ac:dyDescent="0.4">
      <c r="A1100" s="1">
        <v>1</v>
      </c>
      <c r="B1100" s="1" t="s">
        <v>1033</v>
      </c>
      <c r="C1100" s="1" t="s">
        <v>41</v>
      </c>
      <c r="D1100" s="2">
        <v>38846</v>
      </c>
      <c r="E1100" s="1">
        <v>129</v>
      </c>
      <c r="F1100" s="1">
        <v>5</v>
      </c>
      <c r="G1100" s="3">
        <v>0.54494212962962962</v>
      </c>
      <c r="H1100" s="3">
        <v>0.54640046296296296</v>
      </c>
      <c r="I1100" s="3">
        <v>1.4583333333333393E-3</v>
      </c>
      <c r="J1100" s="3">
        <v>1.4583333333333393E-3</v>
      </c>
      <c r="K1100" s="5">
        <f t="shared" si="97"/>
        <v>126</v>
      </c>
      <c r="L1100" s="3">
        <v>6.6412037037037019E-2</v>
      </c>
      <c r="N1100" s="1" t="s">
        <v>42</v>
      </c>
      <c r="O1100" s="1" t="s">
        <v>286</v>
      </c>
      <c r="P1100" s="1" t="s">
        <v>227</v>
      </c>
      <c r="Q1100" s="1" t="s">
        <v>76</v>
      </c>
      <c r="S1100" s="1" t="s">
        <v>46</v>
      </c>
      <c r="T1100" s="1" t="s">
        <v>47</v>
      </c>
      <c r="U1100" s="1" t="s">
        <v>156</v>
      </c>
      <c r="V1100" s="1" t="s">
        <v>102</v>
      </c>
      <c r="W1100" s="1" t="s">
        <v>433</v>
      </c>
      <c r="X1100" s="1" t="s">
        <v>96</v>
      </c>
      <c r="Y1100" s="1" t="s">
        <v>1095</v>
      </c>
      <c r="Z1100" s="1" t="s">
        <v>1096</v>
      </c>
      <c r="AA1100" s="1" t="s">
        <v>1097</v>
      </c>
      <c r="AB1100" s="1" t="s">
        <v>1098</v>
      </c>
      <c r="AC1100" s="1">
        <v>0</v>
      </c>
      <c r="AD1100" s="1" t="s">
        <v>1099</v>
      </c>
      <c r="AE1100" s="1" t="s">
        <v>70</v>
      </c>
      <c r="AG1100" s="1" t="s">
        <v>1100</v>
      </c>
      <c r="AI1100" s="1" t="s">
        <v>75</v>
      </c>
      <c r="AK1100" s="1" t="s">
        <v>86</v>
      </c>
      <c r="AL1100" s="1" t="s">
        <v>133</v>
      </c>
      <c r="AM1100" s="1">
        <v>4</v>
      </c>
      <c r="AN1100" s="1">
        <v>0</v>
      </c>
      <c r="AO1100" s="1">
        <f t="shared" si="98"/>
        <v>4</v>
      </c>
    </row>
    <row r="1101" spans="1:41" x14ac:dyDescent="0.4">
      <c r="A1101" s="1">
        <v>1</v>
      </c>
      <c r="B1101" s="1" t="s">
        <v>1033</v>
      </c>
      <c r="C1101" s="1" t="s">
        <v>41</v>
      </c>
      <c r="D1101" s="2">
        <v>38846</v>
      </c>
      <c r="E1101" s="1">
        <v>129</v>
      </c>
      <c r="F1101" s="1">
        <v>6</v>
      </c>
      <c r="G1101" s="3">
        <v>0.61281249999999998</v>
      </c>
      <c r="H1101" s="3">
        <v>0.61861111111111111</v>
      </c>
      <c r="I1101" s="3">
        <v>5.7986111111111294E-3</v>
      </c>
      <c r="J1101" s="3">
        <v>2.5810185185184409E-3</v>
      </c>
      <c r="K1101" s="5">
        <f t="shared" si="97"/>
        <v>223</v>
      </c>
      <c r="L1101" s="3">
        <v>1.7280092592592555E-2</v>
      </c>
      <c r="N1101" s="1" t="s">
        <v>42</v>
      </c>
      <c r="O1101" s="1" t="s">
        <v>286</v>
      </c>
      <c r="P1101" s="1" t="s">
        <v>227</v>
      </c>
      <c r="Q1101" s="1" t="s">
        <v>76</v>
      </c>
      <c r="S1101" s="1" t="s">
        <v>46</v>
      </c>
      <c r="T1101" s="1" t="s">
        <v>45</v>
      </c>
      <c r="U1101" s="1" t="s">
        <v>66</v>
      </c>
      <c r="V1101" s="1" t="s">
        <v>102</v>
      </c>
      <c r="W1101" s="1" t="s">
        <v>433</v>
      </c>
      <c r="X1101" s="1" t="s">
        <v>96</v>
      </c>
      <c r="Y1101" s="1" t="s">
        <v>1095</v>
      </c>
      <c r="Z1101" s="1" t="s">
        <v>1096</v>
      </c>
      <c r="AA1101" s="1" t="s">
        <v>1097</v>
      </c>
      <c r="AB1101" s="1" t="s">
        <v>1098</v>
      </c>
      <c r="AC1101" s="1">
        <v>0</v>
      </c>
      <c r="AD1101" s="1" t="s">
        <v>1099</v>
      </c>
      <c r="AE1101" s="1" t="s">
        <v>70</v>
      </c>
      <c r="AG1101" s="1" t="s">
        <v>1034</v>
      </c>
      <c r="AI1101" s="1" t="s">
        <v>71</v>
      </c>
      <c r="AK1101" s="1" t="s">
        <v>61</v>
      </c>
      <c r="AL1101" s="1" t="s">
        <v>61</v>
      </c>
      <c r="AM1101" s="1">
        <v>6</v>
      </c>
      <c r="AN1101" s="1">
        <v>0</v>
      </c>
      <c r="AO1101" s="1">
        <f t="shared" si="98"/>
        <v>6</v>
      </c>
    </row>
    <row r="1102" spans="1:41" x14ac:dyDescent="0.4">
      <c r="A1102" s="1">
        <v>1</v>
      </c>
      <c r="B1102" s="1" t="s">
        <v>1033</v>
      </c>
      <c r="C1102" s="1" t="s">
        <v>41</v>
      </c>
      <c r="D1102" s="2">
        <v>38846</v>
      </c>
      <c r="E1102" s="1">
        <v>129</v>
      </c>
      <c r="F1102" s="1">
        <v>6.5</v>
      </c>
      <c r="G1102" s="3">
        <v>0.63589120370370367</v>
      </c>
      <c r="H1102" s="3">
        <v>0.63653935185185184</v>
      </c>
      <c r="I1102" s="3">
        <v>6.4814814814817545E-4</v>
      </c>
      <c r="J1102" s="3">
        <v>3.8194444444439313E-4</v>
      </c>
      <c r="K1102" s="5">
        <f t="shared" si="97"/>
        <v>33</v>
      </c>
      <c r="L1102" s="3">
        <v>1.4259259259259305E-2</v>
      </c>
      <c r="N1102" s="1" t="s">
        <v>75</v>
      </c>
      <c r="O1102" s="1" t="s">
        <v>286</v>
      </c>
      <c r="P1102" s="1" t="s">
        <v>227</v>
      </c>
      <c r="Q1102" s="1" t="s">
        <v>191</v>
      </c>
      <c r="S1102" s="1" t="s">
        <v>46</v>
      </c>
      <c r="T1102" s="1" t="s">
        <v>76</v>
      </c>
      <c r="U1102" s="1" t="s">
        <v>66</v>
      </c>
      <c r="AB1102" s="1" t="s">
        <v>93</v>
      </c>
      <c r="AC1102" s="1">
        <v>1</v>
      </c>
      <c r="AG1102" s="1" t="s">
        <v>1133</v>
      </c>
      <c r="AI1102" s="1" t="s">
        <v>75</v>
      </c>
      <c r="AK1102" s="1" t="s">
        <v>86</v>
      </c>
      <c r="AL1102" s="1" t="s">
        <v>87</v>
      </c>
      <c r="AM1102" s="1">
        <v>6</v>
      </c>
      <c r="AN1102" s="1">
        <v>0</v>
      </c>
      <c r="AO1102" s="1">
        <f t="shared" si="98"/>
        <v>6</v>
      </c>
    </row>
    <row r="1103" spans="1:41" x14ac:dyDescent="0.4">
      <c r="A1103" s="1">
        <v>1</v>
      </c>
      <c r="B1103" s="1" t="s">
        <v>1033</v>
      </c>
      <c r="C1103" s="1" t="s">
        <v>41</v>
      </c>
      <c r="D1103" s="2">
        <v>38846</v>
      </c>
      <c r="E1103" s="1">
        <v>129</v>
      </c>
      <c r="F1103" s="1">
        <v>7</v>
      </c>
      <c r="G1103" s="3">
        <v>0.65079861111111115</v>
      </c>
      <c r="H1103" s="3">
        <v>0.65649305555555559</v>
      </c>
      <c r="I1103" s="3">
        <v>5.6944444444444464E-3</v>
      </c>
      <c r="J1103" s="3">
        <v>5.4861111111111915E-3</v>
      </c>
      <c r="K1103" s="5">
        <f t="shared" si="97"/>
        <v>474</v>
      </c>
      <c r="L1103" s="3">
        <v>0</v>
      </c>
      <c r="N1103" s="1" t="s">
        <v>75</v>
      </c>
      <c r="O1103" s="1" t="s">
        <v>286</v>
      </c>
      <c r="P1103" s="1" t="s">
        <v>227</v>
      </c>
      <c r="Q1103" s="1" t="s">
        <v>76</v>
      </c>
      <c r="S1103" s="1" t="s">
        <v>46</v>
      </c>
      <c r="T1103" s="1" t="s">
        <v>47</v>
      </c>
      <c r="U1103" s="1" t="s">
        <v>66</v>
      </c>
      <c r="V1103" s="1" t="s">
        <v>49</v>
      </c>
      <c r="W1103" s="1" t="s">
        <v>439</v>
      </c>
      <c r="X1103" s="1" t="s">
        <v>440</v>
      </c>
      <c r="Y1103" s="1" t="s">
        <v>441</v>
      </c>
      <c r="Z1103" s="1" t="s">
        <v>442</v>
      </c>
      <c r="AA1103" s="1" t="s">
        <v>443</v>
      </c>
      <c r="AB1103" s="1" t="s">
        <v>444</v>
      </c>
      <c r="AC1103" s="1">
        <v>0</v>
      </c>
      <c r="AD1103" s="1" t="s">
        <v>56</v>
      </c>
      <c r="AE1103" s="1" t="s">
        <v>83</v>
      </c>
      <c r="AF1103" s="1" t="s">
        <v>113</v>
      </c>
      <c r="AG1103" s="1" t="s">
        <v>1117</v>
      </c>
      <c r="AH1103" s="1" t="s">
        <v>115</v>
      </c>
      <c r="AI1103" s="1" t="s">
        <v>75</v>
      </c>
      <c r="AK1103" s="1" t="s">
        <v>86</v>
      </c>
      <c r="AL1103" s="1" t="s">
        <v>87</v>
      </c>
      <c r="AM1103" s="1">
        <v>4</v>
      </c>
      <c r="AN1103" s="1">
        <v>0</v>
      </c>
      <c r="AO1103" s="1">
        <f t="shared" si="98"/>
        <v>4</v>
      </c>
    </row>
    <row r="1104" spans="1:41" x14ac:dyDescent="0.4">
      <c r="A1104" s="1">
        <v>1</v>
      </c>
      <c r="B1104" s="1" t="s">
        <v>1033</v>
      </c>
      <c r="C1104" s="1" t="s">
        <v>41</v>
      </c>
      <c r="D1104" s="2">
        <v>38846</v>
      </c>
      <c r="E1104" s="1">
        <v>129</v>
      </c>
      <c r="F1104" s="1">
        <v>8</v>
      </c>
      <c r="G1104" s="3">
        <v>0.65649305555555559</v>
      </c>
      <c r="H1104" s="3">
        <v>0.65664351851851854</v>
      </c>
      <c r="I1104" s="3">
        <v>1.5046296296294948E-4</v>
      </c>
      <c r="J1104" s="3">
        <v>1.5046296296294948E-4</v>
      </c>
      <c r="K1104" s="5">
        <f t="shared" si="97"/>
        <v>13</v>
      </c>
      <c r="L1104" s="3">
        <v>5.7754629629629406E-3</v>
      </c>
      <c r="N1104" s="1" t="s">
        <v>75</v>
      </c>
      <c r="O1104" s="1" t="s">
        <v>286</v>
      </c>
      <c r="P1104" s="1" t="s">
        <v>227</v>
      </c>
      <c r="Q1104" s="1" t="s">
        <v>76</v>
      </c>
      <c r="S1104" s="1" t="s">
        <v>46</v>
      </c>
      <c r="T1104" s="1" t="s">
        <v>47</v>
      </c>
      <c r="U1104" s="1" t="s">
        <v>66</v>
      </c>
      <c r="V1104" s="1" t="s">
        <v>102</v>
      </c>
      <c r="W1104" s="1" t="s">
        <v>433</v>
      </c>
      <c r="X1104" s="1" t="s">
        <v>96</v>
      </c>
      <c r="Y1104" s="1" t="s">
        <v>1095</v>
      </c>
      <c r="Z1104" s="1" t="s">
        <v>1096</v>
      </c>
      <c r="AA1104" s="1" t="s">
        <v>1097</v>
      </c>
      <c r="AB1104" s="1" t="s">
        <v>1098</v>
      </c>
      <c r="AC1104" s="1">
        <v>0</v>
      </c>
      <c r="AD1104" s="1" t="s">
        <v>1099</v>
      </c>
      <c r="AE1104" s="1" t="s">
        <v>70</v>
      </c>
      <c r="AF1104" s="1" t="s">
        <v>113</v>
      </c>
      <c r="AG1104" s="1" t="s">
        <v>1117</v>
      </c>
      <c r="AI1104" s="1" t="s">
        <v>75</v>
      </c>
      <c r="AK1104" s="1" t="s">
        <v>86</v>
      </c>
      <c r="AL1104" s="1" t="s">
        <v>87</v>
      </c>
      <c r="AM1104" s="1">
        <v>4</v>
      </c>
      <c r="AN1104" s="1">
        <v>0</v>
      </c>
      <c r="AO1104" s="1">
        <f t="shared" si="98"/>
        <v>4</v>
      </c>
    </row>
    <row r="1105" spans="1:41" x14ac:dyDescent="0.4">
      <c r="A1105" s="1">
        <v>1</v>
      </c>
      <c r="B1105" s="1" t="s">
        <v>1033</v>
      </c>
      <c r="C1105" s="1" t="s">
        <v>41</v>
      </c>
      <c r="D1105" s="2">
        <v>38846</v>
      </c>
      <c r="E1105" s="1">
        <v>129</v>
      </c>
      <c r="F1105" s="1">
        <v>9</v>
      </c>
      <c r="G1105" s="3">
        <v>0.66241898148148148</v>
      </c>
      <c r="H1105" s="3">
        <v>0.67652777777777784</v>
      </c>
      <c r="I1105" s="3">
        <v>1.4108796296296355E-2</v>
      </c>
      <c r="J1105" s="3">
        <v>9.2592592592593004E-3</v>
      </c>
      <c r="K1105" s="5">
        <f t="shared" si="97"/>
        <v>800</v>
      </c>
      <c r="L1105" s="3">
        <v>5.0115740740740433E-3</v>
      </c>
      <c r="N1105" s="1" t="s">
        <v>75</v>
      </c>
      <c r="O1105" s="1" t="s">
        <v>286</v>
      </c>
      <c r="P1105" s="1" t="s">
        <v>227</v>
      </c>
      <c r="Q1105" s="1" t="s">
        <v>191</v>
      </c>
      <c r="S1105" s="1" t="s">
        <v>46</v>
      </c>
      <c r="T1105" s="1" t="s">
        <v>45</v>
      </c>
      <c r="U1105" s="1" t="s">
        <v>66</v>
      </c>
      <c r="V1105" s="1" t="s">
        <v>49</v>
      </c>
      <c r="W1105" s="1" t="s">
        <v>77</v>
      </c>
      <c r="X1105" s="1" t="s">
        <v>522</v>
      </c>
      <c r="Y1105" s="1" t="s">
        <v>79</v>
      </c>
      <c r="Z1105" s="1" t="s">
        <v>523</v>
      </c>
      <c r="AA1105" s="1" t="s">
        <v>524</v>
      </c>
      <c r="AB1105" s="1" t="s">
        <v>525</v>
      </c>
      <c r="AC1105" s="1">
        <v>0</v>
      </c>
      <c r="AD1105" s="1" t="s">
        <v>56</v>
      </c>
      <c r="AE1105" s="1" t="s">
        <v>57</v>
      </c>
      <c r="AF1105" s="1" t="s">
        <v>113</v>
      </c>
      <c r="AG1105" s="1" t="s">
        <v>1134</v>
      </c>
      <c r="AH1105" s="1" t="s">
        <v>115</v>
      </c>
      <c r="AI1105" s="1" t="s">
        <v>75</v>
      </c>
      <c r="AK1105" s="1" t="s">
        <v>116</v>
      </c>
      <c r="AL1105" s="1" t="s">
        <v>117</v>
      </c>
      <c r="AM1105" s="1">
        <v>2</v>
      </c>
      <c r="AN1105" s="1">
        <v>0</v>
      </c>
      <c r="AO1105" s="1">
        <f t="shared" si="98"/>
        <v>2</v>
      </c>
    </row>
    <row r="1106" spans="1:41" x14ac:dyDescent="0.4">
      <c r="A1106" s="1">
        <v>1</v>
      </c>
      <c r="B1106" s="1" t="s">
        <v>1033</v>
      </c>
      <c r="C1106" s="1" t="s">
        <v>41</v>
      </c>
      <c r="D1106" s="2">
        <v>38846</v>
      </c>
      <c r="E1106" s="1">
        <v>129</v>
      </c>
      <c r="F1106" s="1">
        <v>11</v>
      </c>
      <c r="G1106" s="3">
        <v>0.68153935185185188</v>
      </c>
      <c r="H1106" s="3">
        <v>0.68254629629629626</v>
      </c>
      <c r="I1106" s="3">
        <v>1.0069444444443798E-3</v>
      </c>
      <c r="J1106" s="3">
        <v>1.0069444444443798E-3</v>
      </c>
      <c r="K1106" s="5">
        <f t="shared" si="97"/>
        <v>87</v>
      </c>
      <c r="L1106" s="3">
        <v>6.9675925925926085E-3</v>
      </c>
      <c r="N1106" s="1" t="s">
        <v>75</v>
      </c>
      <c r="O1106" s="1" t="s">
        <v>286</v>
      </c>
      <c r="P1106" s="1" t="s">
        <v>227</v>
      </c>
      <c r="Q1106" s="1" t="s">
        <v>45</v>
      </c>
      <c r="S1106" s="1" t="s">
        <v>46</v>
      </c>
      <c r="T1106" s="1" t="s">
        <v>76</v>
      </c>
      <c r="U1106" s="1" t="s">
        <v>66</v>
      </c>
      <c r="V1106" s="1" t="s">
        <v>102</v>
      </c>
      <c r="W1106" s="1" t="s">
        <v>433</v>
      </c>
      <c r="X1106" s="1" t="s">
        <v>96</v>
      </c>
      <c r="Y1106" s="1" t="s">
        <v>1095</v>
      </c>
      <c r="Z1106" s="1" t="s">
        <v>1096</v>
      </c>
      <c r="AA1106" s="1" t="s">
        <v>1097</v>
      </c>
      <c r="AB1106" s="1" t="s">
        <v>1098</v>
      </c>
      <c r="AC1106" s="1">
        <v>0</v>
      </c>
      <c r="AD1106" s="1" t="s">
        <v>1099</v>
      </c>
      <c r="AE1106" s="1" t="s">
        <v>70</v>
      </c>
      <c r="AG1106" s="1" t="s">
        <v>1108</v>
      </c>
      <c r="AI1106" s="1" t="s">
        <v>75</v>
      </c>
      <c r="AK1106" s="1" t="s">
        <v>86</v>
      </c>
      <c r="AL1106" s="1" t="s">
        <v>86</v>
      </c>
      <c r="AM1106" s="1">
        <v>4</v>
      </c>
      <c r="AN1106" s="1">
        <v>0</v>
      </c>
      <c r="AO1106" s="1">
        <f t="shared" si="98"/>
        <v>4</v>
      </c>
    </row>
    <row r="1107" spans="1:41" x14ac:dyDescent="0.4">
      <c r="A1107" s="1">
        <v>1</v>
      </c>
      <c r="B1107" s="1" t="s">
        <v>1033</v>
      </c>
      <c r="C1107" s="1" t="s">
        <v>41</v>
      </c>
      <c r="D1107" s="2">
        <v>38846</v>
      </c>
      <c r="E1107" s="1">
        <v>129</v>
      </c>
      <c r="F1107" s="1">
        <v>13</v>
      </c>
      <c r="G1107" s="3">
        <v>0.68951388888888887</v>
      </c>
      <c r="H1107" s="3">
        <v>0.69033564814814818</v>
      </c>
      <c r="I1107" s="3">
        <v>8.217592592593137E-4</v>
      </c>
      <c r="J1107" s="3">
        <v>8.217592592593137E-4</v>
      </c>
      <c r="K1107" s="5">
        <f t="shared" si="97"/>
        <v>71</v>
      </c>
      <c r="L1107" s="3" t="s">
        <v>120</v>
      </c>
      <c r="N1107" s="1" t="s">
        <v>75</v>
      </c>
      <c r="O1107" s="1" t="s">
        <v>286</v>
      </c>
      <c r="P1107" s="1" t="s">
        <v>227</v>
      </c>
      <c r="Q1107" s="1" t="s">
        <v>45</v>
      </c>
      <c r="S1107" s="1" t="s">
        <v>46</v>
      </c>
      <c r="T1107" s="1" t="s">
        <v>76</v>
      </c>
      <c r="U1107" s="1" t="s">
        <v>66</v>
      </c>
      <c r="V1107" s="1" t="s">
        <v>102</v>
      </c>
      <c r="W1107" s="1" t="s">
        <v>433</v>
      </c>
      <c r="X1107" s="1" t="s">
        <v>96</v>
      </c>
      <c r="Y1107" s="1" t="s">
        <v>1095</v>
      </c>
      <c r="Z1107" s="1" t="s">
        <v>1096</v>
      </c>
      <c r="AA1107" s="1" t="s">
        <v>1097</v>
      </c>
      <c r="AB1107" s="1" t="s">
        <v>1098</v>
      </c>
      <c r="AC1107" s="1">
        <v>0</v>
      </c>
      <c r="AD1107" s="1" t="s">
        <v>1099</v>
      </c>
      <c r="AE1107" s="1" t="s">
        <v>70</v>
      </c>
      <c r="AG1107" s="1" t="s">
        <v>1076</v>
      </c>
      <c r="AI1107" s="1" t="s">
        <v>75</v>
      </c>
      <c r="AK1107" s="1" t="s">
        <v>116</v>
      </c>
      <c r="AL1107" s="1" t="s">
        <v>155</v>
      </c>
      <c r="AM1107" s="1">
        <v>4</v>
      </c>
      <c r="AN1107" s="1">
        <v>0</v>
      </c>
      <c r="AO1107" s="1">
        <f t="shared" si="98"/>
        <v>4</v>
      </c>
    </row>
    <row r="1108" spans="1:41" x14ac:dyDescent="0.4">
      <c r="A1108" s="1">
        <v>1</v>
      </c>
      <c r="B1108" s="1" t="s">
        <v>1033</v>
      </c>
      <c r="C1108" s="1" t="s">
        <v>41</v>
      </c>
      <c r="D1108" s="2">
        <v>38855</v>
      </c>
      <c r="E1108" s="1">
        <v>138</v>
      </c>
      <c r="F1108" s="1">
        <v>1</v>
      </c>
      <c r="G1108" s="3">
        <v>0.29856481481481484</v>
      </c>
      <c r="H1108" s="3">
        <v>0.29947916666666669</v>
      </c>
      <c r="I1108" s="3">
        <v>9.1435185185184675E-4</v>
      </c>
      <c r="J1108" s="3">
        <v>9.1435185185184675E-4</v>
      </c>
      <c r="K1108" s="5">
        <f t="shared" si="97"/>
        <v>79</v>
      </c>
      <c r="L1108" s="3">
        <v>1.9548611111111058E-2</v>
      </c>
      <c r="N1108" s="1" t="s">
        <v>75</v>
      </c>
      <c r="O1108" s="1" t="s">
        <v>286</v>
      </c>
      <c r="P1108" s="1" t="s">
        <v>227</v>
      </c>
      <c r="Q1108" s="1" t="s">
        <v>76</v>
      </c>
      <c r="S1108" s="1" t="s">
        <v>46</v>
      </c>
      <c r="T1108" s="1" t="s">
        <v>45</v>
      </c>
      <c r="U1108" s="1" t="s">
        <v>66</v>
      </c>
      <c r="V1108" s="1" t="s">
        <v>102</v>
      </c>
      <c r="W1108" s="1" t="s">
        <v>433</v>
      </c>
      <c r="X1108" s="1" t="s">
        <v>96</v>
      </c>
      <c r="Y1108" s="1" t="s">
        <v>1095</v>
      </c>
      <c r="Z1108" s="1" t="s">
        <v>1096</v>
      </c>
      <c r="AA1108" s="1" t="s">
        <v>1097</v>
      </c>
      <c r="AB1108" s="1" t="s">
        <v>1098</v>
      </c>
      <c r="AC1108" s="1">
        <v>0</v>
      </c>
      <c r="AD1108" s="1" t="s">
        <v>1099</v>
      </c>
      <c r="AE1108" s="1" t="s">
        <v>70</v>
      </c>
      <c r="AF1108" s="1" t="s">
        <v>113</v>
      </c>
      <c r="AG1108" s="1" t="s">
        <v>1135</v>
      </c>
      <c r="AI1108" s="1" t="s">
        <v>75</v>
      </c>
      <c r="AK1108" s="1" t="s">
        <v>61</v>
      </c>
      <c r="AL1108" s="1" t="s">
        <v>133</v>
      </c>
      <c r="AM1108" s="1">
        <v>4</v>
      </c>
      <c r="AN1108" s="1">
        <v>0</v>
      </c>
      <c r="AO1108" s="1">
        <f t="shared" si="98"/>
        <v>4</v>
      </c>
    </row>
    <row r="1109" spans="1:41" x14ac:dyDescent="0.4">
      <c r="A1109" s="1">
        <v>1</v>
      </c>
      <c r="B1109" s="1" t="s">
        <v>1033</v>
      </c>
      <c r="C1109" s="1" t="s">
        <v>41</v>
      </c>
      <c r="D1109" s="2">
        <v>38855</v>
      </c>
      <c r="E1109" s="1">
        <v>138</v>
      </c>
      <c r="F1109" s="1">
        <v>2</v>
      </c>
      <c r="G1109" s="3">
        <v>0.31902777777777774</v>
      </c>
      <c r="H1109" s="3">
        <v>0.32047453703703704</v>
      </c>
      <c r="I1109" s="3">
        <v>1.4467592592593004E-3</v>
      </c>
      <c r="J1109" s="3">
        <v>1.0532407407407574E-3</v>
      </c>
      <c r="K1109" s="5">
        <f t="shared" si="97"/>
        <v>91</v>
      </c>
      <c r="L1109" s="3">
        <v>3.5879629629631538E-4</v>
      </c>
      <c r="N1109" s="1" t="s">
        <v>75</v>
      </c>
      <c r="O1109" s="1" t="s">
        <v>286</v>
      </c>
      <c r="P1109" s="1" t="s">
        <v>227</v>
      </c>
      <c r="Q1109" s="1" t="s">
        <v>76</v>
      </c>
      <c r="S1109" s="1" t="s">
        <v>46</v>
      </c>
      <c r="T1109" s="1" t="s">
        <v>45</v>
      </c>
      <c r="U1109" s="1" t="s">
        <v>66</v>
      </c>
      <c r="V1109" s="1" t="s">
        <v>49</v>
      </c>
      <c r="W1109" s="1" t="s">
        <v>168</v>
      </c>
      <c r="X1109" s="1" t="s">
        <v>96</v>
      </c>
      <c r="AB1109" s="1" t="s">
        <v>258</v>
      </c>
      <c r="AC1109" s="1">
        <v>0</v>
      </c>
      <c r="AD1109" s="1" t="s">
        <v>105</v>
      </c>
      <c r="AE1109" s="1" t="s">
        <v>70</v>
      </c>
      <c r="AF1109" s="1" t="s">
        <v>113</v>
      </c>
      <c r="AG1109" s="1" t="s">
        <v>1136</v>
      </c>
      <c r="AH1109" s="1" t="s">
        <v>157</v>
      </c>
      <c r="AI1109" s="1" t="s">
        <v>75</v>
      </c>
      <c r="AK1109" s="1" t="s">
        <v>86</v>
      </c>
      <c r="AL1109" s="1" t="s">
        <v>86</v>
      </c>
      <c r="AM1109" s="1">
        <v>10</v>
      </c>
      <c r="AN1109" s="1">
        <v>0</v>
      </c>
      <c r="AO1109" s="1">
        <f t="shared" si="98"/>
        <v>10</v>
      </c>
    </row>
    <row r="1110" spans="1:41" x14ac:dyDescent="0.4">
      <c r="A1110" s="1">
        <v>1</v>
      </c>
      <c r="B1110" s="1" t="s">
        <v>1033</v>
      </c>
      <c r="C1110" s="1" t="s">
        <v>41</v>
      </c>
      <c r="D1110" s="2">
        <v>38855</v>
      </c>
      <c r="E1110" s="1">
        <v>138</v>
      </c>
      <c r="F1110" s="1">
        <v>2.5</v>
      </c>
      <c r="G1110" s="3">
        <v>0.32083333333333336</v>
      </c>
      <c r="H1110" s="3">
        <v>0.3208449074074074</v>
      </c>
      <c r="I1110" s="3">
        <v>1.1574074074038876E-5</v>
      </c>
      <c r="J1110" s="3">
        <v>1.1574074074038876E-5</v>
      </c>
      <c r="K1110" s="5">
        <f t="shared" si="97"/>
        <v>1</v>
      </c>
      <c r="L1110" s="3">
        <v>8.4837962962963087E-3</v>
      </c>
      <c r="N1110" s="1" t="s">
        <v>75</v>
      </c>
      <c r="O1110" s="1" t="s">
        <v>286</v>
      </c>
      <c r="P1110" s="1" t="s">
        <v>227</v>
      </c>
      <c r="Q1110" s="1" t="s">
        <v>76</v>
      </c>
      <c r="S1110" s="1" t="s">
        <v>46</v>
      </c>
      <c r="AB1110" s="1" t="s">
        <v>93</v>
      </c>
      <c r="AC1110" s="1">
        <v>1</v>
      </c>
      <c r="AG1110" s="1" t="s">
        <v>1136</v>
      </c>
      <c r="AK1110" s="1" t="s">
        <v>61</v>
      </c>
      <c r="AL1110" s="1" t="s">
        <v>133</v>
      </c>
      <c r="AM1110" s="1">
        <v>10</v>
      </c>
      <c r="AN1110" s="1">
        <v>0</v>
      </c>
      <c r="AO1110" s="1">
        <f t="shared" si="98"/>
        <v>10</v>
      </c>
    </row>
    <row r="1111" spans="1:41" x14ac:dyDescent="0.4">
      <c r="A1111" s="1">
        <v>1</v>
      </c>
      <c r="B1111" s="1" t="s">
        <v>1033</v>
      </c>
      <c r="C1111" s="1" t="s">
        <v>41</v>
      </c>
      <c r="D1111" s="2">
        <v>38855</v>
      </c>
      <c r="E1111" s="1">
        <v>138</v>
      </c>
      <c r="F1111" s="1">
        <v>3</v>
      </c>
      <c r="G1111" s="3">
        <v>0.32932870370370371</v>
      </c>
      <c r="H1111" s="3">
        <v>0.33064814814814814</v>
      </c>
      <c r="I1111" s="3">
        <v>1.3194444444444287E-3</v>
      </c>
      <c r="J1111" s="3">
        <v>1.3194444444444287E-3</v>
      </c>
      <c r="K1111" s="5">
        <f t="shared" si="97"/>
        <v>114</v>
      </c>
      <c r="L1111" s="3">
        <v>2.0486111111111538E-3</v>
      </c>
      <c r="N1111" s="1" t="s">
        <v>75</v>
      </c>
      <c r="O1111" s="1" t="s">
        <v>286</v>
      </c>
      <c r="P1111" s="1" t="s">
        <v>227</v>
      </c>
      <c r="Q1111" s="1" t="s">
        <v>76</v>
      </c>
      <c r="S1111" s="1" t="s">
        <v>46</v>
      </c>
      <c r="T1111" s="1" t="s">
        <v>47</v>
      </c>
      <c r="U1111" s="1" t="s">
        <v>66</v>
      </c>
      <c r="V1111" s="1" t="s">
        <v>49</v>
      </c>
      <c r="W1111" s="1" t="s">
        <v>168</v>
      </c>
      <c r="X1111" s="1" t="s">
        <v>208</v>
      </c>
      <c r="Y1111" s="1" t="s">
        <v>276</v>
      </c>
      <c r="Z1111" s="1" t="s">
        <v>277</v>
      </c>
      <c r="AA1111" s="1">
        <v>1</v>
      </c>
      <c r="AB1111" s="1" t="s">
        <v>539</v>
      </c>
      <c r="AC1111" s="1">
        <v>0</v>
      </c>
      <c r="AD1111" s="1" t="s">
        <v>56</v>
      </c>
      <c r="AE1111" s="1" t="s">
        <v>181</v>
      </c>
      <c r="AF1111" s="1" t="s">
        <v>113</v>
      </c>
      <c r="AH1111" s="1" t="s">
        <v>115</v>
      </c>
      <c r="AI1111" s="1" t="s">
        <v>75</v>
      </c>
      <c r="AK1111" s="1" t="s">
        <v>61</v>
      </c>
      <c r="AL1111" s="1" t="s">
        <v>133</v>
      </c>
      <c r="AN1111" s="1">
        <v>1</v>
      </c>
      <c r="AO1111" s="1">
        <f t="shared" si="98"/>
        <v>1</v>
      </c>
    </row>
    <row r="1112" spans="1:41" x14ac:dyDescent="0.4">
      <c r="A1112" s="1">
        <v>1</v>
      </c>
      <c r="B1112" s="1" t="s">
        <v>1033</v>
      </c>
      <c r="C1112" s="1" t="s">
        <v>41</v>
      </c>
      <c r="D1112" s="2">
        <v>38855</v>
      </c>
      <c r="E1112" s="1">
        <v>138</v>
      </c>
      <c r="F1112" s="1">
        <v>4</v>
      </c>
      <c r="G1112" s="3">
        <v>0.33269675925925929</v>
      </c>
      <c r="H1112" s="3">
        <v>0.33380787037037035</v>
      </c>
      <c r="I1112" s="3">
        <v>1.1111111111110628E-3</v>
      </c>
      <c r="J1112" s="3">
        <v>1.1111111111110628E-3</v>
      </c>
      <c r="K1112" s="5">
        <f t="shared" si="97"/>
        <v>96</v>
      </c>
      <c r="L1112" s="3">
        <v>0</v>
      </c>
      <c r="N1112" s="1" t="s">
        <v>75</v>
      </c>
      <c r="O1112" s="1" t="s">
        <v>286</v>
      </c>
      <c r="P1112" s="1" t="s">
        <v>227</v>
      </c>
      <c r="Q1112" s="1" t="s">
        <v>76</v>
      </c>
      <c r="S1112" s="1" t="s">
        <v>46</v>
      </c>
      <c r="T1112" s="1" t="s">
        <v>47</v>
      </c>
      <c r="U1112" s="1" t="s">
        <v>66</v>
      </c>
      <c r="V1112" s="1" t="s">
        <v>49</v>
      </c>
      <c r="W1112" s="1" t="s">
        <v>77</v>
      </c>
      <c r="X1112" s="1" t="s">
        <v>522</v>
      </c>
      <c r="Y1112" s="1" t="s">
        <v>79</v>
      </c>
      <c r="Z1112" s="1" t="s">
        <v>523</v>
      </c>
      <c r="AA1112" s="1" t="s">
        <v>524</v>
      </c>
      <c r="AB1112" s="1" t="s">
        <v>525</v>
      </c>
      <c r="AC1112" s="1">
        <v>0</v>
      </c>
      <c r="AD1112" s="1" t="s">
        <v>56</v>
      </c>
      <c r="AE1112" s="1" t="s">
        <v>57</v>
      </c>
      <c r="AF1112" s="1" t="s">
        <v>113</v>
      </c>
      <c r="AG1112" s="1" t="s">
        <v>1118</v>
      </c>
      <c r="AH1112" s="1" t="s">
        <v>115</v>
      </c>
      <c r="AI1112" s="1" t="s">
        <v>75</v>
      </c>
      <c r="AK1112" s="1" t="s">
        <v>116</v>
      </c>
      <c r="AL1112" s="1" t="s">
        <v>174</v>
      </c>
      <c r="AM1112" s="1">
        <v>4</v>
      </c>
      <c r="AN1112" s="1">
        <v>0</v>
      </c>
      <c r="AO1112" s="1">
        <f t="shared" si="98"/>
        <v>4</v>
      </c>
    </row>
    <row r="1113" spans="1:41" x14ac:dyDescent="0.4">
      <c r="A1113" s="1">
        <v>1</v>
      </c>
      <c r="B1113" s="1" t="s">
        <v>1033</v>
      </c>
      <c r="C1113" s="1" t="s">
        <v>41</v>
      </c>
      <c r="D1113" s="2">
        <v>38855</v>
      </c>
      <c r="E1113" s="1">
        <v>138</v>
      </c>
      <c r="F1113" s="1">
        <v>5</v>
      </c>
      <c r="G1113" s="3">
        <v>0.33380787037037035</v>
      </c>
      <c r="H1113" s="3">
        <v>0.33385416666666662</v>
      </c>
      <c r="I1113" s="3">
        <v>4.6296296296266526E-5</v>
      </c>
      <c r="J1113" s="3">
        <v>4.6296296296266526E-5</v>
      </c>
      <c r="K1113" s="5">
        <f t="shared" si="97"/>
        <v>4</v>
      </c>
      <c r="L1113" s="3">
        <v>3.0208333333333615E-3</v>
      </c>
      <c r="N1113" s="1" t="s">
        <v>75</v>
      </c>
      <c r="O1113" s="1" t="s">
        <v>286</v>
      </c>
      <c r="P1113" s="1" t="s">
        <v>227</v>
      </c>
      <c r="Q1113" s="1" t="s">
        <v>76</v>
      </c>
      <c r="S1113" s="1" t="s">
        <v>46</v>
      </c>
      <c r="T1113" s="1" t="s">
        <v>47</v>
      </c>
      <c r="U1113" s="1" t="s">
        <v>66</v>
      </c>
      <c r="V1113" s="1" t="s">
        <v>67</v>
      </c>
      <c r="W1113" s="1" t="s">
        <v>68</v>
      </c>
      <c r="X1113" s="1" t="s">
        <v>96</v>
      </c>
      <c r="Y1113" s="1" t="s">
        <v>421</v>
      </c>
      <c r="AB1113" s="1" t="s">
        <v>422</v>
      </c>
      <c r="AC1113" s="1">
        <v>0</v>
      </c>
      <c r="AD1113" s="1" t="s">
        <v>68</v>
      </c>
      <c r="AE1113" s="1" t="s">
        <v>70</v>
      </c>
      <c r="AG1113" s="1" t="s">
        <v>1118</v>
      </c>
      <c r="AH1113" s="1" t="s">
        <v>157</v>
      </c>
      <c r="AI1113" s="1" t="s">
        <v>75</v>
      </c>
      <c r="AK1113" s="1" t="s">
        <v>116</v>
      </c>
      <c r="AL1113" s="1" t="s">
        <v>174</v>
      </c>
      <c r="AM1113" s="1">
        <v>4</v>
      </c>
      <c r="AN1113" s="1">
        <v>0</v>
      </c>
      <c r="AO1113" s="1">
        <f t="shared" si="98"/>
        <v>4</v>
      </c>
    </row>
    <row r="1114" spans="1:41" x14ac:dyDescent="0.4">
      <c r="A1114" s="1">
        <v>1</v>
      </c>
      <c r="B1114" s="1" t="s">
        <v>1033</v>
      </c>
      <c r="C1114" s="1" t="s">
        <v>41</v>
      </c>
      <c r="D1114" s="2">
        <v>38855</v>
      </c>
      <c r="E1114" s="1">
        <v>138</v>
      </c>
      <c r="F1114" s="1">
        <v>6</v>
      </c>
      <c r="G1114" s="3">
        <v>0.33687499999999998</v>
      </c>
      <c r="H1114" s="3">
        <v>0.37004629629629626</v>
      </c>
      <c r="I1114" s="3">
        <v>3.3171296296296282E-2</v>
      </c>
      <c r="J1114" s="3">
        <v>6.3194444444444886E-3</v>
      </c>
      <c r="K1114" s="5">
        <f t="shared" si="97"/>
        <v>546</v>
      </c>
      <c r="L1114" s="3">
        <v>7.4074074074076401E-4</v>
      </c>
      <c r="N1114" s="1" t="s">
        <v>75</v>
      </c>
      <c r="O1114" s="1" t="s">
        <v>286</v>
      </c>
      <c r="P1114" s="1" t="s">
        <v>227</v>
      </c>
      <c r="Q1114" s="1" t="s">
        <v>45</v>
      </c>
      <c r="S1114" s="1" t="s">
        <v>46</v>
      </c>
      <c r="T1114" s="1" t="s">
        <v>124</v>
      </c>
      <c r="U1114" s="1" t="s">
        <v>66</v>
      </c>
      <c r="V1114" s="1" t="s">
        <v>297</v>
      </c>
      <c r="W1114" s="1" t="s">
        <v>167</v>
      </c>
      <c r="X1114" s="1" t="s">
        <v>298</v>
      </c>
      <c r="Y1114" s="1" t="s">
        <v>52</v>
      </c>
      <c r="Z1114" s="1">
        <v>17</v>
      </c>
      <c r="AB1114" s="1" t="s">
        <v>299</v>
      </c>
      <c r="AC1114" s="1">
        <v>0</v>
      </c>
      <c r="AD1114" s="1" t="s">
        <v>105</v>
      </c>
      <c r="AE1114" s="1" t="s">
        <v>83</v>
      </c>
      <c r="AF1114" s="1" t="s">
        <v>84</v>
      </c>
      <c r="AG1114" s="1" t="s">
        <v>1137</v>
      </c>
      <c r="AH1114" s="1" t="s">
        <v>157</v>
      </c>
      <c r="AI1114" s="1" t="s">
        <v>75</v>
      </c>
      <c r="AK1114" s="1" t="s">
        <v>61</v>
      </c>
      <c r="AL1114" s="1" t="s">
        <v>72</v>
      </c>
      <c r="AM1114" s="1">
        <v>1</v>
      </c>
      <c r="AN1114" s="1">
        <v>0</v>
      </c>
      <c r="AO1114" s="1">
        <f t="shared" si="98"/>
        <v>1</v>
      </c>
    </row>
    <row r="1115" spans="1:41" x14ac:dyDescent="0.4">
      <c r="A1115" s="1">
        <v>1</v>
      </c>
      <c r="B1115" s="1" t="s">
        <v>1033</v>
      </c>
      <c r="C1115" s="1" t="s">
        <v>41</v>
      </c>
      <c r="D1115" s="2">
        <v>38855</v>
      </c>
      <c r="E1115" s="1">
        <v>138</v>
      </c>
      <c r="F1115" s="1">
        <v>7</v>
      </c>
      <c r="G1115" s="3">
        <v>0.37078703703703703</v>
      </c>
      <c r="H1115" s="3">
        <v>0.37589120370370371</v>
      </c>
      <c r="I1115" s="3">
        <v>5.1041666666666874E-3</v>
      </c>
      <c r="J1115" s="3">
        <v>5.1041666666666874E-3</v>
      </c>
      <c r="K1115" s="5">
        <f t="shared" si="97"/>
        <v>441</v>
      </c>
      <c r="L1115" s="3">
        <v>1.3692129629629624E-2</v>
      </c>
      <c r="N1115" s="1" t="s">
        <v>42</v>
      </c>
      <c r="O1115" s="1" t="s">
        <v>286</v>
      </c>
      <c r="P1115" s="1" t="s">
        <v>227</v>
      </c>
      <c r="Q1115" s="1" t="s">
        <v>76</v>
      </c>
      <c r="S1115" s="1" t="s">
        <v>46</v>
      </c>
      <c r="T1115" s="1" t="s">
        <v>47</v>
      </c>
      <c r="U1115" s="1" t="s">
        <v>66</v>
      </c>
      <c r="V1115" s="1" t="s">
        <v>49</v>
      </c>
      <c r="W1115" s="1" t="s">
        <v>77</v>
      </c>
      <c r="X1115" s="1" t="s">
        <v>522</v>
      </c>
      <c r="Y1115" s="1" t="s">
        <v>79</v>
      </c>
      <c r="Z1115" s="1" t="s">
        <v>523</v>
      </c>
      <c r="AA1115" s="1" t="s">
        <v>524</v>
      </c>
      <c r="AB1115" s="1" t="s">
        <v>525</v>
      </c>
      <c r="AC1115" s="1">
        <v>0</v>
      </c>
      <c r="AD1115" s="1" t="s">
        <v>56</v>
      </c>
      <c r="AE1115" s="1" t="s">
        <v>57</v>
      </c>
      <c r="AF1115" s="1" t="s">
        <v>84</v>
      </c>
      <c r="AG1115" s="1" t="s">
        <v>1118</v>
      </c>
      <c r="AH1115" s="1" t="s">
        <v>115</v>
      </c>
      <c r="AI1115" s="1" t="s">
        <v>71</v>
      </c>
      <c r="AK1115" s="1" t="s">
        <v>61</v>
      </c>
      <c r="AL1115" s="1" t="s">
        <v>72</v>
      </c>
      <c r="AM1115" s="1">
        <v>4</v>
      </c>
      <c r="AN1115" s="1">
        <v>0</v>
      </c>
      <c r="AO1115" s="1">
        <f t="shared" si="98"/>
        <v>4</v>
      </c>
    </row>
    <row r="1116" spans="1:41" x14ac:dyDescent="0.4">
      <c r="A1116" s="1">
        <v>1</v>
      </c>
      <c r="B1116" s="1" t="s">
        <v>1033</v>
      </c>
      <c r="C1116" s="1" t="s">
        <v>41</v>
      </c>
      <c r="D1116" s="2">
        <v>38855</v>
      </c>
      <c r="E1116" s="1">
        <v>138</v>
      </c>
      <c r="F1116" s="1">
        <v>8</v>
      </c>
      <c r="G1116" s="3">
        <v>0.38958333333333334</v>
      </c>
      <c r="H1116" s="3">
        <v>0.39094907407407403</v>
      </c>
      <c r="I1116" s="3">
        <v>1.3657407407406952E-3</v>
      </c>
      <c r="J1116" s="3">
        <v>1.3657407407406952E-3</v>
      </c>
      <c r="K1116" s="5">
        <f t="shared" si="97"/>
        <v>118</v>
      </c>
      <c r="L1116" s="3">
        <v>5.9143518518518512E-3</v>
      </c>
      <c r="N1116" s="1" t="s">
        <v>251</v>
      </c>
      <c r="O1116" s="1" t="s">
        <v>286</v>
      </c>
      <c r="P1116" s="1" t="s">
        <v>227</v>
      </c>
      <c r="Q1116" s="1" t="s">
        <v>76</v>
      </c>
      <c r="S1116" s="1" t="s">
        <v>46</v>
      </c>
      <c r="T1116" s="1" t="s">
        <v>47</v>
      </c>
      <c r="U1116" s="1" t="s">
        <v>156</v>
      </c>
      <c r="V1116" s="1" t="s">
        <v>102</v>
      </c>
      <c r="W1116" s="1" t="s">
        <v>103</v>
      </c>
      <c r="X1116" s="1" t="s">
        <v>96</v>
      </c>
      <c r="AB1116" s="1" t="s">
        <v>104</v>
      </c>
      <c r="AC1116" s="1">
        <v>0</v>
      </c>
      <c r="AD1116" s="1" t="s">
        <v>105</v>
      </c>
      <c r="AE1116" s="1" t="s">
        <v>70</v>
      </c>
      <c r="AG1116" s="1" t="s">
        <v>1138</v>
      </c>
      <c r="AH1116" s="1" t="s">
        <v>157</v>
      </c>
      <c r="AI1116" s="1" t="s">
        <v>255</v>
      </c>
      <c r="AK1116" s="1" t="s">
        <v>86</v>
      </c>
      <c r="AL1116" s="1" t="s">
        <v>133</v>
      </c>
      <c r="AM1116" s="1">
        <v>1</v>
      </c>
      <c r="AN1116" s="1">
        <v>0</v>
      </c>
      <c r="AO1116" s="1">
        <f t="shared" si="98"/>
        <v>1</v>
      </c>
    </row>
    <row r="1117" spans="1:41" x14ac:dyDescent="0.4">
      <c r="A1117" s="1">
        <v>1</v>
      </c>
      <c r="B1117" s="1" t="s">
        <v>1033</v>
      </c>
      <c r="C1117" s="1" t="s">
        <v>41</v>
      </c>
      <c r="D1117" s="2">
        <v>38855</v>
      </c>
      <c r="E1117" s="1">
        <v>138</v>
      </c>
      <c r="F1117" s="1">
        <v>8.5</v>
      </c>
      <c r="G1117" s="3">
        <v>0.39686342592592588</v>
      </c>
      <c r="H1117" s="3">
        <v>0.39687499999999998</v>
      </c>
      <c r="I1117" s="3">
        <v>1.1574074074094387E-5</v>
      </c>
      <c r="J1117" s="3">
        <v>1.1574074074094387E-5</v>
      </c>
      <c r="K1117" s="5">
        <f t="shared" si="97"/>
        <v>1</v>
      </c>
      <c r="L1117" s="3">
        <v>1.2488425925925972E-2</v>
      </c>
      <c r="N1117" s="1" t="s">
        <v>251</v>
      </c>
      <c r="O1117" s="1" t="s">
        <v>286</v>
      </c>
      <c r="P1117" s="1" t="s">
        <v>227</v>
      </c>
      <c r="Q1117" s="1" t="s">
        <v>45</v>
      </c>
      <c r="S1117" s="1" t="s">
        <v>46</v>
      </c>
      <c r="T1117" s="1" t="s">
        <v>47</v>
      </c>
      <c r="U1117" s="1" t="s">
        <v>48</v>
      </c>
      <c r="AB1117" s="1" t="s">
        <v>93</v>
      </c>
      <c r="AC1117" s="1">
        <v>1</v>
      </c>
      <c r="AI1117" s="1" t="s">
        <v>379</v>
      </c>
      <c r="AK1117" s="1" t="s">
        <v>86</v>
      </c>
      <c r="AL1117" s="1" t="s">
        <v>133</v>
      </c>
      <c r="AN1117" s="1">
        <v>1</v>
      </c>
      <c r="AO1117" s="1">
        <f t="shared" si="98"/>
        <v>1</v>
      </c>
    </row>
    <row r="1118" spans="1:41" x14ac:dyDescent="0.4">
      <c r="A1118" s="1">
        <v>1</v>
      </c>
      <c r="B1118" s="1" t="s">
        <v>1033</v>
      </c>
      <c r="C1118" s="1" t="s">
        <v>41</v>
      </c>
      <c r="D1118" s="2">
        <v>38855</v>
      </c>
      <c r="E1118" s="1">
        <v>138</v>
      </c>
      <c r="F1118" s="1">
        <v>8.6999999999999993</v>
      </c>
      <c r="G1118" s="3">
        <v>0.40936342592592595</v>
      </c>
      <c r="H1118" s="3">
        <v>0.41084490740740742</v>
      </c>
      <c r="I1118" s="3">
        <v>1.4814814814814725E-3</v>
      </c>
      <c r="J1118" s="3">
        <v>1.0416666666673846E-4</v>
      </c>
      <c r="K1118" s="5">
        <f t="shared" si="97"/>
        <v>9</v>
      </c>
      <c r="L1118" s="3">
        <v>1.6087962962962887E-3</v>
      </c>
      <c r="N1118" s="1" t="s">
        <v>251</v>
      </c>
      <c r="O1118" s="1" t="s">
        <v>286</v>
      </c>
      <c r="P1118" s="1" t="s">
        <v>227</v>
      </c>
      <c r="Q1118" s="1" t="s">
        <v>76</v>
      </c>
      <c r="S1118" s="1" t="s">
        <v>46</v>
      </c>
      <c r="T1118" s="1" t="s">
        <v>76</v>
      </c>
      <c r="U1118" s="1" t="s">
        <v>156</v>
      </c>
      <c r="AB1118" s="1" t="s">
        <v>93</v>
      </c>
      <c r="AC1118" s="1">
        <v>1</v>
      </c>
      <c r="AF1118" s="1" t="s">
        <v>84</v>
      </c>
      <c r="AG1118" s="1" t="s">
        <v>1139</v>
      </c>
      <c r="AI1118" s="1" t="s">
        <v>255</v>
      </c>
      <c r="AK1118" s="1" t="s">
        <v>61</v>
      </c>
      <c r="AL1118" s="1" t="s">
        <v>61</v>
      </c>
      <c r="AM1118" s="1">
        <v>2</v>
      </c>
      <c r="AN1118" s="1">
        <v>0</v>
      </c>
      <c r="AO1118" s="1">
        <f t="shared" si="98"/>
        <v>2</v>
      </c>
    </row>
    <row r="1119" spans="1:41" x14ac:dyDescent="0.4">
      <c r="A1119" s="1">
        <v>1</v>
      </c>
      <c r="B1119" s="1" t="s">
        <v>1033</v>
      </c>
      <c r="C1119" s="1" t="s">
        <v>41</v>
      </c>
      <c r="D1119" s="2">
        <v>38855</v>
      </c>
      <c r="E1119" s="1">
        <v>138</v>
      </c>
      <c r="F1119" s="1">
        <v>8.8000000000000007</v>
      </c>
      <c r="G1119" s="3">
        <v>0.41245370370370371</v>
      </c>
      <c r="H1119" s="3">
        <v>0.41309027777777779</v>
      </c>
      <c r="I1119" s="3">
        <v>6.3657407407408106E-4</v>
      </c>
      <c r="J1119" s="3">
        <v>8.1018518518549687E-5</v>
      </c>
      <c r="K1119" s="5">
        <f t="shared" si="97"/>
        <v>7</v>
      </c>
      <c r="L1119" s="3">
        <v>7.766203703703678E-3</v>
      </c>
      <c r="N1119" s="1" t="s">
        <v>251</v>
      </c>
      <c r="O1119" s="1" t="s">
        <v>286</v>
      </c>
      <c r="P1119" s="1" t="s">
        <v>227</v>
      </c>
      <c r="Q1119" s="1" t="s">
        <v>76</v>
      </c>
      <c r="S1119" s="1" t="s">
        <v>46</v>
      </c>
      <c r="T1119" s="1" t="s">
        <v>76</v>
      </c>
      <c r="U1119" s="1" t="s">
        <v>156</v>
      </c>
      <c r="AB1119" s="1" t="s">
        <v>93</v>
      </c>
      <c r="AC1119" s="1">
        <v>1</v>
      </c>
      <c r="AI1119" s="1" t="s">
        <v>255</v>
      </c>
      <c r="AK1119" s="1" t="s">
        <v>86</v>
      </c>
      <c r="AL1119" s="1" t="s">
        <v>87</v>
      </c>
      <c r="AN1119" s="1">
        <v>1</v>
      </c>
      <c r="AO1119" s="1">
        <f t="shared" si="98"/>
        <v>1</v>
      </c>
    </row>
    <row r="1120" spans="1:41" x14ac:dyDescent="0.4">
      <c r="A1120" s="1">
        <v>1</v>
      </c>
      <c r="B1120" s="1" t="s">
        <v>1033</v>
      </c>
      <c r="C1120" s="1" t="s">
        <v>41</v>
      </c>
      <c r="D1120" s="2">
        <v>38855</v>
      </c>
      <c r="E1120" s="1">
        <v>138</v>
      </c>
      <c r="F1120" s="1">
        <v>10</v>
      </c>
      <c r="G1120" s="3">
        <v>0.42085648148148147</v>
      </c>
      <c r="H1120" s="3">
        <v>0.42127314814814815</v>
      </c>
      <c r="I1120" s="3">
        <v>4.1666666666667629E-4</v>
      </c>
      <c r="J1120" s="3">
        <v>4.1666666666667629E-4</v>
      </c>
      <c r="K1120" s="5">
        <f t="shared" si="97"/>
        <v>36</v>
      </c>
      <c r="L1120" s="3">
        <v>8.9120370370371349E-4</v>
      </c>
      <c r="N1120" s="1" t="s">
        <v>251</v>
      </c>
      <c r="O1120" s="1" t="s">
        <v>286</v>
      </c>
      <c r="P1120" s="1" t="s">
        <v>227</v>
      </c>
      <c r="Q1120" s="1" t="s">
        <v>76</v>
      </c>
      <c r="S1120" s="1" t="s">
        <v>46</v>
      </c>
      <c r="T1120" s="1" t="s">
        <v>45</v>
      </c>
      <c r="U1120" s="1" t="s">
        <v>92</v>
      </c>
      <c r="V1120" s="1" t="s">
        <v>102</v>
      </c>
      <c r="W1120" s="1" t="s">
        <v>184</v>
      </c>
      <c r="X1120" s="1" t="s">
        <v>96</v>
      </c>
      <c r="Y1120" s="1" t="s">
        <v>415</v>
      </c>
      <c r="Z1120" s="1" t="s">
        <v>416</v>
      </c>
      <c r="AA1120" s="1">
        <v>44</v>
      </c>
      <c r="AB1120" s="1" t="s">
        <v>417</v>
      </c>
      <c r="AC1120" s="1">
        <v>0</v>
      </c>
      <c r="AD1120" s="1" t="s">
        <v>105</v>
      </c>
      <c r="AE1120" s="1" t="s">
        <v>70</v>
      </c>
      <c r="AG1120" s="1" t="s">
        <v>1140</v>
      </c>
      <c r="AH1120" s="1" t="s">
        <v>157</v>
      </c>
      <c r="AI1120" s="1" t="s">
        <v>253</v>
      </c>
      <c r="AK1120" s="1" t="s">
        <v>86</v>
      </c>
      <c r="AL1120" s="1" t="s">
        <v>87</v>
      </c>
      <c r="AM1120" s="1">
        <v>3</v>
      </c>
      <c r="AN1120" s="1">
        <v>0</v>
      </c>
      <c r="AO1120" s="1">
        <f t="shared" si="98"/>
        <v>3</v>
      </c>
    </row>
    <row r="1121" spans="1:41" x14ac:dyDescent="0.4">
      <c r="A1121" s="1">
        <v>1</v>
      </c>
      <c r="B1121" s="1" t="s">
        <v>1033</v>
      </c>
      <c r="C1121" s="1" t="s">
        <v>41</v>
      </c>
      <c r="D1121" s="2">
        <v>38855</v>
      </c>
      <c r="E1121" s="1">
        <v>138</v>
      </c>
      <c r="F1121" s="1">
        <v>11</v>
      </c>
      <c r="G1121" s="3">
        <v>0.42216435185185186</v>
      </c>
      <c r="H1121" s="3">
        <v>0.42980324074074078</v>
      </c>
      <c r="I1121" s="3">
        <v>7.6388888888889173E-3</v>
      </c>
      <c r="J1121" s="3">
        <v>9.0277777777786339E-4</v>
      </c>
      <c r="K1121" s="5">
        <f t="shared" si="97"/>
        <v>78</v>
      </c>
      <c r="L1121" s="3">
        <v>1.284722222222201E-3</v>
      </c>
      <c r="N1121" s="1" t="s">
        <v>251</v>
      </c>
      <c r="O1121" s="1" t="s">
        <v>286</v>
      </c>
      <c r="P1121" s="1" t="s">
        <v>227</v>
      </c>
      <c r="Q1121" s="1" t="s">
        <v>76</v>
      </c>
      <c r="S1121" s="1" t="s">
        <v>46</v>
      </c>
      <c r="T1121" s="1" t="s">
        <v>45</v>
      </c>
      <c r="U1121" s="1" t="s">
        <v>92</v>
      </c>
      <c r="V1121" s="1" t="s">
        <v>102</v>
      </c>
      <c r="W1121" s="1" t="s">
        <v>433</v>
      </c>
      <c r="X1121" s="1" t="s">
        <v>96</v>
      </c>
      <c r="Y1121" s="1" t="s">
        <v>1095</v>
      </c>
      <c r="Z1121" s="1" t="s">
        <v>1096</v>
      </c>
      <c r="AA1121" s="1" t="s">
        <v>1097</v>
      </c>
      <c r="AB1121" s="1" t="s">
        <v>1098</v>
      </c>
      <c r="AC1121" s="1">
        <v>0</v>
      </c>
      <c r="AD1121" s="1" t="s">
        <v>1099</v>
      </c>
      <c r="AE1121" s="1" t="s">
        <v>70</v>
      </c>
      <c r="AG1121" s="1" t="s">
        <v>1140</v>
      </c>
      <c r="AI1121" s="1" t="s">
        <v>253</v>
      </c>
      <c r="AK1121" s="1" t="s">
        <v>61</v>
      </c>
      <c r="AL1121" s="1" t="s">
        <v>61</v>
      </c>
      <c r="AM1121" s="1">
        <v>3</v>
      </c>
      <c r="AN1121" s="1">
        <v>0</v>
      </c>
      <c r="AO1121" s="1">
        <f t="shared" si="98"/>
        <v>3</v>
      </c>
    </row>
    <row r="1122" spans="1:41" x14ac:dyDescent="0.4">
      <c r="A1122" s="1">
        <v>1</v>
      </c>
      <c r="B1122" s="1" t="s">
        <v>1033</v>
      </c>
      <c r="C1122" s="1" t="s">
        <v>41</v>
      </c>
      <c r="D1122" s="2">
        <v>38855</v>
      </c>
      <c r="E1122" s="1">
        <v>138</v>
      </c>
      <c r="F1122" s="1">
        <v>11.5</v>
      </c>
      <c r="G1122" s="3">
        <v>0.43108796296296298</v>
      </c>
      <c r="H1122" s="3">
        <v>0.43329861111111106</v>
      </c>
      <c r="I1122" s="3">
        <v>2.2106481481480866E-3</v>
      </c>
      <c r="J1122" s="3">
        <v>3.9351851851848751E-4</v>
      </c>
      <c r="K1122" s="5">
        <f t="shared" si="97"/>
        <v>34</v>
      </c>
      <c r="L1122" s="3">
        <v>1.5625000000000777E-3</v>
      </c>
      <c r="N1122" s="1" t="s">
        <v>251</v>
      </c>
      <c r="O1122" s="1" t="s">
        <v>286</v>
      </c>
      <c r="P1122" s="1" t="s">
        <v>227</v>
      </c>
      <c r="Q1122" s="1" t="s">
        <v>76</v>
      </c>
      <c r="S1122" s="1" t="s">
        <v>46</v>
      </c>
      <c r="T1122" s="1" t="s">
        <v>45</v>
      </c>
      <c r="U1122" s="1" t="s">
        <v>66</v>
      </c>
      <c r="V1122" s="1" t="s">
        <v>67</v>
      </c>
      <c r="W1122" s="1" t="s">
        <v>68</v>
      </c>
      <c r="Y1122" s="1" t="s">
        <v>68</v>
      </c>
      <c r="AB1122" s="1" t="s">
        <v>69</v>
      </c>
      <c r="AC1122" s="1">
        <v>0</v>
      </c>
      <c r="AD1122" s="1" t="s">
        <v>68</v>
      </c>
      <c r="AE1122" s="1" t="s">
        <v>70</v>
      </c>
      <c r="AF1122" s="1" t="s">
        <v>153</v>
      </c>
      <c r="AG1122" s="1" t="s">
        <v>1140</v>
      </c>
      <c r="AI1122" s="1" t="s">
        <v>257</v>
      </c>
      <c r="AK1122" s="1" t="s">
        <v>61</v>
      </c>
      <c r="AL1122" s="1" t="s">
        <v>61</v>
      </c>
      <c r="AM1122" s="1">
        <v>3</v>
      </c>
      <c r="AN1122" s="1">
        <v>0</v>
      </c>
      <c r="AO1122" s="1">
        <f t="shared" si="98"/>
        <v>3</v>
      </c>
    </row>
    <row r="1123" spans="1:41" x14ac:dyDescent="0.4">
      <c r="A1123" s="1">
        <v>1</v>
      </c>
      <c r="B1123" s="1" t="s">
        <v>1033</v>
      </c>
      <c r="C1123" s="1" t="s">
        <v>41</v>
      </c>
      <c r="D1123" s="2">
        <v>38855</v>
      </c>
      <c r="E1123" s="1">
        <v>138</v>
      </c>
      <c r="F1123" s="1">
        <v>12</v>
      </c>
      <c r="G1123" s="3">
        <v>0.43486111111111114</v>
      </c>
      <c r="H1123" s="3">
        <v>0.44189814814814815</v>
      </c>
      <c r="I1123" s="3">
        <v>7.0370370370370083E-3</v>
      </c>
      <c r="J1123" s="3">
        <v>2.1759259259259145E-3</v>
      </c>
      <c r="K1123" s="5">
        <f t="shared" si="97"/>
        <v>188</v>
      </c>
      <c r="L1123" s="3">
        <v>2.8009259259259567E-3</v>
      </c>
      <c r="N1123" s="1" t="s">
        <v>42</v>
      </c>
      <c r="O1123" s="1" t="s">
        <v>286</v>
      </c>
      <c r="P1123" s="1" t="s">
        <v>227</v>
      </c>
      <c r="Q1123" s="1" t="s">
        <v>76</v>
      </c>
      <c r="S1123" s="1" t="s">
        <v>46</v>
      </c>
      <c r="T1123" s="1" t="s">
        <v>45</v>
      </c>
      <c r="U1123" s="1" t="s">
        <v>156</v>
      </c>
      <c r="V1123" s="1" t="s">
        <v>102</v>
      </c>
      <c r="W1123" s="1" t="s">
        <v>433</v>
      </c>
      <c r="X1123" s="1" t="s">
        <v>96</v>
      </c>
      <c r="Y1123" s="1" t="s">
        <v>1095</v>
      </c>
      <c r="Z1123" s="1" t="s">
        <v>1096</v>
      </c>
      <c r="AA1123" s="1" t="s">
        <v>1097</v>
      </c>
      <c r="AB1123" s="1" t="s">
        <v>1098</v>
      </c>
      <c r="AC1123" s="1">
        <v>0</v>
      </c>
      <c r="AD1123" s="1" t="s">
        <v>1099</v>
      </c>
      <c r="AE1123" s="1" t="s">
        <v>70</v>
      </c>
      <c r="AG1123" s="1" t="s">
        <v>1141</v>
      </c>
      <c r="AI1123" s="1" t="s">
        <v>75</v>
      </c>
      <c r="AK1123" s="1" t="s">
        <v>86</v>
      </c>
      <c r="AL1123" s="1" t="s">
        <v>87</v>
      </c>
      <c r="AM1123" s="1">
        <v>1</v>
      </c>
      <c r="AN1123" s="1">
        <v>0</v>
      </c>
      <c r="AO1123" s="1">
        <f t="shared" si="98"/>
        <v>1</v>
      </c>
    </row>
    <row r="1124" spans="1:41" x14ac:dyDescent="0.4">
      <c r="A1124" s="1">
        <v>1</v>
      </c>
      <c r="B1124" s="1" t="s">
        <v>1033</v>
      </c>
      <c r="C1124" s="1" t="s">
        <v>41</v>
      </c>
      <c r="D1124" s="2">
        <v>38855</v>
      </c>
      <c r="E1124" s="1">
        <v>138</v>
      </c>
      <c r="F1124" s="1">
        <v>13</v>
      </c>
      <c r="G1124" s="3">
        <v>0.44469907407407411</v>
      </c>
      <c r="H1124" s="3">
        <v>0.44653935185185184</v>
      </c>
      <c r="I1124" s="3">
        <v>1.8402777777777324E-3</v>
      </c>
      <c r="J1124" s="3">
        <v>1.0300925925925131E-3</v>
      </c>
      <c r="K1124" s="5">
        <f t="shared" si="97"/>
        <v>89</v>
      </c>
      <c r="L1124" s="3">
        <v>2.766203703703729E-3</v>
      </c>
      <c r="N1124" s="1" t="s">
        <v>42</v>
      </c>
      <c r="O1124" s="1" t="s">
        <v>286</v>
      </c>
      <c r="P1124" s="1" t="s">
        <v>227</v>
      </c>
      <c r="Q1124" s="1" t="s">
        <v>45</v>
      </c>
      <c r="S1124" s="1" t="s">
        <v>46</v>
      </c>
      <c r="T1124" s="1" t="s">
        <v>45</v>
      </c>
      <c r="U1124" s="1" t="s">
        <v>156</v>
      </c>
      <c r="V1124" s="1" t="s">
        <v>102</v>
      </c>
      <c r="W1124" s="1" t="s">
        <v>433</v>
      </c>
      <c r="X1124" s="1" t="s">
        <v>96</v>
      </c>
      <c r="Y1124" s="1" t="s">
        <v>1095</v>
      </c>
      <c r="Z1124" s="1" t="s">
        <v>1096</v>
      </c>
      <c r="AA1124" s="1" t="s">
        <v>1097</v>
      </c>
      <c r="AB1124" s="1" t="s">
        <v>1098</v>
      </c>
      <c r="AC1124" s="1">
        <v>0</v>
      </c>
      <c r="AD1124" s="1" t="s">
        <v>1099</v>
      </c>
      <c r="AE1124" s="1" t="s">
        <v>70</v>
      </c>
      <c r="AG1124" s="1" t="s">
        <v>1142</v>
      </c>
      <c r="AI1124" s="1" t="s">
        <v>75</v>
      </c>
      <c r="AK1124" s="1" t="s">
        <v>61</v>
      </c>
      <c r="AL1124" s="1" t="s">
        <v>61</v>
      </c>
      <c r="AM1124" s="1">
        <v>3</v>
      </c>
      <c r="AN1124" s="1">
        <v>0</v>
      </c>
      <c r="AO1124" s="1">
        <f t="shared" si="98"/>
        <v>3</v>
      </c>
    </row>
    <row r="1125" spans="1:41" x14ac:dyDescent="0.4">
      <c r="A1125" s="1">
        <v>1</v>
      </c>
      <c r="B1125" s="1" t="s">
        <v>1033</v>
      </c>
      <c r="C1125" s="1" t="s">
        <v>41</v>
      </c>
      <c r="D1125" s="2">
        <v>38855</v>
      </c>
      <c r="E1125" s="1">
        <v>138</v>
      </c>
      <c r="F1125" s="1">
        <v>14</v>
      </c>
      <c r="G1125" s="3">
        <v>0.44930555555555557</v>
      </c>
      <c r="H1125" s="3">
        <v>0.45077546296296295</v>
      </c>
      <c r="I1125" s="3">
        <v>1.4699074074073781E-3</v>
      </c>
      <c r="J1125" s="3">
        <v>1.2499999999999734E-3</v>
      </c>
      <c r="K1125" s="5">
        <f t="shared" si="97"/>
        <v>108</v>
      </c>
      <c r="L1125" s="3">
        <v>0.11642361111111116</v>
      </c>
      <c r="N1125" s="1" t="s">
        <v>42</v>
      </c>
      <c r="O1125" s="1" t="s">
        <v>286</v>
      </c>
      <c r="P1125" s="1" t="s">
        <v>227</v>
      </c>
      <c r="Q1125" s="1" t="s">
        <v>76</v>
      </c>
      <c r="S1125" s="1" t="s">
        <v>46</v>
      </c>
      <c r="T1125" s="1" t="s">
        <v>47</v>
      </c>
      <c r="U1125" s="1" t="s">
        <v>156</v>
      </c>
      <c r="V1125" s="1" t="s">
        <v>102</v>
      </c>
      <c r="W1125" s="1" t="s">
        <v>103</v>
      </c>
      <c r="X1125" s="1" t="s">
        <v>96</v>
      </c>
      <c r="Y1125" s="1" t="s">
        <v>52</v>
      </c>
      <c r="AB1125" s="1" t="s">
        <v>225</v>
      </c>
      <c r="AC1125" s="1">
        <v>0</v>
      </c>
      <c r="AD1125" s="1" t="s">
        <v>105</v>
      </c>
      <c r="AE1125" s="1" t="s">
        <v>70</v>
      </c>
      <c r="AG1125" s="1" t="s">
        <v>1143</v>
      </c>
      <c r="AH1125" s="1" t="s">
        <v>157</v>
      </c>
      <c r="AI1125" s="1" t="s">
        <v>75</v>
      </c>
      <c r="AK1125" s="1" t="s">
        <v>86</v>
      </c>
      <c r="AL1125" s="1" t="s">
        <v>133</v>
      </c>
      <c r="AM1125" s="1">
        <v>1</v>
      </c>
      <c r="AN1125" s="1">
        <v>0</v>
      </c>
      <c r="AO1125" s="1">
        <f t="shared" si="98"/>
        <v>1</v>
      </c>
    </row>
    <row r="1126" spans="1:41" x14ac:dyDescent="0.4">
      <c r="A1126" s="1">
        <v>1</v>
      </c>
      <c r="B1126" s="1" t="s">
        <v>1033</v>
      </c>
      <c r="C1126" s="1" t="s">
        <v>41</v>
      </c>
      <c r="D1126" s="2">
        <v>38855</v>
      </c>
      <c r="E1126" s="1">
        <v>138</v>
      </c>
      <c r="F1126" s="1">
        <v>15</v>
      </c>
      <c r="G1126" s="3">
        <v>0.56719907407407411</v>
      </c>
      <c r="H1126" s="3">
        <v>0.56802083333333331</v>
      </c>
      <c r="I1126" s="3">
        <v>8.2175925925920268E-4</v>
      </c>
      <c r="J1126" s="3">
        <v>5.7870370370360913E-4</v>
      </c>
      <c r="K1126" s="5">
        <f t="shared" si="97"/>
        <v>50</v>
      </c>
      <c r="L1126" s="3">
        <v>8.3912037037037202E-3</v>
      </c>
      <c r="N1126" s="1" t="s">
        <v>42</v>
      </c>
      <c r="O1126" s="1" t="s">
        <v>286</v>
      </c>
      <c r="P1126" s="1" t="s">
        <v>227</v>
      </c>
      <c r="Q1126" s="1" t="s">
        <v>76</v>
      </c>
      <c r="S1126" s="1" t="s">
        <v>46</v>
      </c>
      <c r="T1126" s="1" t="s">
        <v>45</v>
      </c>
      <c r="U1126" s="1" t="s">
        <v>48</v>
      </c>
      <c r="V1126" s="1" t="s">
        <v>102</v>
      </c>
      <c r="W1126" s="1" t="s">
        <v>433</v>
      </c>
      <c r="X1126" s="1" t="s">
        <v>96</v>
      </c>
      <c r="Y1126" s="1" t="s">
        <v>1095</v>
      </c>
      <c r="Z1126" s="1" t="s">
        <v>1096</v>
      </c>
      <c r="AA1126" s="1" t="s">
        <v>1097</v>
      </c>
      <c r="AB1126" s="1" t="s">
        <v>1098</v>
      </c>
      <c r="AC1126" s="1">
        <v>0</v>
      </c>
      <c r="AD1126" s="1" t="s">
        <v>1099</v>
      </c>
      <c r="AE1126" s="1" t="s">
        <v>70</v>
      </c>
      <c r="AG1126" s="1" t="s">
        <v>1144</v>
      </c>
      <c r="AI1126" s="1" t="s">
        <v>60</v>
      </c>
      <c r="AK1126" s="1" t="s">
        <v>61</v>
      </c>
      <c r="AL1126" s="1" t="s">
        <v>61</v>
      </c>
      <c r="AM1126" s="1">
        <v>2</v>
      </c>
      <c r="AN1126" s="1">
        <v>0</v>
      </c>
      <c r="AO1126" s="1">
        <f t="shared" si="98"/>
        <v>2</v>
      </c>
    </row>
    <row r="1127" spans="1:41" x14ac:dyDescent="0.4">
      <c r="A1127" s="1">
        <v>1</v>
      </c>
      <c r="B1127" s="1" t="s">
        <v>1033</v>
      </c>
      <c r="C1127" s="1" t="s">
        <v>41</v>
      </c>
      <c r="D1127" s="2">
        <v>38855</v>
      </c>
      <c r="E1127" s="1">
        <v>138</v>
      </c>
      <c r="F1127" s="1">
        <v>15.5</v>
      </c>
      <c r="G1127" s="3">
        <v>0.57641203703703703</v>
      </c>
      <c r="H1127" s="3">
        <v>0.57645833333333341</v>
      </c>
      <c r="I1127" s="3">
        <v>4.6296296296377548E-5</v>
      </c>
      <c r="J1127" s="3">
        <v>4.6296296296377548E-5</v>
      </c>
      <c r="K1127" s="5">
        <f t="shared" si="97"/>
        <v>4</v>
      </c>
      <c r="L1127" s="3">
        <v>3.1134259259257835E-3</v>
      </c>
      <c r="N1127" s="1" t="s">
        <v>42</v>
      </c>
      <c r="O1127" s="1" t="s">
        <v>286</v>
      </c>
      <c r="P1127" s="1" t="s">
        <v>227</v>
      </c>
      <c r="Q1127" s="1" t="s">
        <v>76</v>
      </c>
      <c r="S1127" s="1" t="s">
        <v>46</v>
      </c>
      <c r="T1127" s="1" t="s">
        <v>45</v>
      </c>
      <c r="U1127" s="1" t="s">
        <v>66</v>
      </c>
      <c r="AB1127" s="1" t="s">
        <v>93</v>
      </c>
      <c r="AC1127" s="1">
        <v>1</v>
      </c>
      <c r="AG1127" s="1" t="s">
        <v>1094</v>
      </c>
      <c r="AI1127" s="1" t="s">
        <v>71</v>
      </c>
      <c r="AK1127" s="1" t="s">
        <v>86</v>
      </c>
      <c r="AL1127" s="1" t="s">
        <v>87</v>
      </c>
      <c r="AM1127" s="1">
        <v>4</v>
      </c>
      <c r="AN1127" s="1">
        <v>0</v>
      </c>
      <c r="AO1127" s="1">
        <f t="shared" si="98"/>
        <v>4</v>
      </c>
    </row>
    <row r="1128" spans="1:41" x14ac:dyDescent="0.4">
      <c r="A1128" s="1">
        <v>1</v>
      </c>
      <c r="B1128" s="1" t="s">
        <v>1033</v>
      </c>
      <c r="C1128" s="1" t="s">
        <v>41</v>
      </c>
      <c r="D1128" s="2">
        <v>38855</v>
      </c>
      <c r="E1128" s="1">
        <v>138</v>
      </c>
      <c r="F1128" s="1">
        <v>16</v>
      </c>
      <c r="G1128" s="3">
        <v>0.57957175925925919</v>
      </c>
      <c r="H1128" s="3">
        <v>0.58986111111111106</v>
      </c>
      <c r="I1128" s="3">
        <v>1.0289351851851869E-2</v>
      </c>
      <c r="J1128" s="3">
        <v>1.0289351851851869E-2</v>
      </c>
      <c r="K1128" s="5">
        <f t="shared" si="97"/>
        <v>889</v>
      </c>
      <c r="L1128" s="3">
        <v>2.9722222222222205E-2</v>
      </c>
      <c r="N1128" s="1" t="s">
        <v>42</v>
      </c>
      <c r="O1128" s="1" t="s">
        <v>286</v>
      </c>
      <c r="P1128" s="1" t="s">
        <v>227</v>
      </c>
      <c r="Q1128" s="1" t="s">
        <v>76</v>
      </c>
      <c r="S1128" s="1" t="s">
        <v>46</v>
      </c>
      <c r="T1128" s="1" t="s">
        <v>45</v>
      </c>
      <c r="U1128" s="1" t="s">
        <v>66</v>
      </c>
      <c r="V1128" s="1" t="s">
        <v>49</v>
      </c>
      <c r="W1128" s="1" t="s">
        <v>439</v>
      </c>
      <c r="X1128" s="1" t="s">
        <v>440</v>
      </c>
      <c r="Y1128" s="1" t="s">
        <v>441</v>
      </c>
      <c r="Z1128" s="1" t="s">
        <v>442</v>
      </c>
      <c r="AA1128" s="1" t="s">
        <v>443</v>
      </c>
      <c r="AB1128" s="1" t="s">
        <v>444</v>
      </c>
      <c r="AC1128" s="1">
        <v>0</v>
      </c>
      <c r="AD1128" s="1" t="s">
        <v>56</v>
      </c>
      <c r="AE1128" s="1" t="s">
        <v>83</v>
      </c>
      <c r="AF1128" s="1" t="s">
        <v>113</v>
      </c>
      <c r="AG1128" s="1" t="s">
        <v>1145</v>
      </c>
      <c r="AH1128" s="1" t="s">
        <v>115</v>
      </c>
      <c r="AI1128" s="1" t="s">
        <v>71</v>
      </c>
      <c r="AK1128" s="1" t="s">
        <v>116</v>
      </c>
      <c r="AL1128" s="1" t="s">
        <v>174</v>
      </c>
      <c r="AM1128" s="1">
        <v>4</v>
      </c>
      <c r="AN1128" s="1">
        <v>0</v>
      </c>
      <c r="AO1128" s="1">
        <f t="shared" si="98"/>
        <v>4</v>
      </c>
    </row>
    <row r="1129" spans="1:41" x14ac:dyDescent="0.4">
      <c r="A1129" s="1">
        <v>1</v>
      </c>
      <c r="B1129" s="1" t="s">
        <v>1033</v>
      </c>
      <c r="C1129" s="1" t="s">
        <v>41</v>
      </c>
      <c r="D1129" s="2">
        <v>38855</v>
      </c>
      <c r="E1129" s="1">
        <v>138</v>
      </c>
      <c r="F1129" s="1">
        <v>17</v>
      </c>
      <c r="G1129" s="3">
        <v>0.61958333333333326</v>
      </c>
      <c r="H1129" s="3">
        <v>0.63273148148148151</v>
      </c>
      <c r="I1129" s="3">
        <v>1.3148148148148242E-2</v>
      </c>
      <c r="J1129" s="3">
        <v>8.7615740740741854E-3</v>
      </c>
      <c r="K1129" s="5">
        <f t="shared" si="97"/>
        <v>757</v>
      </c>
      <c r="L1129" s="3">
        <v>7.7546296296295836E-3</v>
      </c>
      <c r="N1129" s="1" t="s">
        <v>75</v>
      </c>
      <c r="O1129" s="1" t="s">
        <v>286</v>
      </c>
      <c r="P1129" s="1" t="s">
        <v>227</v>
      </c>
      <c r="Q1129" s="1" t="s">
        <v>76</v>
      </c>
      <c r="S1129" s="1" t="s">
        <v>46</v>
      </c>
      <c r="T1129" s="1" t="s">
        <v>47</v>
      </c>
      <c r="U1129" s="1" t="s">
        <v>66</v>
      </c>
      <c r="V1129" s="1" t="s">
        <v>102</v>
      </c>
      <c r="W1129" s="1" t="s">
        <v>433</v>
      </c>
      <c r="X1129" s="1" t="s">
        <v>96</v>
      </c>
      <c r="Y1129" s="1" t="s">
        <v>1095</v>
      </c>
      <c r="Z1129" s="1" t="s">
        <v>1096</v>
      </c>
      <c r="AA1129" s="1" t="s">
        <v>1097</v>
      </c>
      <c r="AB1129" s="1" t="s">
        <v>1098</v>
      </c>
      <c r="AC1129" s="1">
        <v>0</v>
      </c>
      <c r="AD1129" s="1" t="s">
        <v>1099</v>
      </c>
      <c r="AE1129" s="1" t="s">
        <v>70</v>
      </c>
      <c r="AF1129" s="1" t="s">
        <v>113</v>
      </c>
      <c r="AG1129" s="1" t="s">
        <v>1051</v>
      </c>
      <c r="AI1129" s="1" t="s">
        <v>75</v>
      </c>
      <c r="AK1129" s="1" t="s">
        <v>116</v>
      </c>
      <c r="AL1129" s="1" t="s">
        <v>117</v>
      </c>
      <c r="AM1129" s="1">
        <v>3</v>
      </c>
      <c r="AN1129" s="1">
        <v>0</v>
      </c>
      <c r="AO1129" s="1">
        <f t="shared" si="98"/>
        <v>3</v>
      </c>
    </row>
    <row r="1130" spans="1:41" x14ac:dyDescent="0.4">
      <c r="A1130" s="1">
        <v>1</v>
      </c>
      <c r="B1130" s="1" t="s">
        <v>1033</v>
      </c>
      <c r="C1130" s="1" t="s">
        <v>41</v>
      </c>
      <c r="D1130" s="2">
        <v>38855</v>
      </c>
      <c r="E1130" s="1">
        <v>138</v>
      </c>
      <c r="F1130" s="1">
        <v>18</v>
      </c>
      <c r="G1130" s="3">
        <v>0.64048611111111109</v>
      </c>
      <c r="H1130" s="3">
        <v>0.64105324074074077</v>
      </c>
      <c r="I1130" s="3">
        <v>5.6712962962968128E-4</v>
      </c>
      <c r="J1130" s="3">
        <v>5.6712962962968128E-4</v>
      </c>
      <c r="K1130" s="5">
        <f t="shared" si="97"/>
        <v>49</v>
      </c>
      <c r="L1130" s="3">
        <v>9.6759259259259212E-3</v>
      </c>
      <c r="N1130" s="1" t="s">
        <v>42</v>
      </c>
      <c r="O1130" s="1" t="s">
        <v>286</v>
      </c>
      <c r="P1130" s="1" t="s">
        <v>227</v>
      </c>
      <c r="Q1130" s="1" t="s">
        <v>76</v>
      </c>
      <c r="S1130" s="1" t="s">
        <v>46</v>
      </c>
      <c r="T1130" s="1" t="s">
        <v>47</v>
      </c>
      <c r="U1130" s="1" t="s">
        <v>66</v>
      </c>
      <c r="V1130" s="1" t="s">
        <v>49</v>
      </c>
      <c r="W1130" s="1" t="s">
        <v>77</v>
      </c>
      <c r="X1130" s="1" t="s">
        <v>177</v>
      </c>
      <c r="Y1130" s="1" t="s">
        <v>239</v>
      </c>
      <c r="Z1130" s="1" t="s">
        <v>240</v>
      </c>
      <c r="AA1130" s="1" t="s">
        <v>241</v>
      </c>
      <c r="AB1130" s="1" t="s">
        <v>242</v>
      </c>
      <c r="AC1130" s="1">
        <v>0</v>
      </c>
      <c r="AD1130" s="1" t="s">
        <v>105</v>
      </c>
      <c r="AE1130" s="1" t="s">
        <v>181</v>
      </c>
      <c r="AG1130" s="1" t="s">
        <v>1112</v>
      </c>
      <c r="AH1130" s="1" t="s">
        <v>115</v>
      </c>
      <c r="AI1130" s="1" t="s">
        <v>71</v>
      </c>
      <c r="AK1130" s="1" t="s">
        <v>86</v>
      </c>
      <c r="AL1130" s="1" t="s">
        <v>87</v>
      </c>
      <c r="AM1130" s="1">
        <v>3</v>
      </c>
      <c r="AN1130" s="1">
        <v>0</v>
      </c>
      <c r="AO1130" s="1">
        <f t="shared" si="98"/>
        <v>3</v>
      </c>
    </row>
    <row r="1131" spans="1:41" x14ac:dyDescent="0.4">
      <c r="A1131" s="1">
        <v>1</v>
      </c>
      <c r="B1131" s="1" t="s">
        <v>1033</v>
      </c>
      <c r="C1131" s="1" t="s">
        <v>41</v>
      </c>
      <c r="D1131" s="2">
        <v>38855</v>
      </c>
      <c r="E1131" s="1">
        <v>138</v>
      </c>
      <c r="F1131" s="1">
        <v>19</v>
      </c>
      <c r="G1131" s="3">
        <v>0.65072916666666669</v>
      </c>
      <c r="H1131" s="3">
        <v>0.65416666666666667</v>
      </c>
      <c r="I1131" s="3">
        <v>3.4374999999999822E-3</v>
      </c>
      <c r="J1131" s="3">
        <v>1.8865740740741099E-3</v>
      </c>
      <c r="K1131" s="5">
        <f t="shared" si="97"/>
        <v>163</v>
      </c>
      <c r="L1131" s="3">
        <v>1.678240740740744E-3</v>
      </c>
      <c r="N1131" s="1" t="s">
        <v>42</v>
      </c>
      <c r="O1131" s="1" t="s">
        <v>286</v>
      </c>
      <c r="P1131" s="1" t="s">
        <v>227</v>
      </c>
      <c r="Q1131" s="1" t="s">
        <v>76</v>
      </c>
      <c r="S1131" s="1" t="s">
        <v>46</v>
      </c>
      <c r="T1131" s="1" t="s">
        <v>47</v>
      </c>
      <c r="U1131" s="1" t="s">
        <v>156</v>
      </c>
      <c r="V1131" s="1" t="s">
        <v>102</v>
      </c>
      <c r="W1131" s="1" t="s">
        <v>433</v>
      </c>
      <c r="X1131" s="1" t="s">
        <v>96</v>
      </c>
      <c r="Y1131" s="1" t="s">
        <v>1095</v>
      </c>
      <c r="Z1131" s="1" t="s">
        <v>1096</v>
      </c>
      <c r="AA1131" s="1" t="s">
        <v>1097</v>
      </c>
      <c r="AB1131" s="1" t="s">
        <v>1098</v>
      </c>
      <c r="AC1131" s="1">
        <v>0</v>
      </c>
      <c r="AD1131" s="1" t="s">
        <v>1099</v>
      </c>
      <c r="AE1131" s="1" t="s">
        <v>70</v>
      </c>
      <c r="AF1131" s="1" t="s">
        <v>84</v>
      </c>
      <c r="AG1131" s="1" t="s">
        <v>1112</v>
      </c>
      <c r="AI1131" s="1" t="s">
        <v>75</v>
      </c>
      <c r="AJ1131" s="1" t="s">
        <v>147</v>
      </c>
      <c r="AK1131" s="1" t="s">
        <v>86</v>
      </c>
      <c r="AL1131" s="1" t="s">
        <v>87</v>
      </c>
      <c r="AM1131" s="1">
        <v>3</v>
      </c>
      <c r="AN1131" s="1">
        <v>0</v>
      </c>
      <c r="AO1131" s="1">
        <f t="shared" si="98"/>
        <v>3</v>
      </c>
    </row>
    <row r="1132" spans="1:41" x14ac:dyDescent="0.4">
      <c r="A1132" s="1">
        <v>1</v>
      </c>
      <c r="B1132" s="1" t="s">
        <v>1033</v>
      </c>
      <c r="C1132" s="1" t="s">
        <v>41</v>
      </c>
      <c r="D1132" s="2">
        <v>38855</v>
      </c>
      <c r="E1132" s="1">
        <v>138</v>
      </c>
      <c r="F1132" s="1">
        <v>19.5</v>
      </c>
      <c r="G1132" s="3">
        <v>0.65584490740740742</v>
      </c>
      <c r="H1132" s="3">
        <v>0.6569328703703704</v>
      </c>
      <c r="I1132" s="3">
        <v>1.087962962962985E-3</v>
      </c>
      <c r="J1132" s="3">
        <v>5.7870370370305402E-5</v>
      </c>
      <c r="K1132" s="5">
        <f t="shared" si="97"/>
        <v>5</v>
      </c>
      <c r="L1132" s="3">
        <v>1.012731481481477E-2</v>
      </c>
      <c r="N1132" s="1" t="s">
        <v>42</v>
      </c>
      <c r="O1132" s="1" t="s">
        <v>286</v>
      </c>
      <c r="P1132" s="1" t="s">
        <v>227</v>
      </c>
      <c r="Q1132" s="1" t="s">
        <v>76</v>
      </c>
      <c r="S1132" s="1" t="s">
        <v>46</v>
      </c>
      <c r="AB1132" s="1" t="s">
        <v>93</v>
      </c>
      <c r="AC1132" s="1">
        <v>1</v>
      </c>
      <c r="AF1132" s="1" t="s">
        <v>113</v>
      </c>
      <c r="AG1132" s="1" t="s">
        <v>1146</v>
      </c>
      <c r="AK1132" s="1" t="s">
        <v>61</v>
      </c>
      <c r="AL1132" s="1" t="s">
        <v>61</v>
      </c>
      <c r="AM1132" s="1">
        <v>1</v>
      </c>
      <c r="AN1132" s="1">
        <v>0</v>
      </c>
      <c r="AO1132" s="1">
        <f t="shared" si="98"/>
        <v>1</v>
      </c>
    </row>
    <row r="1133" spans="1:41" x14ac:dyDescent="0.4">
      <c r="A1133" s="1">
        <v>1</v>
      </c>
      <c r="B1133" s="1" t="s">
        <v>1033</v>
      </c>
      <c r="C1133" s="1" t="s">
        <v>41</v>
      </c>
      <c r="D1133" s="2">
        <v>38855</v>
      </c>
      <c r="E1133" s="1">
        <v>138</v>
      </c>
      <c r="F1133" s="1">
        <v>20</v>
      </c>
      <c r="G1133" s="3">
        <v>0.66706018518518517</v>
      </c>
      <c r="H1133" s="3">
        <v>0.67045138888888889</v>
      </c>
      <c r="I1133" s="3">
        <v>3.3912037037037157E-3</v>
      </c>
      <c r="J1133" s="3">
        <v>3.3912037037037157E-3</v>
      </c>
      <c r="K1133" s="5">
        <f t="shared" si="97"/>
        <v>293</v>
      </c>
      <c r="L1133" s="3">
        <v>6.921296296296231E-3</v>
      </c>
      <c r="N1133" s="1" t="s">
        <v>42</v>
      </c>
      <c r="O1133" s="1" t="s">
        <v>286</v>
      </c>
      <c r="P1133" s="1" t="s">
        <v>227</v>
      </c>
      <c r="Q1133" s="1" t="s">
        <v>76</v>
      </c>
      <c r="S1133" s="1" t="s">
        <v>46</v>
      </c>
      <c r="T1133" s="1" t="s">
        <v>47</v>
      </c>
      <c r="U1133" s="1" t="s">
        <v>66</v>
      </c>
      <c r="V1133" s="1" t="s">
        <v>49</v>
      </c>
      <c r="W1133" s="1" t="s">
        <v>168</v>
      </c>
      <c r="X1133" s="1" t="s">
        <v>96</v>
      </c>
      <c r="AB1133" s="1" t="s">
        <v>258</v>
      </c>
      <c r="AC1133" s="1">
        <v>0</v>
      </c>
      <c r="AD1133" s="1" t="s">
        <v>105</v>
      </c>
      <c r="AE1133" s="1" t="s">
        <v>70</v>
      </c>
      <c r="AF1133" s="1" t="s">
        <v>113</v>
      </c>
      <c r="AG1133" s="1" t="s">
        <v>1147</v>
      </c>
      <c r="AH1133" s="1" t="s">
        <v>157</v>
      </c>
      <c r="AI1133" s="1" t="s">
        <v>71</v>
      </c>
      <c r="AK1133" s="1" t="s">
        <v>86</v>
      </c>
      <c r="AL1133" s="1" t="s">
        <v>87</v>
      </c>
      <c r="AM1133" s="1">
        <v>3</v>
      </c>
      <c r="AN1133" s="1">
        <v>0</v>
      </c>
      <c r="AO1133" s="1">
        <f t="shared" si="98"/>
        <v>3</v>
      </c>
    </row>
    <row r="1134" spans="1:41" x14ac:dyDescent="0.4">
      <c r="A1134" s="1">
        <v>1</v>
      </c>
      <c r="B1134" s="1" t="s">
        <v>1033</v>
      </c>
      <c r="C1134" s="1" t="s">
        <v>41</v>
      </c>
      <c r="D1134" s="2">
        <v>38855</v>
      </c>
      <c r="E1134" s="1">
        <v>138</v>
      </c>
      <c r="F1134" s="1">
        <v>21</v>
      </c>
      <c r="G1134" s="3">
        <v>0.67737268518518512</v>
      </c>
      <c r="H1134" s="3">
        <v>0.6787037037037037</v>
      </c>
      <c r="I1134" s="3">
        <v>1.3310185185185786E-3</v>
      </c>
      <c r="J1134" s="3">
        <v>1.1458333333335124E-3</v>
      </c>
      <c r="K1134" s="5">
        <f t="shared" si="97"/>
        <v>99</v>
      </c>
      <c r="L1134" s="3">
        <v>1.2731481481480511E-3</v>
      </c>
      <c r="N1134" s="1" t="s">
        <v>42</v>
      </c>
      <c r="O1134" s="1" t="s">
        <v>286</v>
      </c>
      <c r="P1134" s="1" t="s">
        <v>227</v>
      </c>
      <c r="Q1134" s="1" t="s">
        <v>76</v>
      </c>
      <c r="S1134" s="1" t="s">
        <v>46</v>
      </c>
      <c r="T1134" s="1" t="s">
        <v>47</v>
      </c>
      <c r="U1134" s="1" t="s">
        <v>156</v>
      </c>
      <c r="V1134" s="1" t="s">
        <v>102</v>
      </c>
      <c r="W1134" s="1" t="s">
        <v>433</v>
      </c>
      <c r="X1134" s="1" t="s">
        <v>96</v>
      </c>
      <c r="Y1134" s="1" t="s">
        <v>1095</v>
      </c>
      <c r="Z1134" s="1" t="s">
        <v>1096</v>
      </c>
      <c r="AA1134" s="1" t="s">
        <v>1097</v>
      </c>
      <c r="AB1134" s="1" t="s">
        <v>1098</v>
      </c>
      <c r="AC1134" s="1">
        <v>0</v>
      </c>
      <c r="AD1134" s="1" t="s">
        <v>1099</v>
      </c>
      <c r="AE1134" s="1" t="s">
        <v>70</v>
      </c>
      <c r="AF1134" s="1" t="s">
        <v>113</v>
      </c>
      <c r="AG1134" s="1" t="s">
        <v>1147</v>
      </c>
      <c r="AI1134" s="1" t="s">
        <v>75</v>
      </c>
      <c r="AK1134" s="1" t="s">
        <v>116</v>
      </c>
      <c r="AL1134" s="1" t="s">
        <v>117</v>
      </c>
      <c r="AM1134" s="1">
        <v>3</v>
      </c>
      <c r="AN1134" s="1">
        <v>0</v>
      </c>
      <c r="AO1134" s="1">
        <f t="shared" si="98"/>
        <v>3</v>
      </c>
    </row>
    <row r="1135" spans="1:41" x14ac:dyDescent="0.4">
      <c r="A1135" s="1">
        <v>1</v>
      </c>
      <c r="B1135" s="1" t="s">
        <v>1033</v>
      </c>
      <c r="C1135" s="1" t="s">
        <v>41</v>
      </c>
      <c r="D1135" s="2">
        <v>38855</v>
      </c>
      <c r="E1135" s="1">
        <v>138</v>
      </c>
      <c r="F1135" s="1">
        <v>22</v>
      </c>
      <c r="G1135" s="3">
        <v>0.67997685185185175</v>
      </c>
      <c r="H1135" s="3">
        <v>0.6825</v>
      </c>
      <c r="I1135" s="3">
        <v>2.5231481481482465E-3</v>
      </c>
      <c r="J1135" s="3">
        <v>1.4467592592594114E-3</v>
      </c>
      <c r="K1135" s="5">
        <f t="shared" si="97"/>
        <v>125</v>
      </c>
      <c r="L1135" s="3" t="s">
        <v>120</v>
      </c>
      <c r="N1135" s="1" t="s">
        <v>42</v>
      </c>
      <c r="O1135" s="1" t="s">
        <v>286</v>
      </c>
      <c r="P1135" s="1" t="s">
        <v>227</v>
      </c>
      <c r="Q1135" s="1" t="s">
        <v>45</v>
      </c>
      <c r="S1135" s="1" t="s">
        <v>46</v>
      </c>
      <c r="T1135" s="1" t="s">
        <v>45</v>
      </c>
      <c r="U1135" s="1" t="s">
        <v>66</v>
      </c>
      <c r="V1135" s="1" t="s">
        <v>102</v>
      </c>
      <c r="W1135" s="1" t="s">
        <v>103</v>
      </c>
      <c r="X1135" s="1" t="s">
        <v>96</v>
      </c>
      <c r="Y1135" s="1">
        <v>49</v>
      </c>
      <c r="AB1135" s="1" t="s">
        <v>1148</v>
      </c>
      <c r="AC1135" s="1">
        <v>0</v>
      </c>
      <c r="AD1135" s="1" t="s">
        <v>105</v>
      </c>
      <c r="AE1135" s="1" t="s">
        <v>70</v>
      </c>
      <c r="AG1135" s="1" t="s">
        <v>1149</v>
      </c>
      <c r="AH1135" s="1" t="s">
        <v>157</v>
      </c>
      <c r="AI1135" s="1" t="s">
        <v>71</v>
      </c>
      <c r="AK1135" s="1" t="s">
        <v>116</v>
      </c>
      <c r="AL1135" s="1" t="s">
        <v>117</v>
      </c>
      <c r="AM1135" s="1">
        <v>1</v>
      </c>
      <c r="AN1135" s="1">
        <v>0</v>
      </c>
      <c r="AO1135" s="1">
        <f t="shared" si="98"/>
        <v>1</v>
      </c>
    </row>
    <row r="1136" spans="1:41" x14ac:dyDescent="0.4">
      <c r="A1136" s="1">
        <v>1</v>
      </c>
      <c r="B1136" s="1" t="s">
        <v>1033</v>
      </c>
      <c r="C1136" s="1" t="s">
        <v>41</v>
      </c>
      <c r="D1136" s="2">
        <v>38859</v>
      </c>
      <c r="E1136" s="1">
        <v>142</v>
      </c>
      <c r="F1136" s="1">
        <v>1.3</v>
      </c>
      <c r="G1136" s="3">
        <v>0.49178240740740736</v>
      </c>
      <c r="H1136" s="3">
        <v>0.49313657407407407</v>
      </c>
      <c r="I1136" s="3">
        <v>1.3541666666667118E-3</v>
      </c>
      <c r="J1136" s="3">
        <v>1.3888888888896611E-4</v>
      </c>
      <c r="K1136" s="5">
        <f t="shared" si="97"/>
        <v>12</v>
      </c>
      <c r="L1136" s="3">
        <v>1.5509259259259278E-2</v>
      </c>
      <c r="N1136" s="1" t="s">
        <v>75</v>
      </c>
      <c r="O1136" s="1" t="s">
        <v>286</v>
      </c>
      <c r="P1136" s="1" t="s">
        <v>227</v>
      </c>
      <c r="Q1136" s="1" t="s">
        <v>76</v>
      </c>
      <c r="S1136" s="1" t="s">
        <v>46</v>
      </c>
      <c r="T1136" s="1" t="s">
        <v>45</v>
      </c>
      <c r="U1136" s="1" t="s">
        <v>66</v>
      </c>
      <c r="V1136" s="1" t="s">
        <v>102</v>
      </c>
      <c r="W1136" s="1" t="s">
        <v>433</v>
      </c>
      <c r="X1136" s="1" t="s">
        <v>96</v>
      </c>
      <c r="Y1136" s="1" t="s">
        <v>1095</v>
      </c>
      <c r="Z1136" s="1" t="s">
        <v>1096</v>
      </c>
      <c r="AA1136" s="1" t="s">
        <v>1097</v>
      </c>
      <c r="AB1136" s="1" t="s">
        <v>1098</v>
      </c>
      <c r="AC1136" s="1">
        <v>0</v>
      </c>
      <c r="AD1136" s="1" t="s">
        <v>1099</v>
      </c>
      <c r="AE1136" s="1" t="s">
        <v>70</v>
      </c>
      <c r="AF1136" s="1" t="s">
        <v>113</v>
      </c>
      <c r="AG1136" s="1" t="s">
        <v>1086</v>
      </c>
      <c r="AI1136" s="1" t="s">
        <v>75</v>
      </c>
      <c r="AK1136" s="1" t="s">
        <v>86</v>
      </c>
      <c r="AL1136" s="1" t="s">
        <v>87</v>
      </c>
      <c r="AM1136" s="1">
        <v>4</v>
      </c>
      <c r="AN1136" s="1">
        <v>0</v>
      </c>
      <c r="AO1136" s="1">
        <f t="shared" si="98"/>
        <v>4</v>
      </c>
    </row>
    <row r="1137" spans="1:41" x14ac:dyDescent="0.4">
      <c r="A1137" s="1">
        <v>1</v>
      </c>
      <c r="B1137" s="1" t="s">
        <v>1033</v>
      </c>
      <c r="C1137" s="1" t="s">
        <v>41</v>
      </c>
      <c r="D1137" s="2">
        <v>38859</v>
      </c>
      <c r="E1137" s="1">
        <v>142</v>
      </c>
      <c r="F1137" s="1">
        <v>2</v>
      </c>
      <c r="G1137" s="3">
        <v>0.50864583333333335</v>
      </c>
      <c r="H1137" s="3">
        <v>0.50937500000000002</v>
      </c>
      <c r="I1137" s="3">
        <v>7.2916666666666963E-4</v>
      </c>
      <c r="J1137" s="3">
        <v>5.7870370370372015E-4</v>
      </c>
      <c r="K1137" s="5">
        <f t="shared" si="97"/>
        <v>50</v>
      </c>
      <c r="L1137" s="3">
        <v>5.424768518518519E-2</v>
      </c>
      <c r="N1137" s="1" t="s">
        <v>90</v>
      </c>
      <c r="O1137" s="1" t="s">
        <v>286</v>
      </c>
      <c r="P1137" s="1" t="s">
        <v>227</v>
      </c>
      <c r="Q1137" s="1" t="s">
        <v>132</v>
      </c>
      <c r="S1137" s="1" t="s">
        <v>46</v>
      </c>
      <c r="T1137" s="1" t="s">
        <v>45</v>
      </c>
      <c r="U1137" s="1" t="s">
        <v>66</v>
      </c>
      <c r="V1137" s="1" t="s">
        <v>67</v>
      </c>
      <c r="W1137" s="1" t="s">
        <v>68</v>
      </c>
      <c r="X1137" s="1" t="s">
        <v>96</v>
      </c>
      <c r="Y1137" s="1" t="s">
        <v>421</v>
      </c>
      <c r="AB1137" s="1" t="s">
        <v>422</v>
      </c>
      <c r="AC1137" s="1">
        <v>0</v>
      </c>
      <c r="AD1137" s="1" t="s">
        <v>67</v>
      </c>
      <c r="AE1137" s="1" t="s">
        <v>70</v>
      </c>
      <c r="AH1137" s="1" t="s">
        <v>157</v>
      </c>
      <c r="AI1137" s="1" t="s">
        <v>75</v>
      </c>
      <c r="AK1137" s="1" t="s">
        <v>61</v>
      </c>
      <c r="AL1137" s="1" t="s">
        <v>133</v>
      </c>
      <c r="AN1137" s="1">
        <v>1</v>
      </c>
      <c r="AO1137" s="1">
        <f t="shared" si="98"/>
        <v>1</v>
      </c>
    </row>
    <row r="1138" spans="1:41" x14ac:dyDescent="0.4">
      <c r="A1138" s="1">
        <v>1</v>
      </c>
      <c r="B1138" s="1" t="s">
        <v>1033</v>
      </c>
      <c r="C1138" s="1" t="s">
        <v>41</v>
      </c>
      <c r="D1138" s="2">
        <v>38859</v>
      </c>
      <c r="E1138" s="1">
        <v>142</v>
      </c>
      <c r="F1138" s="1">
        <v>2.5</v>
      </c>
      <c r="G1138" s="3">
        <v>0.56362268518518521</v>
      </c>
      <c r="H1138" s="3">
        <v>0.56487268518518519</v>
      </c>
      <c r="I1138" s="3">
        <v>1.2499999999999734E-3</v>
      </c>
      <c r="J1138" s="3">
        <v>4.5138888888884843E-4</v>
      </c>
      <c r="K1138" s="5">
        <f t="shared" si="97"/>
        <v>39</v>
      </c>
      <c r="L1138" s="3">
        <v>4.0277777777777413E-3</v>
      </c>
      <c r="N1138" s="1" t="s">
        <v>75</v>
      </c>
      <c r="O1138" s="1" t="s">
        <v>286</v>
      </c>
      <c r="P1138" s="1" t="s">
        <v>227</v>
      </c>
      <c r="Q1138" s="1" t="s">
        <v>76</v>
      </c>
      <c r="S1138" s="1" t="s">
        <v>46</v>
      </c>
      <c r="T1138" s="1" t="s">
        <v>45</v>
      </c>
      <c r="U1138" s="1" t="s">
        <v>66</v>
      </c>
      <c r="V1138" s="1" t="s">
        <v>67</v>
      </c>
      <c r="W1138" s="1" t="s">
        <v>68</v>
      </c>
      <c r="Y1138" s="1" t="s">
        <v>68</v>
      </c>
      <c r="AB1138" s="1" t="s">
        <v>69</v>
      </c>
      <c r="AC1138" s="1">
        <v>0</v>
      </c>
      <c r="AD1138" s="1" t="s">
        <v>68</v>
      </c>
      <c r="AE1138" s="1" t="s">
        <v>70</v>
      </c>
      <c r="AG1138" s="1" t="s">
        <v>1145</v>
      </c>
      <c r="AI1138" s="1" t="s">
        <v>75</v>
      </c>
      <c r="AK1138" s="1" t="s">
        <v>86</v>
      </c>
      <c r="AL1138" s="1" t="s">
        <v>87</v>
      </c>
      <c r="AM1138" s="1">
        <v>4</v>
      </c>
      <c r="AN1138" s="1">
        <v>0</v>
      </c>
      <c r="AO1138" s="1">
        <f t="shared" si="98"/>
        <v>4</v>
      </c>
    </row>
    <row r="1139" spans="1:41" x14ac:dyDescent="0.4">
      <c r="A1139" s="1">
        <v>1</v>
      </c>
      <c r="B1139" s="1" t="s">
        <v>1033</v>
      </c>
      <c r="C1139" s="1" t="s">
        <v>41</v>
      </c>
      <c r="D1139" s="2">
        <v>38859</v>
      </c>
      <c r="E1139" s="1">
        <v>142</v>
      </c>
      <c r="F1139" s="1">
        <v>3</v>
      </c>
      <c r="G1139" s="3">
        <v>0.56890046296296293</v>
      </c>
      <c r="H1139" s="3">
        <v>0.58057870370370368</v>
      </c>
      <c r="I1139" s="3">
        <v>1.1678240740740753E-2</v>
      </c>
      <c r="J1139" s="3">
        <v>9.3402777777776835E-3</v>
      </c>
      <c r="K1139" s="5">
        <f t="shared" si="97"/>
        <v>807</v>
      </c>
      <c r="L1139" s="3">
        <v>0</v>
      </c>
      <c r="N1139" s="1" t="s">
        <v>75</v>
      </c>
      <c r="O1139" s="1" t="s">
        <v>286</v>
      </c>
      <c r="P1139" s="1" t="s">
        <v>227</v>
      </c>
      <c r="Q1139" s="1" t="s">
        <v>76</v>
      </c>
      <c r="S1139" s="1" t="s">
        <v>46</v>
      </c>
      <c r="T1139" s="1" t="s">
        <v>45</v>
      </c>
      <c r="U1139" s="1" t="s">
        <v>66</v>
      </c>
      <c r="V1139" s="1" t="s">
        <v>49</v>
      </c>
      <c r="W1139" s="1" t="s">
        <v>439</v>
      </c>
      <c r="X1139" s="1" t="s">
        <v>440</v>
      </c>
      <c r="Y1139" s="1" t="s">
        <v>441</v>
      </c>
      <c r="Z1139" s="1" t="s">
        <v>442</v>
      </c>
      <c r="AA1139" s="1" t="s">
        <v>443</v>
      </c>
      <c r="AB1139" s="1" t="s">
        <v>444</v>
      </c>
      <c r="AC1139" s="1">
        <v>0</v>
      </c>
      <c r="AD1139" s="1" t="s">
        <v>56</v>
      </c>
      <c r="AE1139" s="1" t="s">
        <v>83</v>
      </c>
      <c r="AF1139" s="1" t="s">
        <v>84</v>
      </c>
      <c r="AG1139" s="1" t="s">
        <v>1145</v>
      </c>
      <c r="AH1139" s="1" t="s">
        <v>115</v>
      </c>
      <c r="AI1139" s="1" t="s">
        <v>75</v>
      </c>
      <c r="AK1139" s="1" t="s">
        <v>86</v>
      </c>
      <c r="AL1139" s="1" t="s">
        <v>87</v>
      </c>
      <c r="AM1139" s="1">
        <v>4</v>
      </c>
      <c r="AN1139" s="1">
        <v>0</v>
      </c>
      <c r="AO1139" s="1">
        <f t="shared" si="98"/>
        <v>4</v>
      </c>
    </row>
    <row r="1140" spans="1:41" x14ac:dyDescent="0.4">
      <c r="A1140" s="1">
        <v>1</v>
      </c>
      <c r="B1140" s="1" t="s">
        <v>1033</v>
      </c>
      <c r="C1140" s="1" t="s">
        <v>41</v>
      </c>
      <c r="D1140" s="2">
        <v>38859</v>
      </c>
      <c r="E1140" s="1">
        <v>142</v>
      </c>
      <c r="F1140" s="1">
        <v>4</v>
      </c>
      <c r="G1140" s="3">
        <v>0.58057870370370368</v>
      </c>
      <c r="H1140" s="3">
        <v>0.58646990740740745</v>
      </c>
      <c r="I1140" s="3">
        <v>5.8912037037037734E-3</v>
      </c>
      <c r="J1140" s="3">
        <v>4.247685185185146E-3</v>
      </c>
      <c r="K1140" s="5">
        <f t="shared" si="97"/>
        <v>367</v>
      </c>
      <c r="L1140" s="3">
        <v>3.7152777777778034E-3</v>
      </c>
      <c r="N1140" s="1" t="s">
        <v>75</v>
      </c>
      <c r="O1140" s="1" t="s">
        <v>286</v>
      </c>
      <c r="P1140" s="1" t="s">
        <v>227</v>
      </c>
      <c r="Q1140" s="1" t="s">
        <v>76</v>
      </c>
      <c r="S1140" s="1" t="s">
        <v>46</v>
      </c>
      <c r="T1140" s="1" t="s">
        <v>45</v>
      </c>
      <c r="U1140" s="1" t="s">
        <v>66</v>
      </c>
      <c r="V1140" s="1" t="s">
        <v>102</v>
      </c>
      <c r="W1140" s="1" t="s">
        <v>433</v>
      </c>
      <c r="X1140" s="1" t="s">
        <v>96</v>
      </c>
      <c r="Y1140" s="1" t="s">
        <v>1095</v>
      </c>
      <c r="Z1140" s="1" t="s">
        <v>1096</v>
      </c>
      <c r="AA1140" s="1" t="s">
        <v>1097</v>
      </c>
      <c r="AB1140" s="1" t="s">
        <v>1098</v>
      </c>
      <c r="AC1140" s="1">
        <v>0</v>
      </c>
      <c r="AD1140" s="1" t="s">
        <v>1099</v>
      </c>
      <c r="AE1140" s="1" t="s">
        <v>70</v>
      </c>
      <c r="AG1140" s="1" t="s">
        <v>1145</v>
      </c>
      <c r="AI1140" s="1" t="s">
        <v>75</v>
      </c>
      <c r="AK1140" s="1" t="s">
        <v>86</v>
      </c>
      <c r="AL1140" s="1" t="s">
        <v>87</v>
      </c>
      <c r="AM1140" s="1">
        <v>4</v>
      </c>
      <c r="AN1140" s="1">
        <v>0</v>
      </c>
      <c r="AO1140" s="1">
        <f t="shared" si="98"/>
        <v>4</v>
      </c>
    </row>
    <row r="1141" spans="1:41" x14ac:dyDescent="0.4">
      <c r="A1141" s="1">
        <v>1</v>
      </c>
      <c r="B1141" s="1" t="s">
        <v>1033</v>
      </c>
      <c r="C1141" s="1" t="s">
        <v>41</v>
      </c>
      <c r="D1141" s="2">
        <v>38859</v>
      </c>
      <c r="E1141" s="1">
        <v>142</v>
      </c>
      <c r="F1141" s="1">
        <v>4.5</v>
      </c>
      <c r="G1141" s="3">
        <v>0.59018518518518526</v>
      </c>
      <c r="H1141" s="3">
        <v>0.59055555555555561</v>
      </c>
      <c r="I1141" s="3">
        <v>3.7037037037035425E-4</v>
      </c>
      <c r="J1141" s="3">
        <v>3.7037037037035425E-4</v>
      </c>
      <c r="K1141" s="5">
        <f t="shared" si="97"/>
        <v>32</v>
      </c>
      <c r="L1141" s="3">
        <v>9.7222222222221877E-3</v>
      </c>
      <c r="N1141" s="1" t="s">
        <v>75</v>
      </c>
      <c r="O1141" s="1" t="s">
        <v>286</v>
      </c>
      <c r="P1141" s="1" t="s">
        <v>227</v>
      </c>
      <c r="Q1141" s="1" t="s">
        <v>76</v>
      </c>
      <c r="S1141" s="1" t="s">
        <v>46</v>
      </c>
      <c r="AB1141" s="1" t="s">
        <v>93</v>
      </c>
      <c r="AC1141" s="1">
        <v>1</v>
      </c>
      <c r="AK1141" s="1" t="s">
        <v>86</v>
      </c>
      <c r="AL1141" s="1" t="s">
        <v>86</v>
      </c>
      <c r="AN1141" s="1">
        <v>1</v>
      </c>
      <c r="AO1141" s="1">
        <f t="shared" si="98"/>
        <v>1</v>
      </c>
    </row>
    <row r="1142" spans="1:41" x14ac:dyDescent="0.4">
      <c r="A1142" s="1">
        <v>1</v>
      </c>
      <c r="B1142" s="1" t="s">
        <v>1033</v>
      </c>
      <c r="C1142" s="1" t="s">
        <v>41</v>
      </c>
      <c r="D1142" s="2">
        <v>38859</v>
      </c>
      <c r="E1142" s="1">
        <v>142</v>
      </c>
      <c r="F1142" s="1">
        <v>5.5</v>
      </c>
      <c r="G1142" s="3">
        <v>0.6002777777777778</v>
      </c>
      <c r="H1142" s="3">
        <v>0.60030092592592588</v>
      </c>
      <c r="I1142" s="3">
        <v>2.3148148148077752E-5</v>
      </c>
      <c r="J1142" s="3">
        <v>2.3148148148077752E-5</v>
      </c>
      <c r="K1142" s="5">
        <f t="shared" si="97"/>
        <v>2</v>
      </c>
      <c r="L1142" s="3">
        <v>1.1805555555556291E-3</v>
      </c>
      <c r="N1142" s="1" t="s">
        <v>75</v>
      </c>
      <c r="O1142" s="1" t="s">
        <v>286</v>
      </c>
      <c r="P1142" s="1" t="s">
        <v>227</v>
      </c>
      <c r="Q1142" s="1" t="s">
        <v>76</v>
      </c>
      <c r="S1142" s="1" t="s">
        <v>46</v>
      </c>
      <c r="AB1142" s="1" t="s">
        <v>93</v>
      </c>
      <c r="AC1142" s="1">
        <v>1</v>
      </c>
      <c r="AK1142" s="1" t="s">
        <v>86</v>
      </c>
      <c r="AL1142" s="1" t="s">
        <v>87</v>
      </c>
      <c r="AN1142" s="1">
        <v>1</v>
      </c>
      <c r="AO1142" s="1">
        <f t="shared" si="98"/>
        <v>1</v>
      </c>
    </row>
    <row r="1143" spans="1:41" x14ac:dyDescent="0.4">
      <c r="A1143" s="1">
        <v>1</v>
      </c>
      <c r="B1143" s="1" t="s">
        <v>1033</v>
      </c>
      <c r="C1143" s="1" t="s">
        <v>41</v>
      </c>
      <c r="D1143" s="2">
        <v>38859</v>
      </c>
      <c r="E1143" s="1">
        <v>142</v>
      </c>
      <c r="F1143" s="1">
        <v>6</v>
      </c>
      <c r="G1143" s="3">
        <v>0.60148148148148151</v>
      </c>
      <c r="H1143" s="3">
        <v>0.61087962962962961</v>
      </c>
      <c r="I1143" s="3">
        <v>9.3981481481481E-3</v>
      </c>
      <c r="J1143" s="3">
        <v>4.9074074074074714E-3</v>
      </c>
      <c r="K1143" s="5">
        <f t="shared" si="97"/>
        <v>424</v>
      </c>
      <c r="L1143" s="3">
        <v>0</v>
      </c>
      <c r="N1143" s="1" t="s">
        <v>75</v>
      </c>
      <c r="O1143" s="1" t="s">
        <v>286</v>
      </c>
      <c r="P1143" s="1" t="s">
        <v>227</v>
      </c>
      <c r="Q1143" s="1" t="s">
        <v>76</v>
      </c>
      <c r="S1143" s="1" t="s">
        <v>46</v>
      </c>
      <c r="T1143" s="1" t="s">
        <v>45</v>
      </c>
      <c r="U1143" s="1" t="s">
        <v>66</v>
      </c>
      <c r="V1143" s="1" t="s">
        <v>102</v>
      </c>
      <c r="W1143" s="1" t="s">
        <v>433</v>
      </c>
      <c r="X1143" s="1" t="s">
        <v>96</v>
      </c>
      <c r="Y1143" s="1" t="s">
        <v>1095</v>
      </c>
      <c r="Z1143" s="1" t="s">
        <v>1096</v>
      </c>
      <c r="AA1143" s="1" t="s">
        <v>1097</v>
      </c>
      <c r="AB1143" s="1" t="s">
        <v>1098</v>
      </c>
      <c r="AC1143" s="1">
        <v>0</v>
      </c>
      <c r="AD1143" s="1" t="s">
        <v>1099</v>
      </c>
      <c r="AE1143" s="1" t="s">
        <v>70</v>
      </c>
      <c r="AF1143" s="1" t="s">
        <v>153</v>
      </c>
      <c r="AG1143" s="1" t="s">
        <v>1051</v>
      </c>
      <c r="AI1143" s="1" t="s">
        <v>75</v>
      </c>
      <c r="AK1143" s="1" t="s">
        <v>86</v>
      </c>
      <c r="AL1143" s="1" t="s">
        <v>87</v>
      </c>
      <c r="AM1143" s="1">
        <v>3</v>
      </c>
      <c r="AN1143" s="1">
        <v>0</v>
      </c>
      <c r="AO1143" s="1">
        <f t="shared" si="98"/>
        <v>3</v>
      </c>
    </row>
    <row r="1144" spans="1:41" x14ac:dyDescent="0.4">
      <c r="A1144" s="1">
        <v>1</v>
      </c>
      <c r="B1144" s="1" t="s">
        <v>1033</v>
      </c>
      <c r="C1144" s="1" t="s">
        <v>41</v>
      </c>
      <c r="D1144" s="2">
        <v>38859</v>
      </c>
      <c r="E1144" s="1">
        <v>142</v>
      </c>
      <c r="F1144" s="1">
        <v>7</v>
      </c>
      <c r="G1144" s="3">
        <v>0.61087962962962961</v>
      </c>
      <c r="H1144" s="3">
        <v>0.6138541666666667</v>
      </c>
      <c r="I1144" s="3">
        <v>2.9745370370370949E-3</v>
      </c>
      <c r="J1144" s="3">
        <v>2.9745370370370949E-3</v>
      </c>
      <c r="K1144" s="5">
        <f t="shared" si="97"/>
        <v>257</v>
      </c>
      <c r="L1144" s="3" t="s">
        <v>120</v>
      </c>
      <c r="N1144" s="1" t="s">
        <v>75</v>
      </c>
      <c r="O1144" s="1" t="s">
        <v>286</v>
      </c>
      <c r="P1144" s="1" t="s">
        <v>227</v>
      </c>
      <c r="Q1144" s="1" t="s">
        <v>76</v>
      </c>
      <c r="S1144" s="1" t="s">
        <v>46</v>
      </c>
      <c r="T1144" s="1" t="s">
        <v>76</v>
      </c>
      <c r="U1144" s="1" t="s">
        <v>66</v>
      </c>
      <c r="V1144" s="1" t="s">
        <v>102</v>
      </c>
      <c r="W1144" s="1" t="s">
        <v>433</v>
      </c>
      <c r="X1144" s="1" t="s">
        <v>96</v>
      </c>
      <c r="Y1144" s="1" t="s">
        <v>1095</v>
      </c>
      <c r="Z1144" s="1" t="s">
        <v>1096</v>
      </c>
      <c r="AA1144" s="1" t="s">
        <v>1097</v>
      </c>
      <c r="AB1144" s="1" t="s">
        <v>1098</v>
      </c>
      <c r="AC1144" s="1">
        <v>0</v>
      </c>
      <c r="AD1144" s="1" t="s">
        <v>1099</v>
      </c>
      <c r="AE1144" s="1" t="s">
        <v>70</v>
      </c>
      <c r="AF1144" s="1" t="s">
        <v>84</v>
      </c>
      <c r="AG1144" s="1" t="s">
        <v>1150</v>
      </c>
      <c r="AI1144" s="1" t="s">
        <v>75</v>
      </c>
      <c r="AK1144" s="1" t="s">
        <v>61</v>
      </c>
      <c r="AL1144" s="1" t="s">
        <v>61</v>
      </c>
      <c r="AM1144" s="1">
        <v>4</v>
      </c>
      <c r="AN1144" s="1">
        <v>0</v>
      </c>
      <c r="AO1144" s="1">
        <f t="shared" si="98"/>
        <v>4</v>
      </c>
    </row>
    <row r="1145" spans="1:41" x14ac:dyDescent="0.4">
      <c r="A1145" s="1">
        <v>1</v>
      </c>
      <c r="B1145" s="1" t="s">
        <v>1033</v>
      </c>
      <c r="C1145" s="1" t="s">
        <v>41</v>
      </c>
      <c r="D1145" s="2">
        <v>38901</v>
      </c>
      <c r="E1145" s="1">
        <v>184</v>
      </c>
      <c r="F1145" s="1">
        <v>2</v>
      </c>
      <c r="G1145" s="3">
        <v>0.32388888888888889</v>
      </c>
      <c r="H1145" s="3">
        <v>0.32680555555555557</v>
      </c>
      <c r="I1145" s="3">
        <v>2.9166666666666785E-3</v>
      </c>
      <c r="J1145" s="3">
        <v>2.9166666666666785E-3</v>
      </c>
      <c r="K1145" s="5">
        <f t="shared" si="97"/>
        <v>252</v>
      </c>
      <c r="L1145" s="3">
        <v>8.5648148148148029E-3</v>
      </c>
      <c r="N1145" s="1" t="s">
        <v>42</v>
      </c>
      <c r="O1145" s="1" t="s">
        <v>286</v>
      </c>
      <c r="P1145" s="1" t="s">
        <v>227</v>
      </c>
      <c r="Q1145" s="1" t="s">
        <v>45</v>
      </c>
      <c r="S1145" s="1" t="s">
        <v>46</v>
      </c>
      <c r="T1145" s="1" t="s">
        <v>47</v>
      </c>
      <c r="U1145" s="1" t="s">
        <v>66</v>
      </c>
      <c r="V1145" s="1" t="s">
        <v>102</v>
      </c>
      <c r="W1145" s="1" t="s">
        <v>103</v>
      </c>
      <c r="X1145" s="1" t="s">
        <v>96</v>
      </c>
      <c r="AB1145" s="1" t="s">
        <v>104</v>
      </c>
      <c r="AC1145" s="1">
        <v>0</v>
      </c>
      <c r="AD1145" s="1" t="s">
        <v>105</v>
      </c>
      <c r="AE1145" s="1" t="s">
        <v>70</v>
      </c>
      <c r="AG1145" s="1" t="s">
        <v>1151</v>
      </c>
      <c r="AH1145" s="1" t="s">
        <v>157</v>
      </c>
      <c r="AI1145" s="1" t="s">
        <v>71</v>
      </c>
      <c r="AK1145" s="1" t="s">
        <v>86</v>
      </c>
      <c r="AL1145" s="1" t="s">
        <v>87</v>
      </c>
      <c r="AM1145" s="1">
        <v>1</v>
      </c>
      <c r="AN1145" s="1">
        <v>0</v>
      </c>
      <c r="AO1145" s="1">
        <f t="shared" si="98"/>
        <v>1</v>
      </c>
    </row>
    <row r="1146" spans="1:41" x14ac:dyDescent="0.4">
      <c r="A1146" s="1">
        <v>1</v>
      </c>
      <c r="B1146" s="1" t="s">
        <v>1033</v>
      </c>
      <c r="C1146" s="1" t="s">
        <v>41</v>
      </c>
      <c r="D1146" s="2">
        <v>38901</v>
      </c>
      <c r="E1146" s="1">
        <v>184</v>
      </c>
      <c r="F1146" s="1">
        <v>3</v>
      </c>
      <c r="G1146" s="3">
        <v>0.33537037037037037</v>
      </c>
      <c r="H1146" s="3">
        <v>0.33587962962962964</v>
      </c>
      <c r="I1146" s="3">
        <v>5.0925925925926485E-4</v>
      </c>
      <c r="J1146" s="3">
        <v>5.0925925925926485E-4</v>
      </c>
      <c r="K1146" s="5">
        <f t="shared" si="97"/>
        <v>44</v>
      </c>
      <c r="L1146" s="3">
        <v>4.3171296296296013E-3</v>
      </c>
      <c r="N1146" s="1" t="s">
        <v>42</v>
      </c>
      <c r="O1146" s="1" t="s">
        <v>286</v>
      </c>
      <c r="P1146" s="1" t="s">
        <v>227</v>
      </c>
      <c r="Q1146" s="1" t="s">
        <v>45</v>
      </c>
      <c r="S1146" s="1" t="s">
        <v>46</v>
      </c>
      <c r="T1146" s="1" t="s">
        <v>124</v>
      </c>
      <c r="U1146" s="1" t="s">
        <v>156</v>
      </c>
      <c r="V1146" s="1" t="s">
        <v>67</v>
      </c>
      <c r="W1146" s="1" t="s">
        <v>68</v>
      </c>
      <c r="X1146" s="1" t="s">
        <v>614</v>
      </c>
      <c r="Y1146" s="1" t="s">
        <v>68</v>
      </c>
      <c r="AB1146" s="1" t="s">
        <v>69</v>
      </c>
      <c r="AC1146" s="1">
        <v>0</v>
      </c>
      <c r="AD1146" s="1" t="s">
        <v>68</v>
      </c>
      <c r="AE1146" s="1" t="s">
        <v>70</v>
      </c>
      <c r="AG1146" s="1" t="s">
        <v>1152</v>
      </c>
      <c r="AH1146" s="1" t="s">
        <v>157</v>
      </c>
      <c r="AI1146" s="1" t="s">
        <v>75</v>
      </c>
      <c r="AK1146" s="1" t="s">
        <v>86</v>
      </c>
      <c r="AL1146" s="1" t="s">
        <v>133</v>
      </c>
      <c r="AM1146" s="1">
        <v>5</v>
      </c>
      <c r="AN1146" s="1">
        <v>0</v>
      </c>
      <c r="AO1146" s="1">
        <f t="shared" si="98"/>
        <v>5</v>
      </c>
    </row>
    <row r="1147" spans="1:41" x14ac:dyDescent="0.4">
      <c r="A1147" s="1">
        <v>1</v>
      </c>
      <c r="B1147" s="1" t="s">
        <v>1033</v>
      </c>
      <c r="C1147" s="1" t="s">
        <v>41</v>
      </c>
      <c r="D1147" s="2">
        <v>38901</v>
      </c>
      <c r="E1147" s="1">
        <v>184</v>
      </c>
      <c r="F1147" s="1">
        <v>4</v>
      </c>
      <c r="G1147" s="3">
        <v>0.34019675925925924</v>
      </c>
      <c r="H1147" s="3">
        <v>0.35252314814814811</v>
      </c>
      <c r="I1147" s="3">
        <v>1.2326388888888873E-2</v>
      </c>
      <c r="J1147" s="3">
        <v>1.2326388888888873E-2</v>
      </c>
      <c r="K1147" s="5">
        <f t="shared" si="97"/>
        <v>1065</v>
      </c>
      <c r="L1147" s="3">
        <v>2.5208333333333333E-2</v>
      </c>
      <c r="N1147" s="1" t="s">
        <v>42</v>
      </c>
      <c r="O1147" s="1" t="s">
        <v>286</v>
      </c>
      <c r="P1147" s="1" t="s">
        <v>227</v>
      </c>
      <c r="Q1147" s="1" t="s">
        <v>76</v>
      </c>
      <c r="S1147" s="1" t="s">
        <v>46</v>
      </c>
      <c r="T1147" s="1" t="s">
        <v>47</v>
      </c>
      <c r="U1147" s="1" t="s">
        <v>156</v>
      </c>
      <c r="V1147" s="1" t="s">
        <v>49</v>
      </c>
      <c r="W1147" s="1" t="s">
        <v>50</v>
      </c>
      <c r="X1147" s="1" t="s">
        <v>1153</v>
      </c>
      <c r="Y1147" s="1" t="s">
        <v>1154</v>
      </c>
      <c r="Z1147" s="1" t="s">
        <v>1155</v>
      </c>
      <c r="AA1147" s="1" t="s">
        <v>1156</v>
      </c>
      <c r="AB1147" s="1" t="s">
        <v>1157</v>
      </c>
      <c r="AC1147" s="1">
        <v>0</v>
      </c>
      <c r="AD1147" s="1" t="s">
        <v>56</v>
      </c>
      <c r="AE1147" s="1" t="s">
        <v>70</v>
      </c>
      <c r="AG1147" s="1" t="s">
        <v>1158</v>
      </c>
      <c r="AH1147" s="1" t="s">
        <v>115</v>
      </c>
      <c r="AI1147" s="1" t="s">
        <v>75</v>
      </c>
      <c r="AK1147" s="1" t="s">
        <v>86</v>
      </c>
      <c r="AL1147" s="1" t="s">
        <v>133</v>
      </c>
      <c r="AM1147" s="1">
        <v>6</v>
      </c>
      <c r="AN1147" s="1">
        <v>0</v>
      </c>
      <c r="AO1147" s="1">
        <f t="shared" si="98"/>
        <v>6</v>
      </c>
    </row>
    <row r="1148" spans="1:41" x14ac:dyDescent="0.4">
      <c r="A1148" s="1">
        <v>1</v>
      </c>
      <c r="B1148" s="1" t="s">
        <v>1033</v>
      </c>
      <c r="C1148" s="1" t="s">
        <v>41</v>
      </c>
      <c r="D1148" s="2">
        <v>38901</v>
      </c>
      <c r="E1148" s="1">
        <v>184</v>
      </c>
      <c r="F1148" s="1">
        <v>5</v>
      </c>
      <c r="G1148" s="3">
        <v>0.37773148148148145</v>
      </c>
      <c r="H1148" s="3">
        <v>0.37866898148148148</v>
      </c>
      <c r="I1148" s="3">
        <v>9.3750000000003553E-4</v>
      </c>
      <c r="J1148" s="3">
        <v>3.3564814814818211E-4</v>
      </c>
      <c r="K1148" s="5">
        <f t="shared" si="97"/>
        <v>29</v>
      </c>
      <c r="L1148" s="3">
        <v>2.6504629629630072E-3</v>
      </c>
      <c r="N1148" s="1" t="s">
        <v>251</v>
      </c>
      <c r="O1148" s="1" t="s">
        <v>286</v>
      </c>
      <c r="P1148" s="1" t="s">
        <v>227</v>
      </c>
      <c r="Q1148" s="1" t="s">
        <v>45</v>
      </c>
      <c r="S1148" s="1" t="s">
        <v>46</v>
      </c>
      <c r="T1148" s="1" t="s">
        <v>47</v>
      </c>
      <c r="U1148" s="1" t="s">
        <v>156</v>
      </c>
      <c r="V1148" s="1" t="s">
        <v>102</v>
      </c>
      <c r="W1148" s="1" t="s">
        <v>433</v>
      </c>
      <c r="X1148" s="1" t="s">
        <v>96</v>
      </c>
      <c r="Y1148" s="1" t="s">
        <v>1095</v>
      </c>
      <c r="Z1148" s="1" t="s">
        <v>1096</v>
      </c>
      <c r="AA1148" s="1" t="s">
        <v>1097</v>
      </c>
      <c r="AB1148" s="1" t="s">
        <v>1098</v>
      </c>
      <c r="AC1148" s="1">
        <v>0</v>
      </c>
      <c r="AD1148" s="1" t="s">
        <v>1099</v>
      </c>
      <c r="AE1148" s="1" t="s">
        <v>70</v>
      </c>
      <c r="AG1148" s="1" t="s">
        <v>1115</v>
      </c>
      <c r="AI1148" s="1" t="s">
        <v>255</v>
      </c>
      <c r="AK1148" s="1" t="s">
        <v>86</v>
      </c>
      <c r="AL1148" s="1" t="s">
        <v>133</v>
      </c>
      <c r="AM1148" s="1">
        <v>6</v>
      </c>
      <c r="AN1148" s="1">
        <v>0</v>
      </c>
      <c r="AO1148" s="1">
        <f t="shared" si="98"/>
        <v>6</v>
      </c>
    </row>
    <row r="1149" spans="1:41" x14ac:dyDescent="0.4">
      <c r="A1149" s="1">
        <v>1</v>
      </c>
      <c r="B1149" s="1" t="s">
        <v>1033</v>
      </c>
      <c r="C1149" s="1" t="s">
        <v>41</v>
      </c>
      <c r="D1149" s="2">
        <v>38901</v>
      </c>
      <c r="E1149" s="1">
        <v>184</v>
      </c>
      <c r="F1149" s="1">
        <v>5</v>
      </c>
      <c r="G1149" s="3">
        <v>0.38178240740740743</v>
      </c>
      <c r="H1149" s="3">
        <v>0.38305555555555554</v>
      </c>
      <c r="I1149" s="3">
        <v>1.2731481481481066E-3</v>
      </c>
      <c r="J1149" s="3">
        <v>1.2731481481481066E-3</v>
      </c>
      <c r="K1149" s="5">
        <f t="shared" si="97"/>
        <v>110</v>
      </c>
      <c r="L1149" s="3">
        <v>0</v>
      </c>
      <c r="N1149" s="1" t="s">
        <v>251</v>
      </c>
      <c r="O1149" s="1" t="s">
        <v>286</v>
      </c>
      <c r="P1149" s="1" t="s">
        <v>227</v>
      </c>
      <c r="Q1149" s="1" t="s">
        <v>132</v>
      </c>
      <c r="S1149" s="1" t="s">
        <v>46</v>
      </c>
      <c r="T1149" s="1" t="s">
        <v>47</v>
      </c>
      <c r="U1149" s="1" t="s">
        <v>156</v>
      </c>
      <c r="V1149" s="1" t="s">
        <v>102</v>
      </c>
      <c r="W1149" s="1" t="s">
        <v>433</v>
      </c>
      <c r="X1149" s="1" t="s">
        <v>96</v>
      </c>
      <c r="Y1149" s="1" t="s">
        <v>1095</v>
      </c>
      <c r="Z1149" s="1" t="s">
        <v>1096</v>
      </c>
      <c r="AA1149" s="1" t="s">
        <v>1097</v>
      </c>
      <c r="AB1149" s="1" t="s">
        <v>1098</v>
      </c>
      <c r="AC1149" s="1">
        <v>0</v>
      </c>
      <c r="AD1149" s="1" t="s">
        <v>1099</v>
      </c>
      <c r="AE1149" s="1" t="s">
        <v>70</v>
      </c>
      <c r="AG1149" s="1" t="s">
        <v>1115</v>
      </c>
      <c r="AI1149" s="1" t="s">
        <v>255</v>
      </c>
      <c r="AK1149" s="1" t="s">
        <v>86</v>
      </c>
      <c r="AL1149" s="1" t="s">
        <v>133</v>
      </c>
      <c r="AM1149" s="1">
        <v>6</v>
      </c>
      <c r="AN1149" s="1">
        <v>0</v>
      </c>
      <c r="AO1149" s="1">
        <f t="shared" si="98"/>
        <v>6</v>
      </c>
    </row>
    <row r="1150" spans="1:41" x14ac:dyDescent="0.4">
      <c r="A1150" s="1">
        <v>1</v>
      </c>
      <c r="B1150" s="1" t="s">
        <v>1033</v>
      </c>
      <c r="C1150" s="1" t="s">
        <v>41</v>
      </c>
      <c r="D1150" s="2">
        <v>38901</v>
      </c>
      <c r="E1150" s="1">
        <v>184</v>
      </c>
      <c r="F1150" s="1">
        <v>6</v>
      </c>
      <c r="G1150" s="3">
        <v>0.38131944444444449</v>
      </c>
      <c r="H1150" s="3">
        <v>0.38178240740740743</v>
      </c>
      <c r="I1150" s="3">
        <v>4.6296296296294281E-4</v>
      </c>
      <c r="J1150" s="3">
        <v>4.6296296296294281E-4</v>
      </c>
      <c r="K1150" s="5">
        <f t="shared" si="97"/>
        <v>40</v>
      </c>
      <c r="L1150" s="3">
        <v>0</v>
      </c>
      <c r="N1150" s="1" t="s">
        <v>251</v>
      </c>
      <c r="O1150" s="1" t="s">
        <v>286</v>
      </c>
      <c r="P1150" s="1" t="s">
        <v>227</v>
      </c>
      <c r="Q1150" s="1" t="s">
        <v>132</v>
      </c>
      <c r="S1150" s="1" t="s">
        <v>46</v>
      </c>
      <c r="T1150" s="1" t="s">
        <v>47</v>
      </c>
      <c r="U1150" s="1" t="s">
        <v>156</v>
      </c>
      <c r="V1150" s="1" t="s">
        <v>102</v>
      </c>
      <c r="W1150" s="1" t="s">
        <v>103</v>
      </c>
      <c r="X1150" s="1" t="s">
        <v>96</v>
      </c>
      <c r="AB1150" s="1" t="s">
        <v>104</v>
      </c>
      <c r="AC1150" s="1">
        <v>0</v>
      </c>
      <c r="AD1150" s="1" t="s">
        <v>105</v>
      </c>
      <c r="AE1150" s="1" t="s">
        <v>70</v>
      </c>
      <c r="AG1150" s="1" t="s">
        <v>1115</v>
      </c>
      <c r="AH1150" s="1" t="s">
        <v>157</v>
      </c>
      <c r="AI1150" s="1" t="s">
        <v>255</v>
      </c>
      <c r="AK1150" s="1" t="s">
        <v>86</v>
      </c>
      <c r="AL1150" s="1" t="s">
        <v>133</v>
      </c>
      <c r="AM1150" s="1">
        <v>6</v>
      </c>
      <c r="AN1150" s="1">
        <v>0</v>
      </c>
      <c r="AO1150" s="1">
        <f t="shared" si="98"/>
        <v>6</v>
      </c>
    </row>
    <row r="1151" spans="1:41" x14ac:dyDescent="0.4">
      <c r="A1151" s="1">
        <v>1</v>
      </c>
      <c r="B1151" s="1" t="s">
        <v>1033</v>
      </c>
      <c r="C1151" s="1" t="s">
        <v>41</v>
      </c>
      <c r="D1151" s="2">
        <v>38901</v>
      </c>
      <c r="E1151" s="1">
        <v>184</v>
      </c>
      <c r="F1151" s="1">
        <v>6</v>
      </c>
      <c r="G1151" s="3">
        <v>0.38305555555555554</v>
      </c>
      <c r="H1151" s="3">
        <v>0.38339120370370372</v>
      </c>
      <c r="I1151" s="3">
        <v>3.3564814814818211E-4</v>
      </c>
      <c r="J1151" s="3">
        <v>3.3564814814818211E-4</v>
      </c>
      <c r="K1151" s="5">
        <f t="shared" si="97"/>
        <v>29</v>
      </c>
      <c r="L1151" s="3">
        <v>9.0277777777775237E-4</v>
      </c>
      <c r="N1151" s="1" t="s">
        <v>251</v>
      </c>
      <c r="O1151" s="1" t="s">
        <v>286</v>
      </c>
      <c r="P1151" s="1" t="s">
        <v>227</v>
      </c>
      <c r="Q1151" s="1" t="s">
        <v>132</v>
      </c>
      <c r="S1151" s="1" t="s">
        <v>46</v>
      </c>
      <c r="T1151" s="1" t="s">
        <v>47</v>
      </c>
      <c r="U1151" s="1" t="s">
        <v>156</v>
      </c>
      <c r="V1151" s="1" t="s">
        <v>102</v>
      </c>
      <c r="W1151" s="1" t="s">
        <v>103</v>
      </c>
      <c r="X1151" s="1" t="s">
        <v>96</v>
      </c>
      <c r="AB1151" s="1" t="s">
        <v>104</v>
      </c>
      <c r="AC1151" s="1">
        <v>0</v>
      </c>
      <c r="AD1151" s="1" t="s">
        <v>105</v>
      </c>
      <c r="AE1151" s="1" t="s">
        <v>70</v>
      </c>
      <c r="AG1151" s="1" t="s">
        <v>1115</v>
      </c>
      <c r="AH1151" s="1" t="s">
        <v>157</v>
      </c>
      <c r="AI1151" s="1" t="s">
        <v>255</v>
      </c>
      <c r="AK1151" s="1" t="s">
        <v>61</v>
      </c>
      <c r="AL1151" s="1" t="s">
        <v>61</v>
      </c>
      <c r="AM1151" s="1">
        <v>6</v>
      </c>
      <c r="AN1151" s="1">
        <v>0</v>
      </c>
      <c r="AO1151" s="1">
        <f t="shared" si="98"/>
        <v>6</v>
      </c>
    </row>
    <row r="1152" spans="1:41" x14ac:dyDescent="0.4">
      <c r="A1152" s="1">
        <v>1</v>
      </c>
      <c r="B1152" s="1" t="s">
        <v>1033</v>
      </c>
      <c r="C1152" s="1" t="s">
        <v>41</v>
      </c>
      <c r="D1152" s="2">
        <v>38901</v>
      </c>
      <c r="E1152" s="1">
        <v>184</v>
      </c>
      <c r="F1152" s="1">
        <v>6.5</v>
      </c>
      <c r="G1152" s="3">
        <v>0.38429398148148147</v>
      </c>
      <c r="H1152" s="3">
        <v>0.38482638888888893</v>
      </c>
      <c r="I1152" s="3">
        <v>5.3240740740745363E-4</v>
      </c>
      <c r="J1152" s="3">
        <v>5.3240740740745363E-4</v>
      </c>
      <c r="K1152" s="5">
        <f t="shared" si="97"/>
        <v>46</v>
      </c>
      <c r="L1152" s="3">
        <v>5.0219907407407338E-2</v>
      </c>
      <c r="N1152" s="1" t="s">
        <v>251</v>
      </c>
      <c r="O1152" s="1" t="s">
        <v>286</v>
      </c>
      <c r="P1152" s="1" t="s">
        <v>227</v>
      </c>
      <c r="Q1152" s="1" t="s">
        <v>132</v>
      </c>
      <c r="S1152" s="1" t="s">
        <v>46</v>
      </c>
      <c r="T1152" s="1" t="s">
        <v>47</v>
      </c>
      <c r="U1152" s="1" t="s">
        <v>156</v>
      </c>
      <c r="X1152" s="1" t="s">
        <v>614</v>
      </c>
      <c r="AB1152" s="1" t="s">
        <v>93</v>
      </c>
      <c r="AC1152" s="1">
        <v>1</v>
      </c>
      <c r="AE1152" s="1" t="s">
        <v>57</v>
      </c>
      <c r="AG1152" s="1" t="s">
        <v>1115</v>
      </c>
      <c r="AI1152" s="1" t="s">
        <v>255</v>
      </c>
      <c r="AK1152" s="1" t="s">
        <v>61</v>
      </c>
      <c r="AL1152" s="1" t="s">
        <v>61</v>
      </c>
      <c r="AM1152" s="1">
        <v>6</v>
      </c>
      <c r="AN1152" s="1">
        <v>0</v>
      </c>
      <c r="AO1152" s="1">
        <f t="shared" si="98"/>
        <v>6</v>
      </c>
    </row>
    <row r="1153" spans="1:41" x14ac:dyDescent="0.4">
      <c r="A1153" s="1">
        <v>1</v>
      </c>
      <c r="B1153" s="1" t="s">
        <v>1033</v>
      </c>
      <c r="C1153" s="1" t="s">
        <v>41</v>
      </c>
      <c r="D1153" s="2">
        <v>38901</v>
      </c>
      <c r="E1153" s="1">
        <v>184</v>
      </c>
      <c r="F1153" s="1">
        <v>7</v>
      </c>
      <c r="G1153" s="3">
        <v>0.43504629629629626</v>
      </c>
      <c r="H1153" s="3">
        <v>0.43792824074074077</v>
      </c>
      <c r="I1153" s="3">
        <v>2.8819444444445064E-3</v>
      </c>
      <c r="J1153" s="3">
        <v>2.2916666666667473E-3</v>
      </c>
      <c r="K1153" s="5">
        <f t="shared" si="97"/>
        <v>198</v>
      </c>
      <c r="L1153" s="3">
        <v>3.2291666666666163E-3</v>
      </c>
      <c r="N1153" s="1" t="s">
        <v>42</v>
      </c>
      <c r="O1153" s="1" t="s">
        <v>286</v>
      </c>
      <c r="P1153" s="1" t="s">
        <v>227</v>
      </c>
      <c r="Q1153" s="1" t="s">
        <v>45</v>
      </c>
      <c r="S1153" s="1" t="s">
        <v>46</v>
      </c>
      <c r="T1153" s="1" t="s">
        <v>45</v>
      </c>
      <c r="U1153" s="1" t="s">
        <v>66</v>
      </c>
      <c r="V1153" s="1" t="s">
        <v>102</v>
      </c>
      <c r="W1153" s="1" t="s">
        <v>433</v>
      </c>
      <c r="X1153" s="1" t="s">
        <v>96</v>
      </c>
      <c r="Y1153" s="1" t="s">
        <v>1095</v>
      </c>
      <c r="Z1153" s="1" t="s">
        <v>1096</v>
      </c>
      <c r="AA1153" s="1" t="s">
        <v>1097</v>
      </c>
      <c r="AB1153" s="1" t="s">
        <v>1098</v>
      </c>
      <c r="AC1153" s="1">
        <v>0</v>
      </c>
      <c r="AD1153" s="1" t="s">
        <v>1099</v>
      </c>
      <c r="AE1153" s="1" t="s">
        <v>70</v>
      </c>
      <c r="AG1153" s="1" t="s">
        <v>1159</v>
      </c>
      <c r="AI1153" s="1" t="s">
        <v>71</v>
      </c>
      <c r="AK1153" s="1" t="s">
        <v>86</v>
      </c>
      <c r="AL1153" s="1" t="s">
        <v>87</v>
      </c>
      <c r="AM1153" s="1">
        <v>3</v>
      </c>
      <c r="AN1153" s="1">
        <v>0</v>
      </c>
      <c r="AO1153" s="1">
        <f t="shared" si="98"/>
        <v>3</v>
      </c>
    </row>
    <row r="1154" spans="1:41" x14ac:dyDescent="0.4">
      <c r="A1154" s="1">
        <v>1</v>
      </c>
      <c r="B1154" s="1" t="s">
        <v>1033</v>
      </c>
      <c r="C1154" s="1" t="s">
        <v>41</v>
      </c>
      <c r="D1154" s="2">
        <v>38901</v>
      </c>
      <c r="E1154" s="1">
        <v>184</v>
      </c>
      <c r="F1154" s="1">
        <v>8</v>
      </c>
      <c r="G1154" s="3">
        <v>0.44115740740740739</v>
      </c>
      <c r="H1154" s="3">
        <v>0.44203703703703701</v>
      </c>
      <c r="I1154" s="3">
        <v>8.796296296296191E-4</v>
      </c>
      <c r="J1154" s="3">
        <v>8.796296296296191E-4</v>
      </c>
      <c r="K1154" s="5">
        <f t="shared" ref="K1154:K1217" si="99">HOUR(J1154)*60*60+MINUTE(J1154)*60+SECOND(J1154)</f>
        <v>76</v>
      </c>
      <c r="L1154" s="3">
        <v>5.4166666666666807E-3</v>
      </c>
      <c r="N1154" s="1" t="s">
        <v>42</v>
      </c>
      <c r="O1154" s="1" t="s">
        <v>286</v>
      </c>
      <c r="P1154" s="1" t="s">
        <v>227</v>
      </c>
      <c r="Q1154" s="1" t="s">
        <v>45</v>
      </c>
      <c r="S1154" s="1" t="s">
        <v>46</v>
      </c>
      <c r="T1154" s="1" t="s">
        <v>45</v>
      </c>
      <c r="U1154" s="1" t="s">
        <v>156</v>
      </c>
      <c r="V1154" s="1" t="s">
        <v>102</v>
      </c>
      <c r="W1154" s="1" t="s">
        <v>103</v>
      </c>
      <c r="X1154" s="1" t="s">
        <v>96</v>
      </c>
      <c r="AB1154" s="1" t="s">
        <v>104</v>
      </c>
      <c r="AC1154" s="1">
        <v>0</v>
      </c>
      <c r="AD1154" s="1" t="s">
        <v>56</v>
      </c>
      <c r="AE1154" s="1" t="s">
        <v>70</v>
      </c>
      <c r="AG1154" s="1" t="s">
        <v>1159</v>
      </c>
      <c r="AH1154" s="1" t="s">
        <v>157</v>
      </c>
      <c r="AI1154" s="1" t="s">
        <v>75</v>
      </c>
      <c r="AK1154" s="1" t="s">
        <v>61</v>
      </c>
      <c r="AL1154" s="1" t="s">
        <v>133</v>
      </c>
      <c r="AM1154" s="1">
        <v>3</v>
      </c>
      <c r="AN1154" s="1">
        <v>0</v>
      </c>
      <c r="AO1154" s="1">
        <f t="shared" si="98"/>
        <v>3</v>
      </c>
    </row>
    <row r="1155" spans="1:41" x14ac:dyDescent="0.4">
      <c r="A1155" s="1">
        <v>1</v>
      </c>
      <c r="B1155" s="1" t="s">
        <v>1033</v>
      </c>
      <c r="C1155" s="1" t="s">
        <v>41</v>
      </c>
      <c r="D1155" s="2">
        <v>38901</v>
      </c>
      <c r="E1155" s="1">
        <v>184</v>
      </c>
      <c r="F1155" s="1">
        <v>9</v>
      </c>
      <c r="G1155" s="3">
        <v>0.44745370370370369</v>
      </c>
      <c r="H1155" s="3">
        <v>0.45040509259259259</v>
      </c>
      <c r="I1155" s="3">
        <v>2.9513888888889062E-3</v>
      </c>
      <c r="J1155" s="3">
        <v>2.870370370370301E-3</v>
      </c>
      <c r="K1155" s="5">
        <f t="shared" si="99"/>
        <v>248</v>
      </c>
      <c r="L1155" s="3">
        <v>6.4930555555555713E-3</v>
      </c>
      <c r="N1155" s="1" t="s">
        <v>251</v>
      </c>
      <c r="O1155" s="1" t="s">
        <v>286</v>
      </c>
      <c r="P1155" s="1" t="s">
        <v>227</v>
      </c>
      <c r="Q1155" s="1" t="s">
        <v>76</v>
      </c>
      <c r="S1155" s="1" t="s">
        <v>46</v>
      </c>
      <c r="T1155" s="1" t="s">
        <v>45</v>
      </c>
      <c r="U1155" s="1" t="s">
        <v>66</v>
      </c>
      <c r="V1155" s="1" t="s">
        <v>49</v>
      </c>
      <c r="W1155" s="1" t="s">
        <v>77</v>
      </c>
      <c r="X1155" s="1" t="s">
        <v>538</v>
      </c>
      <c r="Y1155" s="1" t="s">
        <v>276</v>
      </c>
      <c r="Z1155" s="1" t="s">
        <v>277</v>
      </c>
      <c r="AA1155" s="1">
        <v>1</v>
      </c>
      <c r="AB1155" s="1" t="s">
        <v>539</v>
      </c>
      <c r="AC1155" s="1">
        <v>0</v>
      </c>
      <c r="AD1155" s="1" t="s">
        <v>56</v>
      </c>
      <c r="AE1155" s="1" t="s">
        <v>181</v>
      </c>
      <c r="AF1155" s="1" t="s">
        <v>113</v>
      </c>
      <c r="AG1155" s="1" t="s">
        <v>1160</v>
      </c>
      <c r="AH1155" s="1" t="s">
        <v>115</v>
      </c>
      <c r="AI1155" s="1" t="s">
        <v>257</v>
      </c>
      <c r="AK1155" s="1" t="s">
        <v>86</v>
      </c>
      <c r="AL1155" s="1" t="s">
        <v>86</v>
      </c>
      <c r="AM1155" s="1">
        <v>1</v>
      </c>
      <c r="AN1155" s="1">
        <v>0</v>
      </c>
      <c r="AO1155" s="1">
        <f t="shared" ref="AO1155:AO1218" si="100">SUM(AM1155:AN1155)</f>
        <v>1</v>
      </c>
    </row>
    <row r="1156" spans="1:41" x14ac:dyDescent="0.4">
      <c r="A1156" s="1">
        <v>1</v>
      </c>
      <c r="B1156" s="1" t="s">
        <v>1033</v>
      </c>
      <c r="C1156" s="1" t="s">
        <v>41</v>
      </c>
      <c r="D1156" s="2">
        <v>38901</v>
      </c>
      <c r="E1156" s="1">
        <v>184</v>
      </c>
      <c r="F1156" s="1">
        <v>10</v>
      </c>
      <c r="G1156" s="3">
        <v>0.45689814814814816</v>
      </c>
      <c r="H1156" s="3">
        <v>0.45880787037037035</v>
      </c>
      <c r="I1156" s="3">
        <v>1.9097222222221877E-3</v>
      </c>
      <c r="J1156" s="3">
        <v>5.7870370370366464E-4</v>
      </c>
      <c r="K1156" s="5">
        <f t="shared" si="99"/>
        <v>50</v>
      </c>
      <c r="L1156" s="3">
        <v>5.0347222222222321E-3</v>
      </c>
      <c r="N1156" s="1" t="s">
        <v>251</v>
      </c>
      <c r="O1156" s="1" t="s">
        <v>286</v>
      </c>
      <c r="P1156" s="1" t="s">
        <v>227</v>
      </c>
      <c r="Q1156" s="1" t="s">
        <v>132</v>
      </c>
      <c r="S1156" s="1" t="s">
        <v>46</v>
      </c>
      <c r="T1156" s="1" t="s">
        <v>45</v>
      </c>
      <c r="U1156" s="1" t="s">
        <v>156</v>
      </c>
      <c r="V1156" s="1" t="s">
        <v>102</v>
      </c>
      <c r="W1156" s="1" t="s">
        <v>433</v>
      </c>
      <c r="X1156" s="1" t="s">
        <v>96</v>
      </c>
      <c r="Y1156" s="1" t="s">
        <v>1095</v>
      </c>
      <c r="Z1156" s="1" t="s">
        <v>1096</v>
      </c>
      <c r="AA1156" s="1" t="s">
        <v>1097</v>
      </c>
      <c r="AB1156" s="1" t="s">
        <v>1098</v>
      </c>
      <c r="AC1156" s="1">
        <v>0</v>
      </c>
      <c r="AD1156" s="1" t="s">
        <v>1099</v>
      </c>
      <c r="AE1156" s="1" t="s">
        <v>70</v>
      </c>
      <c r="AG1156" s="1" t="s">
        <v>1161</v>
      </c>
      <c r="AI1156" s="1" t="s">
        <v>255</v>
      </c>
      <c r="AK1156" s="1" t="s">
        <v>86</v>
      </c>
      <c r="AL1156" s="1" t="s">
        <v>133</v>
      </c>
      <c r="AM1156" s="1">
        <v>1</v>
      </c>
      <c r="AN1156" s="1">
        <v>0</v>
      </c>
      <c r="AO1156" s="1">
        <f t="shared" si="100"/>
        <v>1</v>
      </c>
    </row>
    <row r="1157" spans="1:41" x14ac:dyDescent="0.4">
      <c r="A1157" s="1">
        <v>1</v>
      </c>
      <c r="B1157" s="1" t="s">
        <v>1033</v>
      </c>
      <c r="C1157" s="1" t="s">
        <v>41</v>
      </c>
      <c r="D1157" s="2">
        <v>38901</v>
      </c>
      <c r="E1157" s="1">
        <v>184</v>
      </c>
      <c r="F1157" s="1">
        <v>11</v>
      </c>
      <c r="G1157" s="3">
        <v>0.46384259259259258</v>
      </c>
      <c r="H1157" s="3">
        <v>0.46880787037037036</v>
      </c>
      <c r="I1157" s="3">
        <v>4.9652777777777768E-3</v>
      </c>
      <c r="J1157" s="3">
        <v>3.5416666666666097E-3</v>
      </c>
      <c r="K1157" s="5">
        <f t="shared" si="99"/>
        <v>306</v>
      </c>
      <c r="L1157" s="3">
        <v>9.2824074074074336E-3</v>
      </c>
      <c r="N1157" s="1" t="s">
        <v>251</v>
      </c>
      <c r="O1157" s="1" t="s">
        <v>286</v>
      </c>
      <c r="P1157" s="1" t="s">
        <v>227</v>
      </c>
      <c r="Q1157" s="1" t="s">
        <v>45</v>
      </c>
      <c r="S1157" s="1" t="s">
        <v>46</v>
      </c>
      <c r="T1157" s="1" t="s">
        <v>45</v>
      </c>
      <c r="U1157" s="1" t="s">
        <v>66</v>
      </c>
      <c r="V1157" s="1" t="s">
        <v>49</v>
      </c>
      <c r="W1157" s="1" t="s">
        <v>50</v>
      </c>
      <c r="X1157" s="1" t="s">
        <v>1153</v>
      </c>
      <c r="Y1157" s="1" t="s">
        <v>1154</v>
      </c>
      <c r="Z1157" s="1" t="s">
        <v>1155</v>
      </c>
      <c r="AA1157" s="1" t="s">
        <v>1156</v>
      </c>
      <c r="AB1157" s="1" t="s">
        <v>1157</v>
      </c>
      <c r="AC1157" s="1">
        <v>0</v>
      </c>
      <c r="AD1157" s="1" t="s">
        <v>56</v>
      </c>
      <c r="AE1157" s="1" t="s">
        <v>70</v>
      </c>
      <c r="AG1157" s="1" t="s">
        <v>1162</v>
      </c>
      <c r="AH1157" s="1" t="s">
        <v>115</v>
      </c>
      <c r="AI1157" s="1" t="s">
        <v>257</v>
      </c>
      <c r="AK1157" s="1" t="s">
        <v>86</v>
      </c>
      <c r="AL1157" s="1" t="s">
        <v>87</v>
      </c>
      <c r="AM1157" s="1">
        <v>8</v>
      </c>
      <c r="AN1157" s="1">
        <v>0</v>
      </c>
      <c r="AO1157" s="1">
        <f t="shared" si="100"/>
        <v>8</v>
      </c>
    </row>
    <row r="1158" spans="1:41" x14ac:dyDescent="0.4">
      <c r="A1158" s="1">
        <v>1</v>
      </c>
      <c r="B1158" s="1" t="s">
        <v>1033</v>
      </c>
      <c r="C1158" s="1" t="s">
        <v>41</v>
      </c>
      <c r="D1158" s="2">
        <v>38901</v>
      </c>
      <c r="E1158" s="1">
        <v>184</v>
      </c>
      <c r="F1158" s="1">
        <v>12</v>
      </c>
      <c r="G1158" s="3">
        <v>0.47809027777777779</v>
      </c>
      <c r="H1158" s="3">
        <v>0.48074074074074075</v>
      </c>
      <c r="I1158" s="3">
        <v>2.6504629629629517E-3</v>
      </c>
      <c r="J1158" s="3">
        <v>8.5648148148137482E-4</v>
      </c>
      <c r="K1158" s="5">
        <f t="shared" si="99"/>
        <v>74</v>
      </c>
      <c r="L1158" s="3">
        <v>8.2175925925925819E-3</v>
      </c>
      <c r="N1158" s="1" t="s">
        <v>42</v>
      </c>
      <c r="O1158" s="1" t="s">
        <v>286</v>
      </c>
      <c r="P1158" s="1" t="s">
        <v>227</v>
      </c>
      <c r="Q1158" s="1" t="s">
        <v>132</v>
      </c>
      <c r="S1158" s="1" t="s">
        <v>46</v>
      </c>
      <c r="T1158" s="1" t="s">
        <v>45</v>
      </c>
      <c r="U1158" s="1" t="s">
        <v>66</v>
      </c>
      <c r="V1158" s="1" t="s">
        <v>102</v>
      </c>
      <c r="W1158" s="1" t="s">
        <v>103</v>
      </c>
      <c r="X1158" s="1" t="s">
        <v>96</v>
      </c>
      <c r="AB1158" s="1" t="s">
        <v>104</v>
      </c>
      <c r="AC1158" s="1">
        <v>0</v>
      </c>
      <c r="AD1158" s="1" t="s">
        <v>105</v>
      </c>
      <c r="AE1158" s="1" t="s">
        <v>70</v>
      </c>
      <c r="AG1158" s="1" t="s">
        <v>1163</v>
      </c>
      <c r="AH1158" s="1" t="s">
        <v>157</v>
      </c>
      <c r="AI1158" s="1" t="s">
        <v>71</v>
      </c>
      <c r="AK1158" s="1" t="s">
        <v>86</v>
      </c>
      <c r="AL1158" s="1" t="s">
        <v>87</v>
      </c>
      <c r="AM1158" s="1">
        <v>1</v>
      </c>
      <c r="AN1158" s="1">
        <v>0</v>
      </c>
      <c r="AO1158" s="1">
        <f t="shared" si="100"/>
        <v>1</v>
      </c>
    </row>
    <row r="1159" spans="1:41" x14ac:dyDescent="0.4">
      <c r="A1159" s="1">
        <v>1</v>
      </c>
      <c r="B1159" s="1" t="s">
        <v>1033</v>
      </c>
      <c r="C1159" s="1" t="s">
        <v>41</v>
      </c>
      <c r="D1159" s="2">
        <v>38901</v>
      </c>
      <c r="E1159" s="1">
        <v>184</v>
      </c>
      <c r="F1159" s="1">
        <v>12.5</v>
      </c>
      <c r="G1159" s="3">
        <v>0.48895833333333333</v>
      </c>
      <c r="H1159" s="3">
        <v>0.48899305555555556</v>
      </c>
      <c r="I1159" s="3">
        <v>3.472222222222765E-5</v>
      </c>
      <c r="J1159" s="3">
        <v>3.472222222222765E-5</v>
      </c>
      <c r="K1159" s="5">
        <f t="shared" si="99"/>
        <v>3</v>
      </c>
      <c r="L1159" s="3">
        <v>2.393518518518517E-2</v>
      </c>
      <c r="N1159" s="1" t="s">
        <v>42</v>
      </c>
      <c r="O1159" s="1" t="s">
        <v>286</v>
      </c>
      <c r="P1159" s="1" t="s">
        <v>227</v>
      </c>
      <c r="Q1159" s="1" t="s">
        <v>132</v>
      </c>
      <c r="S1159" s="1" t="s">
        <v>46</v>
      </c>
      <c r="T1159" s="1" t="s">
        <v>45</v>
      </c>
      <c r="U1159" s="1" t="s">
        <v>156</v>
      </c>
      <c r="AB1159" s="1" t="s">
        <v>93</v>
      </c>
      <c r="AC1159" s="1">
        <v>1</v>
      </c>
      <c r="AI1159" s="1" t="s">
        <v>75</v>
      </c>
      <c r="AK1159" s="1" t="s">
        <v>86</v>
      </c>
      <c r="AL1159" s="1" t="s">
        <v>87</v>
      </c>
      <c r="AN1159" s="1">
        <v>1</v>
      </c>
      <c r="AO1159" s="1">
        <f t="shared" si="100"/>
        <v>1</v>
      </c>
    </row>
    <row r="1160" spans="1:41" x14ac:dyDescent="0.4">
      <c r="A1160" s="1">
        <v>1</v>
      </c>
      <c r="B1160" s="1" t="s">
        <v>1033</v>
      </c>
      <c r="C1160" s="1" t="s">
        <v>41</v>
      </c>
      <c r="D1160" s="2">
        <v>38901</v>
      </c>
      <c r="E1160" s="1">
        <v>184</v>
      </c>
      <c r="F1160" s="1">
        <v>14</v>
      </c>
      <c r="G1160" s="3">
        <v>0.51292824074074073</v>
      </c>
      <c r="H1160" s="3">
        <v>0.51449074074074075</v>
      </c>
      <c r="I1160" s="3">
        <v>1.5625000000000222E-3</v>
      </c>
      <c r="J1160" s="3">
        <v>1.5625000000000222E-3</v>
      </c>
      <c r="K1160" s="5">
        <f t="shared" si="99"/>
        <v>135</v>
      </c>
      <c r="L1160" s="3">
        <v>1.1064814814814805E-2</v>
      </c>
      <c r="N1160" s="1" t="s">
        <v>42</v>
      </c>
      <c r="O1160" s="1" t="s">
        <v>286</v>
      </c>
      <c r="P1160" s="1" t="s">
        <v>227</v>
      </c>
      <c r="Q1160" s="1" t="s">
        <v>76</v>
      </c>
      <c r="S1160" s="1" t="s">
        <v>46</v>
      </c>
      <c r="T1160" s="1" t="s">
        <v>47</v>
      </c>
      <c r="U1160" s="1" t="s">
        <v>156</v>
      </c>
      <c r="V1160" s="1" t="s">
        <v>49</v>
      </c>
      <c r="W1160" s="1" t="s">
        <v>50</v>
      </c>
      <c r="X1160" s="1" t="s">
        <v>1153</v>
      </c>
      <c r="Y1160" s="1" t="s">
        <v>1154</v>
      </c>
      <c r="Z1160" s="1" t="s">
        <v>1155</v>
      </c>
      <c r="AA1160" s="1" t="s">
        <v>1156</v>
      </c>
      <c r="AB1160" s="1" t="s">
        <v>1157</v>
      </c>
      <c r="AC1160" s="1">
        <v>0</v>
      </c>
      <c r="AD1160" s="1" t="s">
        <v>56</v>
      </c>
      <c r="AE1160" s="1" t="s">
        <v>70</v>
      </c>
      <c r="AF1160" s="1" t="s">
        <v>113</v>
      </c>
      <c r="AG1160" s="1" t="s">
        <v>1162</v>
      </c>
      <c r="AH1160" s="1" t="s">
        <v>115</v>
      </c>
      <c r="AI1160" s="1" t="s">
        <v>75</v>
      </c>
      <c r="AK1160" s="1" t="s">
        <v>86</v>
      </c>
      <c r="AL1160" s="1" t="s">
        <v>86</v>
      </c>
      <c r="AM1160" s="1">
        <v>8</v>
      </c>
      <c r="AN1160" s="1">
        <v>0</v>
      </c>
      <c r="AO1160" s="1">
        <f t="shared" si="100"/>
        <v>8</v>
      </c>
    </row>
    <row r="1161" spans="1:41" x14ac:dyDescent="0.4">
      <c r="A1161" s="1">
        <v>1</v>
      </c>
      <c r="B1161" s="1" t="s">
        <v>1033</v>
      </c>
      <c r="C1161" s="1" t="s">
        <v>41</v>
      </c>
      <c r="D1161" s="2">
        <v>38901</v>
      </c>
      <c r="E1161" s="1">
        <v>184</v>
      </c>
      <c r="F1161" s="1">
        <v>14.5</v>
      </c>
      <c r="G1161" s="3">
        <v>0.52555555555555555</v>
      </c>
      <c r="H1161" s="3">
        <v>0.52557870370370374</v>
      </c>
      <c r="I1161" s="3">
        <v>2.3148148148188774E-5</v>
      </c>
      <c r="J1161" s="3">
        <v>2.3148148148188774E-5</v>
      </c>
      <c r="K1161" s="5">
        <f t="shared" si="99"/>
        <v>2</v>
      </c>
      <c r="L1161" s="3">
        <v>3.2175925925925775E-3</v>
      </c>
      <c r="N1161" s="1" t="s">
        <v>42</v>
      </c>
      <c r="O1161" s="1" t="s">
        <v>286</v>
      </c>
      <c r="P1161" s="1" t="s">
        <v>227</v>
      </c>
      <c r="Q1161" s="1" t="s">
        <v>45</v>
      </c>
      <c r="S1161" s="1" t="s">
        <v>46</v>
      </c>
      <c r="T1161" s="1" t="s">
        <v>47</v>
      </c>
      <c r="U1161" s="1" t="s">
        <v>156</v>
      </c>
      <c r="AB1161" s="1" t="s">
        <v>93</v>
      </c>
      <c r="AC1161" s="1">
        <v>1</v>
      </c>
      <c r="AI1161" s="1" t="s">
        <v>75</v>
      </c>
      <c r="AK1161" s="1" t="s">
        <v>86</v>
      </c>
      <c r="AL1161" s="1" t="s">
        <v>133</v>
      </c>
      <c r="AN1161" s="1">
        <v>1</v>
      </c>
      <c r="AO1161" s="1">
        <f t="shared" si="100"/>
        <v>1</v>
      </c>
    </row>
    <row r="1162" spans="1:41" x14ac:dyDescent="0.4">
      <c r="A1162" s="1">
        <v>1</v>
      </c>
      <c r="B1162" s="1" t="s">
        <v>1033</v>
      </c>
      <c r="C1162" s="1" t="s">
        <v>41</v>
      </c>
      <c r="D1162" s="2">
        <v>38901</v>
      </c>
      <c r="E1162" s="1">
        <v>184</v>
      </c>
      <c r="F1162" s="1">
        <v>15</v>
      </c>
      <c r="G1162" s="3">
        <v>0.52879629629629632</v>
      </c>
      <c r="H1162" s="3">
        <v>0.52971064814814817</v>
      </c>
      <c r="I1162" s="3">
        <v>9.1435185185184675E-4</v>
      </c>
      <c r="J1162" s="3">
        <v>8.6805555555558023E-4</v>
      </c>
      <c r="K1162" s="5">
        <f t="shared" si="99"/>
        <v>75</v>
      </c>
      <c r="L1162" s="3">
        <v>4.7337962962962221E-3</v>
      </c>
      <c r="N1162" s="1" t="s">
        <v>42</v>
      </c>
      <c r="O1162" s="1" t="s">
        <v>286</v>
      </c>
      <c r="P1162" s="1" t="s">
        <v>227</v>
      </c>
      <c r="Q1162" s="1" t="s">
        <v>132</v>
      </c>
      <c r="S1162" s="1" t="s">
        <v>46</v>
      </c>
      <c r="T1162" s="1" t="s">
        <v>47</v>
      </c>
      <c r="U1162" s="1" t="s">
        <v>156</v>
      </c>
      <c r="V1162" s="1" t="s">
        <v>102</v>
      </c>
      <c r="W1162" s="1" t="s">
        <v>433</v>
      </c>
      <c r="X1162" s="1" t="s">
        <v>96</v>
      </c>
      <c r="Y1162" s="1" t="s">
        <v>1095</v>
      </c>
      <c r="Z1162" s="1" t="s">
        <v>1096</v>
      </c>
      <c r="AA1162" s="1" t="s">
        <v>1097</v>
      </c>
      <c r="AB1162" s="1" t="s">
        <v>1098</v>
      </c>
      <c r="AC1162" s="1">
        <v>0</v>
      </c>
      <c r="AD1162" s="1" t="s">
        <v>1099</v>
      </c>
      <c r="AE1162" s="1" t="s">
        <v>70</v>
      </c>
      <c r="AG1162" s="1" t="s">
        <v>1164</v>
      </c>
      <c r="AI1162" s="1" t="s">
        <v>75</v>
      </c>
      <c r="AK1162" s="1" t="s">
        <v>86</v>
      </c>
      <c r="AL1162" s="1" t="s">
        <v>86</v>
      </c>
      <c r="AM1162" s="1">
        <v>1</v>
      </c>
      <c r="AN1162" s="1">
        <v>0</v>
      </c>
      <c r="AO1162" s="1">
        <f t="shared" si="100"/>
        <v>1</v>
      </c>
    </row>
    <row r="1163" spans="1:41" x14ac:dyDescent="0.4">
      <c r="A1163" s="1">
        <v>1</v>
      </c>
      <c r="B1163" s="1" t="s">
        <v>1033</v>
      </c>
      <c r="C1163" s="1" t="s">
        <v>41</v>
      </c>
      <c r="D1163" s="2">
        <v>38901</v>
      </c>
      <c r="E1163" s="1">
        <v>184</v>
      </c>
      <c r="F1163" s="1">
        <v>16</v>
      </c>
      <c r="G1163" s="3">
        <v>0.53444444444444439</v>
      </c>
      <c r="H1163" s="3">
        <v>0.53552083333333333</v>
      </c>
      <c r="I1163" s="3">
        <v>1.0763888888889461E-3</v>
      </c>
      <c r="J1163" s="3">
        <v>1.0763888888889461E-3</v>
      </c>
      <c r="K1163" s="5">
        <f t="shared" si="99"/>
        <v>93</v>
      </c>
      <c r="L1163" s="3">
        <v>0.11263888888888896</v>
      </c>
      <c r="N1163" s="1" t="s">
        <v>42</v>
      </c>
      <c r="O1163" s="1" t="s">
        <v>286</v>
      </c>
      <c r="P1163" s="1" t="s">
        <v>227</v>
      </c>
      <c r="Q1163" s="1" t="s">
        <v>132</v>
      </c>
      <c r="S1163" s="1" t="s">
        <v>46</v>
      </c>
      <c r="T1163" s="1" t="s">
        <v>45</v>
      </c>
      <c r="U1163" s="1" t="s">
        <v>156</v>
      </c>
      <c r="V1163" s="1" t="s">
        <v>102</v>
      </c>
      <c r="W1163" s="1" t="s">
        <v>433</v>
      </c>
      <c r="X1163" s="1" t="s">
        <v>96</v>
      </c>
      <c r="Y1163" s="1" t="s">
        <v>1095</v>
      </c>
      <c r="Z1163" s="1" t="s">
        <v>1096</v>
      </c>
      <c r="AA1163" s="1" t="s">
        <v>1097</v>
      </c>
      <c r="AB1163" s="1" t="s">
        <v>1098</v>
      </c>
      <c r="AC1163" s="1">
        <v>0</v>
      </c>
      <c r="AD1163" s="1" t="s">
        <v>1099</v>
      </c>
      <c r="AE1163" s="1" t="s">
        <v>70</v>
      </c>
      <c r="AG1163" s="1" t="s">
        <v>1159</v>
      </c>
      <c r="AI1163" s="1" t="s">
        <v>75</v>
      </c>
      <c r="AK1163" s="1" t="s">
        <v>86</v>
      </c>
      <c r="AL1163" s="1" t="s">
        <v>133</v>
      </c>
      <c r="AM1163" s="1">
        <v>3</v>
      </c>
      <c r="AN1163" s="1">
        <v>0</v>
      </c>
      <c r="AO1163" s="1">
        <f t="shared" si="100"/>
        <v>3</v>
      </c>
    </row>
    <row r="1164" spans="1:41" x14ac:dyDescent="0.4">
      <c r="A1164" s="1">
        <v>1</v>
      </c>
      <c r="B1164" s="1" t="s">
        <v>1033</v>
      </c>
      <c r="C1164" s="1" t="s">
        <v>41</v>
      </c>
      <c r="D1164" s="2">
        <v>38901</v>
      </c>
      <c r="E1164" s="1">
        <v>184</v>
      </c>
      <c r="F1164" s="1">
        <v>17</v>
      </c>
      <c r="G1164" s="3">
        <v>0.64815972222222229</v>
      </c>
      <c r="H1164" s="3">
        <v>0.64978009259259262</v>
      </c>
      <c r="I1164" s="3">
        <v>1.6203703703703276E-3</v>
      </c>
      <c r="J1164" s="3">
        <v>1.6203703703703276E-3</v>
      </c>
      <c r="K1164" s="5">
        <f t="shared" si="99"/>
        <v>140</v>
      </c>
      <c r="L1164" s="3">
        <v>5.0925925925926485E-4</v>
      </c>
      <c r="N1164" s="1" t="s">
        <v>42</v>
      </c>
      <c r="O1164" s="1" t="s">
        <v>286</v>
      </c>
      <c r="P1164" s="1" t="s">
        <v>227</v>
      </c>
      <c r="Q1164" s="1" t="s">
        <v>76</v>
      </c>
      <c r="S1164" s="1" t="s">
        <v>46</v>
      </c>
      <c r="T1164" s="1" t="s">
        <v>45</v>
      </c>
      <c r="U1164" s="1" t="s">
        <v>156</v>
      </c>
      <c r="V1164" s="1" t="s">
        <v>102</v>
      </c>
      <c r="W1164" s="1" t="s">
        <v>433</v>
      </c>
      <c r="X1164" s="1" t="s">
        <v>96</v>
      </c>
      <c r="Y1164" s="1" t="s">
        <v>1095</v>
      </c>
      <c r="Z1164" s="1" t="s">
        <v>1096</v>
      </c>
      <c r="AA1164" s="1" t="s">
        <v>1097</v>
      </c>
      <c r="AB1164" s="1" t="s">
        <v>1098</v>
      </c>
      <c r="AC1164" s="1">
        <v>0</v>
      </c>
      <c r="AD1164" s="1" t="s">
        <v>1099</v>
      </c>
      <c r="AE1164" s="1" t="s">
        <v>70</v>
      </c>
      <c r="AG1164" s="1" t="s">
        <v>1094</v>
      </c>
      <c r="AI1164" s="1" t="s">
        <v>75</v>
      </c>
      <c r="AK1164" s="1" t="s">
        <v>86</v>
      </c>
      <c r="AL1164" s="1" t="s">
        <v>86</v>
      </c>
      <c r="AM1164" s="1">
        <v>4</v>
      </c>
      <c r="AN1164" s="1">
        <v>0</v>
      </c>
      <c r="AO1164" s="1">
        <f t="shared" si="100"/>
        <v>4</v>
      </c>
    </row>
    <row r="1165" spans="1:41" x14ac:dyDescent="0.4">
      <c r="A1165" s="1">
        <v>1</v>
      </c>
      <c r="B1165" s="1" t="s">
        <v>1033</v>
      </c>
      <c r="C1165" s="1" t="s">
        <v>41</v>
      </c>
      <c r="D1165" s="2">
        <v>38901</v>
      </c>
      <c r="E1165" s="1">
        <v>184</v>
      </c>
      <c r="F1165" s="1">
        <v>18</v>
      </c>
      <c r="G1165" s="3">
        <v>0.65028935185185188</v>
      </c>
      <c r="H1165" s="3">
        <v>0.65133101851851849</v>
      </c>
      <c r="I1165" s="3">
        <v>1.0416666666666075E-3</v>
      </c>
      <c r="J1165" s="3">
        <v>1.0416666666666075E-3</v>
      </c>
      <c r="K1165" s="5">
        <f t="shared" si="99"/>
        <v>90</v>
      </c>
      <c r="L1165" s="3">
        <v>6.6666666666667096E-3</v>
      </c>
      <c r="N1165" s="1" t="s">
        <v>42</v>
      </c>
      <c r="O1165" s="1" t="s">
        <v>286</v>
      </c>
      <c r="P1165" s="1" t="s">
        <v>227</v>
      </c>
      <c r="Q1165" s="1" t="s">
        <v>76</v>
      </c>
      <c r="S1165" s="1" t="s">
        <v>46</v>
      </c>
      <c r="T1165" s="1" t="s">
        <v>45</v>
      </c>
      <c r="U1165" s="1" t="s">
        <v>156</v>
      </c>
      <c r="V1165" s="1" t="s">
        <v>102</v>
      </c>
      <c r="W1165" s="1" t="s">
        <v>433</v>
      </c>
      <c r="X1165" s="1" t="s">
        <v>96</v>
      </c>
      <c r="Y1165" s="1" t="s">
        <v>1095</v>
      </c>
      <c r="Z1165" s="1" t="s">
        <v>1096</v>
      </c>
      <c r="AA1165" s="1" t="s">
        <v>1097</v>
      </c>
      <c r="AB1165" s="1" t="s">
        <v>1098</v>
      </c>
      <c r="AC1165" s="1">
        <v>0</v>
      </c>
      <c r="AD1165" s="1" t="s">
        <v>1099</v>
      </c>
      <c r="AE1165" s="1" t="s">
        <v>70</v>
      </c>
      <c r="AG1165" s="1" t="s">
        <v>1165</v>
      </c>
      <c r="AI1165" s="1" t="s">
        <v>75</v>
      </c>
      <c r="AK1165" s="1" t="s">
        <v>86</v>
      </c>
      <c r="AL1165" s="1" t="s">
        <v>86</v>
      </c>
      <c r="AM1165" s="1">
        <v>5</v>
      </c>
      <c r="AN1165" s="1">
        <v>0</v>
      </c>
      <c r="AO1165" s="1">
        <f t="shared" si="100"/>
        <v>5</v>
      </c>
    </row>
    <row r="1166" spans="1:41" x14ac:dyDescent="0.4">
      <c r="A1166" s="1">
        <v>1</v>
      </c>
      <c r="B1166" s="1" t="s">
        <v>1033</v>
      </c>
      <c r="C1166" s="1" t="s">
        <v>41</v>
      </c>
      <c r="D1166" s="2">
        <v>38901</v>
      </c>
      <c r="E1166" s="1">
        <v>184</v>
      </c>
      <c r="F1166" s="1">
        <v>19</v>
      </c>
      <c r="G1166" s="3">
        <v>0.6579976851851852</v>
      </c>
      <c r="H1166" s="3">
        <v>0.65853009259259265</v>
      </c>
      <c r="I1166" s="3">
        <v>5.3240740740745363E-4</v>
      </c>
      <c r="J1166" s="3">
        <v>5.3240740740745363E-4</v>
      </c>
      <c r="K1166" s="5">
        <f t="shared" si="99"/>
        <v>46</v>
      </c>
      <c r="L1166" s="3">
        <v>3.2291666666666163E-3</v>
      </c>
      <c r="N1166" s="1" t="s">
        <v>42</v>
      </c>
      <c r="O1166" s="1" t="s">
        <v>286</v>
      </c>
      <c r="P1166" s="1" t="s">
        <v>227</v>
      </c>
      <c r="Q1166" s="1" t="s">
        <v>76</v>
      </c>
      <c r="S1166" s="1" t="s">
        <v>46</v>
      </c>
      <c r="T1166" s="1" t="s">
        <v>45</v>
      </c>
      <c r="U1166" s="1" t="s">
        <v>156</v>
      </c>
      <c r="V1166" s="1" t="s">
        <v>102</v>
      </c>
      <c r="W1166" s="1" t="s">
        <v>433</v>
      </c>
      <c r="X1166" s="1" t="s">
        <v>96</v>
      </c>
      <c r="Y1166" s="1" t="s">
        <v>1095</v>
      </c>
      <c r="Z1166" s="1" t="s">
        <v>1096</v>
      </c>
      <c r="AA1166" s="1" t="s">
        <v>1097</v>
      </c>
      <c r="AB1166" s="1" t="s">
        <v>1098</v>
      </c>
      <c r="AC1166" s="1">
        <v>0</v>
      </c>
      <c r="AD1166" s="1" t="s">
        <v>1099</v>
      </c>
      <c r="AE1166" s="1" t="s">
        <v>70</v>
      </c>
      <c r="AG1166" s="1" t="s">
        <v>1144</v>
      </c>
      <c r="AI1166" s="1" t="s">
        <v>75</v>
      </c>
      <c r="AK1166" s="1" t="s">
        <v>86</v>
      </c>
      <c r="AL1166" s="1" t="s">
        <v>87</v>
      </c>
      <c r="AM1166" s="1">
        <v>2</v>
      </c>
      <c r="AN1166" s="1">
        <v>0</v>
      </c>
      <c r="AO1166" s="1">
        <f t="shared" si="100"/>
        <v>2</v>
      </c>
    </row>
    <row r="1167" spans="1:41" x14ac:dyDescent="0.4">
      <c r="A1167" s="1">
        <v>1</v>
      </c>
      <c r="B1167" s="1" t="s">
        <v>1033</v>
      </c>
      <c r="C1167" s="1" t="s">
        <v>41</v>
      </c>
      <c r="D1167" s="2">
        <v>38901</v>
      </c>
      <c r="E1167" s="1">
        <v>184</v>
      </c>
      <c r="F1167" s="1">
        <v>20</v>
      </c>
      <c r="G1167" s="3">
        <v>0.66175925925925927</v>
      </c>
      <c r="H1167" s="3">
        <v>0.66234953703703703</v>
      </c>
      <c r="I1167" s="3">
        <v>5.9027777777775903E-4</v>
      </c>
      <c r="J1167" s="3">
        <v>5.9027777777775903E-4</v>
      </c>
      <c r="K1167" s="5">
        <f t="shared" si="99"/>
        <v>51</v>
      </c>
      <c r="L1167" s="3">
        <v>7.6041666666667451E-3</v>
      </c>
      <c r="N1167" s="1" t="s">
        <v>42</v>
      </c>
      <c r="O1167" s="1" t="s">
        <v>286</v>
      </c>
      <c r="P1167" s="1" t="s">
        <v>227</v>
      </c>
      <c r="Q1167" s="1" t="s">
        <v>132</v>
      </c>
      <c r="S1167" s="1" t="s">
        <v>46</v>
      </c>
      <c r="T1167" s="1" t="s">
        <v>76</v>
      </c>
      <c r="U1167" s="1" t="s">
        <v>92</v>
      </c>
      <c r="V1167" s="1" t="s">
        <v>102</v>
      </c>
      <c r="W1167" s="1" t="s">
        <v>231</v>
      </c>
      <c r="X1167" s="1" t="s">
        <v>96</v>
      </c>
      <c r="Y1167" s="1">
        <v>50</v>
      </c>
      <c r="AB1167" s="1" t="s">
        <v>543</v>
      </c>
      <c r="AC1167" s="1">
        <v>0</v>
      </c>
      <c r="AD1167" s="1" t="s">
        <v>105</v>
      </c>
      <c r="AE1167" s="1" t="s">
        <v>70</v>
      </c>
      <c r="AG1167" s="1" t="s">
        <v>1166</v>
      </c>
      <c r="AH1167" s="1" t="s">
        <v>157</v>
      </c>
      <c r="AI1167" s="1" t="s">
        <v>75</v>
      </c>
      <c r="AK1167" s="1" t="s">
        <v>86</v>
      </c>
      <c r="AL1167" s="1" t="s">
        <v>87</v>
      </c>
      <c r="AM1167" s="1">
        <v>1</v>
      </c>
      <c r="AN1167" s="1">
        <v>0</v>
      </c>
      <c r="AO1167" s="1">
        <f t="shared" si="100"/>
        <v>1</v>
      </c>
    </row>
    <row r="1168" spans="1:41" x14ac:dyDescent="0.4">
      <c r="A1168" s="1">
        <v>1</v>
      </c>
      <c r="B1168" s="1" t="s">
        <v>1033</v>
      </c>
      <c r="C1168" s="1" t="s">
        <v>41</v>
      </c>
      <c r="D1168" s="2">
        <v>38901</v>
      </c>
      <c r="E1168" s="1">
        <v>184</v>
      </c>
      <c r="F1168" s="1">
        <v>20.5</v>
      </c>
      <c r="G1168" s="3">
        <v>0.66995370370370377</v>
      </c>
      <c r="H1168" s="3">
        <v>0.6699652777777777</v>
      </c>
      <c r="I1168" s="3">
        <v>1.1574074073927854E-5</v>
      </c>
      <c r="J1168" s="3">
        <v>1.1574074073927854E-5</v>
      </c>
      <c r="K1168" s="5">
        <f t="shared" si="99"/>
        <v>1</v>
      </c>
      <c r="L1168" s="3">
        <v>6.0648148148149117E-3</v>
      </c>
      <c r="N1168" s="1" t="s">
        <v>42</v>
      </c>
      <c r="O1168" s="1" t="s">
        <v>286</v>
      </c>
      <c r="P1168" s="1" t="s">
        <v>227</v>
      </c>
      <c r="Q1168" s="1" t="s">
        <v>132</v>
      </c>
      <c r="S1168" s="1" t="s">
        <v>46</v>
      </c>
      <c r="T1168" s="1" t="s">
        <v>76</v>
      </c>
      <c r="U1168" s="1" t="s">
        <v>92</v>
      </c>
      <c r="AB1168" s="1" t="s">
        <v>93</v>
      </c>
      <c r="AC1168" s="1">
        <v>1</v>
      </c>
      <c r="AI1168" s="1" t="s">
        <v>75</v>
      </c>
      <c r="AK1168" s="1" t="s">
        <v>86</v>
      </c>
      <c r="AL1168" s="1" t="s">
        <v>87</v>
      </c>
      <c r="AN1168" s="1">
        <v>1</v>
      </c>
      <c r="AO1168" s="1">
        <f t="shared" si="100"/>
        <v>1</v>
      </c>
    </row>
    <row r="1169" spans="1:41" x14ac:dyDescent="0.4">
      <c r="A1169" s="1">
        <v>1</v>
      </c>
      <c r="B1169" s="1" t="s">
        <v>1033</v>
      </c>
      <c r="C1169" s="1" t="s">
        <v>41</v>
      </c>
      <c r="D1169" s="2">
        <v>38901</v>
      </c>
      <c r="E1169" s="1">
        <v>184</v>
      </c>
      <c r="F1169" s="1">
        <v>21</v>
      </c>
      <c r="G1169" s="3">
        <v>0.67603009259259261</v>
      </c>
      <c r="H1169" s="3">
        <v>0.67706018518518529</v>
      </c>
      <c r="I1169" s="3">
        <v>1.0300925925926796E-3</v>
      </c>
      <c r="J1169" s="3">
        <v>1.0300925925926796E-3</v>
      </c>
      <c r="K1169" s="5">
        <f t="shared" si="99"/>
        <v>89</v>
      </c>
      <c r="L1169" s="3">
        <v>1.3761574074073968E-2</v>
      </c>
      <c r="N1169" s="1" t="s">
        <v>42</v>
      </c>
      <c r="O1169" s="1" t="s">
        <v>286</v>
      </c>
      <c r="P1169" s="1" t="s">
        <v>227</v>
      </c>
      <c r="Q1169" s="1" t="s">
        <v>76</v>
      </c>
      <c r="S1169" s="1" t="s">
        <v>46</v>
      </c>
      <c r="T1169" s="1" t="s">
        <v>45</v>
      </c>
      <c r="U1169" s="1" t="s">
        <v>92</v>
      </c>
      <c r="V1169" s="1" t="s">
        <v>102</v>
      </c>
      <c r="W1169" s="1" t="s">
        <v>433</v>
      </c>
      <c r="X1169" s="1" t="s">
        <v>96</v>
      </c>
      <c r="Y1169" s="1" t="s">
        <v>1095</v>
      </c>
      <c r="Z1169" s="1" t="s">
        <v>1096</v>
      </c>
      <c r="AA1169" s="1" t="s">
        <v>1097</v>
      </c>
      <c r="AB1169" s="1" t="s">
        <v>1098</v>
      </c>
      <c r="AC1169" s="1">
        <v>0</v>
      </c>
      <c r="AD1169" s="1" t="s">
        <v>1099</v>
      </c>
      <c r="AE1169" s="1" t="s">
        <v>70</v>
      </c>
      <c r="AG1169" s="1" t="s">
        <v>1150</v>
      </c>
      <c r="AI1169" s="1" t="s">
        <v>75</v>
      </c>
      <c r="AK1169" s="1" t="s">
        <v>61</v>
      </c>
      <c r="AL1169" s="1" t="s">
        <v>61</v>
      </c>
      <c r="AM1169" s="1">
        <v>4</v>
      </c>
      <c r="AN1169" s="1">
        <v>0</v>
      </c>
      <c r="AO1169" s="1">
        <f t="shared" si="100"/>
        <v>4</v>
      </c>
    </row>
    <row r="1170" spans="1:41" x14ac:dyDescent="0.4">
      <c r="A1170" s="1">
        <v>1</v>
      </c>
      <c r="B1170" s="1" t="s">
        <v>1033</v>
      </c>
      <c r="C1170" s="1" t="s">
        <v>41</v>
      </c>
      <c r="D1170" s="2">
        <v>38901</v>
      </c>
      <c r="E1170" s="1">
        <v>184</v>
      </c>
      <c r="F1170" s="1">
        <v>22</v>
      </c>
      <c r="G1170" s="3">
        <v>0.69082175925925926</v>
      </c>
      <c r="H1170" s="3">
        <v>0.69905092592592588</v>
      </c>
      <c r="I1170" s="3">
        <v>8.2291666666666208E-3</v>
      </c>
      <c r="J1170" s="3">
        <v>8.1597222222222765E-3</v>
      </c>
      <c r="K1170" s="5">
        <f t="shared" si="99"/>
        <v>705</v>
      </c>
      <c r="L1170" s="3">
        <v>9.0277777777780788E-4</v>
      </c>
      <c r="N1170" s="1" t="s">
        <v>42</v>
      </c>
      <c r="O1170" s="1" t="s">
        <v>286</v>
      </c>
      <c r="P1170" s="1" t="s">
        <v>227</v>
      </c>
      <c r="Q1170" s="1" t="s">
        <v>45</v>
      </c>
      <c r="S1170" s="1" t="s">
        <v>46</v>
      </c>
      <c r="T1170" s="1" t="s">
        <v>45</v>
      </c>
      <c r="U1170" s="1" t="s">
        <v>66</v>
      </c>
      <c r="V1170" s="1" t="s">
        <v>49</v>
      </c>
      <c r="W1170" s="1" t="s">
        <v>634</v>
      </c>
      <c r="X1170" s="1" t="s">
        <v>177</v>
      </c>
      <c r="Y1170" s="1" t="s">
        <v>678</v>
      </c>
      <c r="Z1170" s="1" t="s">
        <v>679</v>
      </c>
      <c r="AA1170" s="1" t="s">
        <v>775</v>
      </c>
      <c r="AB1170" s="1" t="s">
        <v>1167</v>
      </c>
      <c r="AC1170" s="1">
        <v>0</v>
      </c>
      <c r="AD1170" s="1" t="s">
        <v>56</v>
      </c>
      <c r="AE1170" s="1" t="s">
        <v>181</v>
      </c>
      <c r="AG1170" s="1" t="s">
        <v>1168</v>
      </c>
      <c r="AH1170" s="1" t="s">
        <v>115</v>
      </c>
      <c r="AI1170" s="1" t="s">
        <v>71</v>
      </c>
      <c r="AJ1170" s="1" t="s">
        <v>147</v>
      </c>
      <c r="AK1170" s="1" t="s">
        <v>61</v>
      </c>
      <c r="AL1170" s="1" t="s">
        <v>72</v>
      </c>
      <c r="AM1170" s="1">
        <v>2</v>
      </c>
      <c r="AN1170" s="1">
        <v>0</v>
      </c>
      <c r="AO1170" s="1">
        <f t="shared" si="100"/>
        <v>2</v>
      </c>
    </row>
    <row r="1171" spans="1:41" x14ac:dyDescent="0.4">
      <c r="A1171" s="1">
        <v>1</v>
      </c>
      <c r="B1171" s="1" t="s">
        <v>1033</v>
      </c>
      <c r="C1171" s="1" t="s">
        <v>41</v>
      </c>
      <c r="D1171" s="2">
        <v>38901</v>
      </c>
      <c r="E1171" s="1">
        <v>184</v>
      </c>
      <c r="F1171" s="1">
        <v>23</v>
      </c>
      <c r="G1171" s="3">
        <v>0.69995370370370369</v>
      </c>
      <c r="H1171" s="3">
        <v>0.70070601851851855</v>
      </c>
      <c r="I1171" s="3">
        <v>7.523148148148584E-4</v>
      </c>
      <c r="J1171" s="3">
        <v>7.523148148148584E-4</v>
      </c>
      <c r="K1171" s="5">
        <f t="shared" si="99"/>
        <v>65</v>
      </c>
      <c r="L1171" s="3" t="s">
        <v>120</v>
      </c>
      <c r="N1171" s="1" t="s">
        <v>42</v>
      </c>
      <c r="O1171" s="1" t="s">
        <v>286</v>
      </c>
      <c r="P1171" s="1" t="s">
        <v>227</v>
      </c>
      <c r="Q1171" s="1" t="s">
        <v>45</v>
      </c>
      <c r="S1171" s="1" t="s">
        <v>46</v>
      </c>
      <c r="T1171" s="1" t="s">
        <v>45</v>
      </c>
      <c r="U1171" s="1" t="s">
        <v>66</v>
      </c>
      <c r="V1171" s="1" t="s">
        <v>102</v>
      </c>
      <c r="W1171" s="1" t="s">
        <v>433</v>
      </c>
      <c r="X1171" s="1" t="s">
        <v>96</v>
      </c>
      <c r="Y1171" s="1" t="s">
        <v>1095</v>
      </c>
      <c r="Z1171" s="1" t="s">
        <v>1096</v>
      </c>
      <c r="AA1171" s="1" t="s">
        <v>1097</v>
      </c>
      <c r="AB1171" s="1" t="s">
        <v>1098</v>
      </c>
      <c r="AC1171" s="1">
        <v>0</v>
      </c>
      <c r="AD1171" s="1" t="s">
        <v>1099</v>
      </c>
      <c r="AE1171" s="1" t="s">
        <v>70</v>
      </c>
      <c r="AG1171" s="1" t="s">
        <v>1168</v>
      </c>
      <c r="AI1171" s="1" t="s">
        <v>71</v>
      </c>
      <c r="AK1171" s="1" t="s">
        <v>86</v>
      </c>
      <c r="AL1171" s="1" t="s">
        <v>133</v>
      </c>
      <c r="AM1171" s="1">
        <v>2</v>
      </c>
      <c r="AN1171" s="1">
        <v>0</v>
      </c>
      <c r="AO1171" s="1">
        <f t="shared" si="100"/>
        <v>2</v>
      </c>
    </row>
    <row r="1172" spans="1:41" x14ac:dyDescent="0.4">
      <c r="A1172" s="1">
        <v>1</v>
      </c>
      <c r="B1172" s="1" t="s">
        <v>1033</v>
      </c>
      <c r="C1172" s="1" t="s">
        <v>41</v>
      </c>
      <c r="D1172" s="2">
        <v>38902</v>
      </c>
      <c r="E1172" s="1">
        <v>185</v>
      </c>
      <c r="F1172" s="1">
        <v>1</v>
      </c>
      <c r="G1172" s="3">
        <v>0.30637731481481484</v>
      </c>
      <c r="H1172" s="3">
        <v>0.3069675925925926</v>
      </c>
      <c r="I1172" s="3">
        <v>5.9027777777775903E-4</v>
      </c>
      <c r="J1172" s="3">
        <v>5.9027777777775903E-4</v>
      </c>
      <c r="K1172" s="5">
        <f t="shared" si="99"/>
        <v>51</v>
      </c>
      <c r="L1172" s="3">
        <v>2.126157407407403E-2</v>
      </c>
      <c r="N1172" s="1" t="s">
        <v>75</v>
      </c>
      <c r="O1172" s="1" t="s">
        <v>286</v>
      </c>
      <c r="P1172" s="1" t="s">
        <v>227</v>
      </c>
      <c r="Q1172" s="1" t="s">
        <v>76</v>
      </c>
      <c r="S1172" s="1" t="s">
        <v>46</v>
      </c>
      <c r="T1172" s="1" t="s">
        <v>47</v>
      </c>
      <c r="U1172" s="1" t="s">
        <v>66</v>
      </c>
      <c r="V1172" s="1" t="s">
        <v>102</v>
      </c>
      <c r="W1172" s="1" t="s">
        <v>433</v>
      </c>
      <c r="X1172" s="1" t="s">
        <v>96</v>
      </c>
      <c r="Y1172" s="1" t="s">
        <v>1095</v>
      </c>
      <c r="Z1172" s="1" t="s">
        <v>1096</v>
      </c>
      <c r="AA1172" s="1" t="s">
        <v>1097</v>
      </c>
      <c r="AB1172" s="1" t="s">
        <v>1098</v>
      </c>
      <c r="AC1172" s="1">
        <v>0</v>
      </c>
      <c r="AD1172" s="1" t="s">
        <v>1099</v>
      </c>
      <c r="AE1172" s="1" t="s">
        <v>70</v>
      </c>
      <c r="AF1172" s="1" t="s">
        <v>153</v>
      </c>
      <c r="AG1172" s="1" t="s">
        <v>1108</v>
      </c>
      <c r="AI1172" s="1" t="s">
        <v>75</v>
      </c>
      <c r="AK1172" s="1" t="s">
        <v>86</v>
      </c>
      <c r="AL1172" s="1" t="s">
        <v>87</v>
      </c>
      <c r="AM1172" s="1">
        <v>4</v>
      </c>
      <c r="AN1172" s="1">
        <v>0</v>
      </c>
      <c r="AO1172" s="1">
        <f t="shared" si="100"/>
        <v>4</v>
      </c>
    </row>
    <row r="1173" spans="1:41" x14ac:dyDescent="0.4">
      <c r="A1173" s="1">
        <v>1</v>
      </c>
      <c r="B1173" s="1" t="s">
        <v>1033</v>
      </c>
      <c r="C1173" s="1" t="s">
        <v>41</v>
      </c>
      <c r="D1173" s="2">
        <v>38902</v>
      </c>
      <c r="E1173" s="1">
        <v>185</v>
      </c>
      <c r="F1173" s="1">
        <v>2</v>
      </c>
      <c r="G1173" s="3">
        <v>0.32822916666666663</v>
      </c>
      <c r="H1173" s="3">
        <v>0.33200231481481485</v>
      </c>
      <c r="I1173" s="3">
        <v>3.7731481481482199E-3</v>
      </c>
      <c r="J1173" s="3">
        <v>3.7731481481482199E-3</v>
      </c>
      <c r="K1173" s="5">
        <f t="shared" si="99"/>
        <v>326</v>
      </c>
      <c r="L1173" s="3">
        <v>8.0671296296296324E-3</v>
      </c>
      <c r="N1173" s="1" t="s">
        <v>75</v>
      </c>
      <c r="O1173" s="1" t="s">
        <v>286</v>
      </c>
      <c r="P1173" s="1" t="s">
        <v>227</v>
      </c>
      <c r="Q1173" s="1" t="s">
        <v>76</v>
      </c>
      <c r="S1173" s="1" t="s">
        <v>46</v>
      </c>
      <c r="T1173" s="1" t="s">
        <v>47</v>
      </c>
      <c r="U1173" s="1" t="s">
        <v>66</v>
      </c>
      <c r="V1173" s="1" t="s">
        <v>49</v>
      </c>
      <c r="W1173" s="1" t="s">
        <v>77</v>
      </c>
      <c r="X1173" s="1" t="s">
        <v>538</v>
      </c>
      <c r="Y1173" s="1" t="s">
        <v>276</v>
      </c>
      <c r="Z1173" s="1" t="s">
        <v>277</v>
      </c>
      <c r="AA1173" s="1">
        <v>1</v>
      </c>
      <c r="AB1173" s="1" t="s">
        <v>539</v>
      </c>
      <c r="AC1173" s="1">
        <v>0</v>
      </c>
      <c r="AD1173" s="1" t="s">
        <v>56</v>
      </c>
      <c r="AE1173" s="1" t="s">
        <v>181</v>
      </c>
      <c r="AF1173" s="1" t="s">
        <v>113</v>
      </c>
      <c r="AG1173" s="1" t="s">
        <v>1169</v>
      </c>
      <c r="AH1173" s="1" t="s">
        <v>115</v>
      </c>
      <c r="AI1173" s="1" t="s">
        <v>75</v>
      </c>
      <c r="AK1173" s="1" t="s">
        <v>116</v>
      </c>
      <c r="AL1173" s="1" t="s">
        <v>155</v>
      </c>
      <c r="AM1173" s="1">
        <v>1</v>
      </c>
      <c r="AN1173" s="1">
        <v>0</v>
      </c>
      <c r="AO1173" s="1">
        <f t="shared" si="100"/>
        <v>1</v>
      </c>
    </row>
    <row r="1174" spans="1:41" x14ac:dyDescent="0.4">
      <c r="A1174" s="1">
        <v>1</v>
      </c>
      <c r="B1174" s="1" t="s">
        <v>1033</v>
      </c>
      <c r="C1174" s="1" t="s">
        <v>41</v>
      </c>
      <c r="D1174" s="2">
        <v>38902</v>
      </c>
      <c r="E1174" s="1">
        <v>185</v>
      </c>
      <c r="F1174" s="1">
        <v>3</v>
      </c>
      <c r="G1174" s="3">
        <v>0.34006944444444448</v>
      </c>
      <c r="H1174" s="3">
        <v>0.3495949074074074</v>
      </c>
      <c r="I1174" s="3">
        <v>9.5254629629629162E-3</v>
      </c>
      <c r="J1174" s="3">
        <v>8.900462962962874E-3</v>
      </c>
      <c r="K1174" s="5">
        <f t="shared" si="99"/>
        <v>769</v>
      </c>
      <c r="L1174" s="3">
        <v>1.1064814814814861E-2</v>
      </c>
      <c r="N1174" s="1" t="s">
        <v>75</v>
      </c>
      <c r="O1174" s="1" t="s">
        <v>286</v>
      </c>
      <c r="P1174" s="1" t="s">
        <v>227</v>
      </c>
      <c r="Q1174" s="1" t="s">
        <v>76</v>
      </c>
      <c r="S1174" s="1" t="s">
        <v>46</v>
      </c>
      <c r="T1174" s="1" t="s">
        <v>47</v>
      </c>
      <c r="U1174" s="1" t="s">
        <v>66</v>
      </c>
      <c r="V1174" s="1" t="s">
        <v>49</v>
      </c>
      <c r="W1174" s="1" t="s">
        <v>77</v>
      </c>
      <c r="X1174" s="1" t="s">
        <v>522</v>
      </c>
      <c r="Y1174" s="1" t="s">
        <v>79</v>
      </c>
      <c r="Z1174" s="1" t="s">
        <v>523</v>
      </c>
      <c r="AA1174" s="1" t="s">
        <v>524</v>
      </c>
      <c r="AB1174" s="1" t="s">
        <v>525</v>
      </c>
      <c r="AC1174" s="1">
        <v>0</v>
      </c>
      <c r="AD1174" s="1" t="s">
        <v>56</v>
      </c>
      <c r="AE1174" s="1" t="s">
        <v>57</v>
      </c>
      <c r="AG1174" s="1" t="s">
        <v>1086</v>
      </c>
      <c r="AH1174" s="1" t="s">
        <v>115</v>
      </c>
      <c r="AI1174" s="1" t="s">
        <v>75</v>
      </c>
      <c r="AK1174" s="1" t="s">
        <v>86</v>
      </c>
      <c r="AL1174" s="1" t="s">
        <v>87</v>
      </c>
      <c r="AM1174" s="1">
        <v>4</v>
      </c>
      <c r="AN1174" s="1">
        <v>0</v>
      </c>
      <c r="AO1174" s="1">
        <f t="shared" si="100"/>
        <v>4</v>
      </c>
    </row>
    <row r="1175" spans="1:41" x14ac:dyDescent="0.4">
      <c r="A1175" s="1">
        <v>1</v>
      </c>
      <c r="B1175" s="1" t="s">
        <v>1033</v>
      </c>
      <c r="C1175" s="1" t="s">
        <v>41</v>
      </c>
      <c r="D1175" s="2">
        <v>38902</v>
      </c>
      <c r="E1175" s="1">
        <v>185</v>
      </c>
      <c r="F1175" s="1">
        <v>3.2</v>
      </c>
      <c r="G1175" s="3">
        <v>0.36065972222222226</v>
      </c>
      <c r="H1175" s="3">
        <v>0.36078703703703702</v>
      </c>
      <c r="I1175" s="3">
        <v>1.273148148147607E-4</v>
      </c>
      <c r="J1175" s="3">
        <v>1.273148148147607E-4</v>
      </c>
      <c r="K1175" s="5">
        <f t="shared" si="99"/>
        <v>11</v>
      </c>
      <c r="L1175" s="3">
        <v>3.3912037037037157E-3</v>
      </c>
      <c r="N1175" s="1" t="s">
        <v>75</v>
      </c>
      <c r="O1175" s="1" t="s">
        <v>286</v>
      </c>
      <c r="P1175" s="1" t="s">
        <v>227</v>
      </c>
      <c r="Q1175" s="1" t="s">
        <v>76</v>
      </c>
      <c r="S1175" s="1" t="s">
        <v>46</v>
      </c>
      <c r="T1175" s="1" t="s">
        <v>47</v>
      </c>
      <c r="U1175" s="1" t="s">
        <v>66</v>
      </c>
      <c r="AB1175" s="1" t="s">
        <v>93</v>
      </c>
      <c r="AC1175" s="1">
        <v>1</v>
      </c>
      <c r="AG1175" s="1" t="s">
        <v>1043</v>
      </c>
      <c r="AI1175" s="1" t="s">
        <v>75</v>
      </c>
      <c r="AK1175" s="1" t="s">
        <v>61</v>
      </c>
      <c r="AL1175" s="1" t="s">
        <v>61</v>
      </c>
      <c r="AM1175" s="1">
        <v>5</v>
      </c>
      <c r="AN1175" s="1">
        <v>0</v>
      </c>
      <c r="AO1175" s="1">
        <f t="shared" si="100"/>
        <v>5</v>
      </c>
    </row>
    <row r="1176" spans="1:41" x14ac:dyDescent="0.4">
      <c r="A1176" s="1">
        <v>1</v>
      </c>
      <c r="B1176" s="1" t="s">
        <v>1033</v>
      </c>
      <c r="C1176" s="1" t="s">
        <v>41</v>
      </c>
      <c r="D1176" s="2">
        <v>38902</v>
      </c>
      <c r="E1176" s="1">
        <v>185</v>
      </c>
      <c r="F1176" s="1">
        <v>3.5</v>
      </c>
      <c r="G1176" s="3">
        <v>0.36417824074074073</v>
      </c>
      <c r="H1176" s="3">
        <v>0.36418981481481483</v>
      </c>
      <c r="I1176" s="3">
        <v>1.1574074074094387E-5</v>
      </c>
      <c r="J1176" s="3">
        <v>1.1574074074094387E-5</v>
      </c>
      <c r="K1176" s="5">
        <f t="shared" si="99"/>
        <v>1</v>
      </c>
      <c r="L1176" s="3">
        <v>2.8067129629629595E-2</v>
      </c>
      <c r="N1176" s="1" t="s">
        <v>75</v>
      </c>
      <c r="O1176" s="1" t="s">
        <v>286</v>
      </c>
      <c r="P1176" s="1" t="s">
        <v>227</v>
      </c>
      <c r="Q1176" s="1" t="s">
        <v>45</v>
      </c>
      <c r="S1176" s="1" t="s">
        <v>46</v>
      </c>
      <c r="T1176" s="1" t="s">
        <v>47</v>
      </c>
      <c r="U1176" s="1" t="s">
        <v>66</v>
      </c>
      <c r="AB1176" s="1" t="s">
        <v>93</v>
      </c>
      <c r="AC1176" s="1">
        <v>1</v>
      </c>
      <c r="AG1176" s="1" t="s">
        <v>1059</v>
      </c>
      <c r="AI1176" s="1" t="s">
        <v>75</v>
      </c>
      <c r="AK1176" s="1" t="s">
        <v>86</v>
      </c>
      <c r="AL1176" s="1" t="s">
        <v>133</v>
      </c>
      <c r="AM1176" s="1">
        <v>2</v>
      </c>
      <c r="AN1176" s="1">
        <v>0</v>
      </c>
      <c r="AO1176" s="1">
        <f t="shared" si="100"/>
        <v>2</v>
      </c>
    </row>
    <row r="1177" spans="1:41" x14ac:dyDescent="0.4">
      <c r="A1177" s="1">
        <v>1</v>
      </c>
      <c r="B1177" s="1" t="s">
        <v>1033</v>
      </c>
      <c r="C1177" s="1" t="s">
        <v>41</v>
      </c>
      <c r="D1177" s="2">
        <v>38902</v>
      </c>
      <c r="E1177" s="1">
        <v>185</v>
      </c>
      <c r="F1177" s="1">
        <v>6</v>
      </c>
      <c r="G1177" s="3">
        <v>0.39225694444444442</v>
      </c>
      <c r="H1177" s="3">
        <v>0.39900462962962963</v>
      </c>
      <c r="I1177" s="3">
        <v>6.7476851851852038E-3</v>
      </c>
      <c r="J1177" s="3">
        <v>6.7476851851852038E-3</v>
      </c>
      <c r="K1177" s="5">
        <f t="shared" si="99"/>
        <v>583</v>
      </c>
      <c r="L1177" s="3">
        <v>4.3530092592592606E-2</v>
      </c>
      <c r="N1177" s="1" t="s">
        <v>42</v>
      </c>
      <c r="O1177" s="1" t="s">
        <v>286</v>
      </c>
      <c r="P1177" s="1" t="s">
        <v>227</v>
      </c>
      <c r="Q1177" s="1" t="s">
        <v>76</v>
      </c>
      <c r="S1177" s="1" t="s">
        <v>46</v>
      </c>
      <c r="T1177" s="1" t="s">
        <v>47</v>
      </c>
      <c r="U1177" s="1" t="s">
        <v>66</v>
      </c>
      <c r="V1177" s="1" t="s">
        <v>49</v>
      </c>
      <c r="W1177" s="1" t="s">
        <v>50</v>
      </c>
      <c r="X1177" s="1" t="s">
        <v>1153</v>
      </c>
      <c r="Y1177" s="1" t="s">
        <v>1154</v>
      </c>
      <c r="Z1177" s="1" t="s">
        <v>1155</v>
      </c>
      <c r="AA1177" s="1" t="s">
        <v>1156</v>
      </c>
      <c r="AB1177" s="1" t="s">
        <v>1157</v>
      </c>
      <c r="AC1177" s="1">
        <v>0</v>
      </c>
      <c r="AD1177" s="1" t="s">
        <v>56</v>
      </c>
      <c r="AE1177" s="1" t="s">
        <v>70</v>
      </c>
      <c r="AF1177" s="1" t="s">
        <v>113</v>
      </c>
      <c r="AG1177" s="1" t="s">
        <v>1162</v>
      </c>
      <c r="AH1177" s="1" t="s">
        <v>115</v>
      </c>
      <c r="AI1177" s="1" t="s">
        <v>71</v>
      </c>
      <c r="AJ1177" s="1" t="s">
        <v>147</v>
      </c>
      <c r="AK1177" s="1" t="s">
        <v>116</v>
      </c>
      <c r="AL1177" s="1" t="s">
        <v>117</v>
      </c>
      <c r="AM1177" s="1">
        <v>8</v>
      </c>
      <c r="AN1177" s="1">
        <v>0</v>
      </c>
      <c r="AO1177" s="1">
        <f t="shared" si="100"/>
        <v>8</v>
      </c>
    </row>
    <row r="1178" spans="1:41" x14ac:dyDescent="0.4">
      <c r="A1178" s="1">
        <v>1</v>
      </c>
      <c r="B1178" s="1" t="s">
        <v>1033</v>
      </c>
      <c r="C1178" s="1" t="s">
        <v>41</v>
      </c>
      <c r="D1178" s="2">
        <v>38902</v>
      </c>
      <c r="E1178" s="1">
        <v>185</v>
      </c>
      <c r="F1178" s="1">
        <v>7</v>
      </c>
      <c r="G1178" s="3">
        <v>0.44253472222222223</v>
      </c>
      <c r="H1178" s="3">
        <v>0.4435648148148148</v>
      </c>
      <c r="I1178" s="3">
        <v>1.0300925925925686E-3</v>
      </c>
      <c r="J1178" s="3">
        <v>4.8611111111107608E-4</v>
      </c>
      <c r="K1178" s="5">
        <f t="shared" si="99"/>
        <v>42</v>
      </c>
      <c r="L1178" s="3">
        <v>7.0601851851853636E-4</v>
      </c>
      <c r="N1178" s="1" t="s">
        <v>42</v>
      </c>
      <c r="O1178" s="1" t="s">
        <v>286</v>
      </c>
      <c r="P1178" s="1" t="s">
        <v>227</v>
      </c>
      <c r="Q1178" s="1" t="s">
        <v>45</v>
      </c>
      <c r="S1178" s="1" t="s">
        <v>46</v>
      </c>
      <c r="T1178" s="1" t="s">
        <v>47</v>
      </c>
      <c r="U1178" s="1" t="s">
        <v>66</v>
      </c>
      <c r="V1178" s="1" t="s">
        <v>102</v>
      </c>
      <c r="W1178" s="1" t="s">
        <v>231</v>
      </c>
      <c r="X1178" s="1" t="s">
        <v>96</v>
      </c>
      <c r="AB1178" s="1" t="s">
        <v>104</v>
      </c>
      <c r="AC1178" s="1">
        <v>0</v>
      </c>
      <c r="AD1178" s="1" t="s">
        <v>105</v>
      </c>
      <c r="AE1178" s="1" t="s">
        <v>70</v>
      </c>
      <c r="AG1178" s="1" t="s">
        <v>1158</v>
      </c>
      <c r="AH1178" s="1" t="s">
        <v>157</v>
      </c>
      <c r="AI1178" s="1" t="s">
        <v>71</v>
      </c>
      <c r="AK1178" s="1" t="s">
        <v>61</v>
      </c>
      <c r="AL1178" s="1" t="s">
        <v>61</v>
      </c>
      <c r="AM1178" s="1">
        <v>6</v>
      </c>
      <c r="AN1178" s="1">
        <v>0</v>
      </c>
      <c r="AO1178" s="1">
        <f t="shared" si="100"/>
        <v>6</v>
      </c>
    </row>
    <row r="1179" spans="1:41" x14ac:dyDescent="0.4">
      <c r="A1179" s="1">
        <v>1</v>
      </c>
      <c r="B1179" s="1" t="s">
        <v>1033</v>
      </c>
      <c r="C1179" s="1" t="s">
        <v>41</v>
      </c>
      <c r="D1179" s="2">
        <v>38902</v>
      </c>
      <c r="E1179" s="1">
        <v>185</v>
      </c>
      <c r="F1179" s="1">
        <v>7.5</v>
      </c>
      <c r="G1179" s="3">
        <v>0.44427083333333334</v>
      </c>
      <c r="H1179" s="3">
        <v>0.44440972222222225</v>
      </c>
      <c r="I1179" s="3">
        <v>1.388888888889106E-4</v>
      </c>
      <c r="J1179" s="3">
        <v>1.388888888889106E-4</v>
      </c>
      <c r="K1179" s="5">
        <f t="shared" si="99"/>
        <v>12</v>
      </c>
      <c r="L1179" s="3">
        <v>1.0138888888888808E-2</v>
      </c>
      <c r="N1179" s="1" t="s">
        <v>42</v>
      </c>
      <c r="O1179" s="1" t="s">
        <v>286</v>
      </c>
      <c r="P1179" s="1" t="s">
        <v>227</v>
      </c>
      <c r="Q1179" s="1" t="s">
        <v>132</v>
      </c>
      <c r="S1179" s="1" t="s">
        <v>46</v>
      </c>
      <c r="T1179" s="1" t="s">
        <v>45</v>
      </c>
      <c r="U1179" s="1" t="s">
        <v>66</v>
      </c>
      <c r="V1179" s="1" t="s">
        <v>67</v>
      </c>
      <c r="W1179" s="1" t="s">
        <v>68</v>
      </c>
      <c r="Y1179" s="1" t="s">
        <v>68</v>
      </c>
      <c r="AB1179" s="1" t="s">
        <v>69</v>
      </c>
      <c r="AC1179" s="1">
        <v>0</v>
      </c>
      <c r="AD1179" s="1" t="s">
        <v>68</v>
      </c>
      <c r="AE1179" s="1" t="s">
        <v>70</v>
      </c>
      <c r="AG1179" s="1" t="s">
        <v>1158</v>
      </c>
      <c r="AI1179" s="1" t="s">
        <v>71</v>
      </c>
      <c r="AK1179" s="1" t="s">
        <v>86</v>
      </c>
      <c r="AL1179" s="1" t="s">
        <v>133</v>
      </c>
      <c r="AM1179" s="1">
        <v>6</v>
      </c>
      <c r="AN1179" s="1">
        <v>0</v>
      </c>
      <c r="AO1179" s="1">
        <f t="shared" si="100"/>
        <v>6</v>
      </c>
    </row>
    <row r="1180" spans="1:41" x14ac:dyDescent="0.4">
      <c r="A1180" s="1">
        <v>1</v>
      </c>
      <c r="B1180" s="1" t="s">
        <v>1033</v>
      </c>
      <c r="C1180" s="1" t="s">
        <v>41</v>
      </c>
      <c r="D1180" s="2">
        <v>38902</v>
      </c>
      <c r="E1180" s="1">
        <v>185</v>
      </c>
      <c r="F1180" s="1">
        <v>8</v>
      </c>
      <c r="G1180" s="3">
        <v>0.45454861111111106</v>
      </c>
      <c r="H1180" s="3">
        <v>0.45550925925925928</v>
      </c>
      <c r="I1180" s="3">
        <v>9.606481481482243E-4</v>
      </c>
      <c r="J1180" s="3">
        <v>9.606481481482243E-4</v>
      </c>
      <c r="K1180" s="5">
        <f t="shared" si="99"/>
        <v>83</v>
      </c>
      <c r="L1180" s="3">
        <v>1.5196759259259229E-2</v>
      </c>
      <c r="N1180" s="1" t="s">
        <v>42</v>
      </c>
      <c r="O1180" s="1" t="s">
        <v>286</v>
      </c>
      <c r="P1180" s="1" t="s">
        <v>227</v>
      </c>
      <c r="Q1180" s="1" t="s">
        <v>76</v>
      </c>
      <c r="S1180" s="1" t="s">
        <v>46</v>
      </c>
      <c r="T1180" s="1" t="s">
        <v>76</v>
      </c>
      <c r="U1180" s="1" t="s">
        <v>48</v>
      </c>
      <c r="V1180" s="1" t="s">
        <v>102</v>
      </c>
      <c r="W1180" s="1" t="s">
        <v>103</v>
      </c>
      <c r="X1180" s="1" t="s">
        <v>96</v>
      </c>
      <c r="AB1180" s="1" t="s">
        <v>104</v>
      </c>
      <c r="AC1180" s="1">
        <v>0</v>
      </c>
      <c r="AD1180" s="1" t="s">
        <v>105</v>
      </c>
      <c r="AE1180" s="1" t="s">
        <v>70</v>
      </c>
      <c r="AH1180" s="1" t="s">
        <v>157</v>
      </c>
      <c r="AI1180" s="1" t="s">
        <v>60</v>
      </c>
      <c r="AK1180" s="1" t="s">
        <v>86</v>
      </c>
      <c r="AL1180" s="1" t="s">
        <v>133</v>
      </c>
      <c r="AN1180" s="1">
        <v>1</v>
      </c>
      <c r="AO1180" s="1">
        <f t="shared" si="100"/>
        <v>1</v>
      </c>
    </row>
    <row r="1181" spans="1:41" x14ac:dyDescent="0.4">
      <c r="A1181" s="1">
        <v>1</v>
      </c>
      <c r="B1181" s="1" t="s">
        <v>1033</v>
      </c>
      <c r="C1181" s="1" t="s">
        <v>41</v>
      </c>
      <c r="D1181" s="2">
        <v>38902</v>
      </c>
      <c r="E1181" s="1">
        <v>185</v>
      </c>
      <c r="F1181" s="1">
        <v>9</v>
      </c>
      <c r="G1181" s="3">
        <v>0.47070601851851851</v>
      </c>
      <c r="H1181" s="3">
        <v>0.4773958333333333</v>
      </c>
      <c r="I1181" s="3">
        <v>6.6898148148147873E-3</v>
      </c>
      <c r="J1181" s="3">
        <v>6.6898148148147873E-3</v>
      </c>
      <c r="K1181" s="5">
        <f t="shared" si="99"/>
        <v>578</v>
      </c>
      <c r="L1181" s="3">
        <v>2.3472222222222283E-2</v>
      </c>
      <c r="N1181" s="1" t="s">
        <v>42</v>
      </c>
      <c r="O1181" s="1" t="s">
        <v>286</v>
      </c>
      <c r="P1181" s="1" t="s">
        <v>227</v>
      </c>
      <c r="Q1181" s="1" t="s">
        <v>132</v>
      </c>
      <c r="S1181" s="1" t="s">
        <v>46</v>
      </c>
      <c r="T1181" s="1" t="s">
        <v>45</v>
      </c>
      <c r="U1181" s="1" t="s">
        <v>156</v>
      </c>
      <c r="V1181" s="1" t="s">
        <v>49</v>
      </c>
      <c r="W1181" s="1" t="s">
        <v>50</v>
      </c>
      <c r="X1181" s="1" t="s">
        <v>464</v>
      </c>
      <c r="Y1181" s="1" t="s">
        <v>347</v>
      </c>
      <c r="Z1181" s="1" t="s">
        <v>348</v>
      </c>
      <c r="AA1181" s="1" t="s">
        <v>465</v>
      </c>
      <c r="AB1181" s="1" t="s">
        <v>466</v>
      </c>
      <c r="AC1181" s="1">
        <v>0</v>
      </c>
      <c r="AD1181" s="1" t="s">
        <v>56</v>
      </c>
      <c r="AE1181" s="1" t="s">
        <v>83</v>
      </c>
      <c r="AG1181" s="1" t="s">
        <v>1170</v>
      </c>
      <c r="AH1181" s="1" t="s">
        <v>115</v>
      </c>
      <c r="AI1181" s="1" t="s">
        <v>75</v>
      </c>
      <c r="AK1181" s="1" t="s">
        <v>86</v>
      </c>
      <c r="AL1181" s="1" t="s">
        <v>87</v>
      </c>
      <c r="AM1181" s="1">
        <v>3</v>
      </c>
      <c r="AN1181" s="1">
        <v>0</v>
      </c>
      <c r="AO1181" s="1">
        <f t="shared" si="100"/>
        <v>3</v>
      </c>
    </row>
    <row r="1182" spans="1:41" x14ac:dyDescent="0.4">
      <c r="A1182" s="1">
        <v>1</v>
      </c>
      <c r="B1182" s="1" t="s">
        <v>1033</v>
      </c>
      <c r="C1182" s="1" t="s">
        <v>41</v>
      </c>
      <c r="D1182" s="2">
        <v>38902</v>
      </c>
      <c r="E1182" s="1">
        <v>185</v>
      </c>
      <c r="F1182" s="1">
        <v>9.1</v>
      </c>
      <c r="G1182" s="3">
        <v>0.50086805555555558</v>
      </c>
      <c r="H1182" s="3">
        <v>0.50292824074074072</v>
      </c>
      <c r="I1182" s="3">
        <v>2.0601851851851372E-3</v>
      </c>
      <c r="J1182" s="3">
        <v>6.9444444444344278E-5</v>
      </c>
      <c r="K1182" s="5">
        <f t="shared" si="99"/>
        <v>6</v>
      </c>
      <c r="L1182" s="3">
        <v>9.9537037037037424E-3</v>
      </c>
      <c r="N1182" s="1" t="s">
        <v>42</v>
      </c>
      <c r="O1182" s="1" t="s">
        <v>286</v>
      </c>
      <c r="P1182" s="1" t="s">
        <v>227</v>
      </c>
      <c r="Q1182" s="1" t="s">
        <v>132</v>
      </c>
      <c r="S1182" s="1" t="s">
        <v>46</v>
      </c>
      <c r="T1182" s="1" t="s">
        <v>76</v>
      </c>
      <c r="U1182" s="1" t="s">
        <v>156</v>
      </c>
      <c r="AB1182" s="1" t="s">
        <v>93</v>
      </c>
      <c r="AC1182" s="1">
        <v>1</v>
      </c>
      <c r="AG1182" s="1" t="s">
        <v>1165</v>
      </c>
      <c r="AI1182" s="1" t="s">
        <v>75</v>
      </c>
      <c r="AK1182" s="1" t="s">
        <v>86</v>
      </c>
      <c r="AL1182" s="1" t="s">
        <v>87</v>
      </c>
      <c r="AM1182" s="1">
        <v>5</v>
      </c>
      <c r="AN1182" s="1">
        <v>0</v>
      </c>
      <c r="AO1182" s="1">
        <f t="shared" si="100"/>
        <v>5</v>
      </c>
    </row>
    <row r="1183" spans="1:41" x14ac:dyDescent="0.4">
      <c r="A1183" s="1">
        <v>1</v>
      </c>
      <c r="B1183" s="1" t="s">
        <v>1033</v>
      </c>
      <c r="C1183" s="1" t="s">
        <v>41</v>
      </c>
      <c r="D1183" s="2">
        <v>38902</v>
      </c>
      <c r="E1183" s="1">
        <v>185</v>
      </c>
      <c r="F1183" s="1">
        <v>9.1999999999999993</v>
      </c>
      <c r="G1183" s="3">
        <v>0.51288194444444446</v>
      </c>
      <c r="H1183" s="3">
        <v>0.51290509259259254</v>
      </c>
      <c r="I1183" s="3">
        <v>2.3148148148077752E-5</v>
      </c>
      <c r="J1183" s="3">
        <v>2.3148148148077752E-5</v>
      </c>
      <c r="K1183" s="5">
        <f t="shared" si="99"/>
        <v>2</v>
      </c>
      <c r="L1183" s="3">
        <v>7.8703703703708605E-4</v>
      </c>
      <c r="N1183" s="1" t="s">
        <v>42</v>
      </c>
      <c r="O1183" s="1" t="s">
        <v>286</v>
      </c>
      <c r="P1183" s="1" t="s">
        <v>227</v>
      </c>
      <c r="Q1183" s="1" t="s">
        <v>132</v>
      </c>
      <c r="S1183" s="1" t="s">
        <v>46</v>
      </c>
      <c r="T1183" s="1" t="s">
        <v>76</v>
      </c>
      <c r="U1183" s="1" t="s">
        <v>92</v>
      </c>
      <c r="AB1183" s="1" t="s">
        <v>93</v>
      </c>
      <c r="AC1183" s="1">
        <v>1</v>
      </c>
      <c r="AG1183" s="1" t="s">
        <v>1082</v>
      </c>
      <c r="AI1183" s="1" t="s">
        <v>75</v>
      </c>
      <c r="AK1183" s="1" t="s">
        <v>86</v>
      </c>
      <c r="AL1183" s="1" t="s">
        <v>133</v>
      </c>
      <c r="AM1183" s="1">
        <v>2</v>
      </c>
      <c r="AN1183" s="1">
        <v>0</v>
      </c>
      <c r="AO1183" s="1">
        <f t="shared" si="100"/>
        <v>2</v>
      </c>
    </row>
    <row r="1184" spans="1:41" x14ac:dyDescent="0.4">
      <c r="A1184" s="1">
        <v>1</v>
      </c>
      <c r="B1184" s="1" t="s">
        <v>1033</v>
      </c>
      <c r="C1184" s="1" t="s">
        <v>41</v>
      </c>
      <c r="D1184" s="2">
        <v>38902</v>
      </c>
      <c r="E1184" s="1">
        <v>185</v>
      </c>
      <c r="F1184" s="1">
        <v>9.3000000000000007</v>
      </c>
      <c r="G1184" s="3">
        <v>0.51369212962962962</v>
      </c>
      <c r="H1184" s="3">
        <v>0.51439814814814822</v>
      </c>
      <c r="I1184" s="3">
        <v>7.0601851851859188E-4</v>
      </c>
      <c r="J1184" s="3">
        <v>8.1018518518605198E-5</v>
      </c>
      <c r="K1184" s="5">
        <f t="shared" si="99"/>
        <v>7</v>
      </c>
      <c r="L1184" s="3">
        <v>8.0555555555554825E-3</v>
      </c>
      <c r="N1184" s="1" t="s">
        <v>42</v>
      </c>
      <c r="O1184" s="1" t="s">
        <v>286</v>
      </c>
      <c r="P1184" s="1" t="s">
        <v>227</v>
      </c>
      <c r="Q1184" s="1" t="s">
        <v>132</v>
      </c>
      <c r="S1184" s="1" t="s">
        <v>46</v>
      </c>
      <c r="T1184" s="1" t="s">
        <v>76</v>
      </c>
      <c r="U1184" s="1" t="s">
        <v>92</v>
      </c>
      <c r="AB1184" s="1" t="s">
        <v>93</v>
      </c>
      <c r="AC1184" s="1">
        <v>1</v>
      </c>
      <c r="AG1184" s="1" t="s">
        <v>1079</v>
      </c>
      <c r="AI1184" s="1" t="s">
        <v>75</v>
      </c>
      <c r="AK1184" s="1" t="s">
        <v>86</v>
      </c>
      <c r="AL1184" s="1" t="s">
        <v>133</v>
      </c>
      <c r="AM1184" s="1">
        <v>2</v>
      </c>
      <c r="AN1184" s="1">
        <v>0</v>
      </c>
      <c r="AO1184" s="1">
        <f t="shared" si="100"/>
        <v>2</v>
      </c>
    </row>
    <row r="1185" spans="1:41" x14ac:dyDescent="0.4">
      <c r="A1185" s="1">
        <v>1</v>
      </c>
      <c r="B1185" s="1" t="s">
        <v>1033</v>
      </c>
      <c r="C1185" s="1" t="s">
        <v>41</v>
      </c>
      <c r="D1185" s="2">
        <v>38902</v>
      </c>
      <c r="E1185" s="1">
        <v>185</v>
      </c>
      <c r="F1185" s="1">
        <v>9.4</v>
      </c>
      <c r="G1185" s="3">
        <v>0.5224537037037037</v>
      </c>
      <c r="H1185" s="3">
        <v>0.52249999999999996</v>
      </c>
      <c r="I1185" s="3">
        <v>4.6296296296266526E-5</v>
      </c>
      <c r="J1185" s="3">
        <v>4.6296296296266526E-5</v>
      </c>
      <c r="K1185" s="5">
        <f t="shared" si="99"/>
        <v>4</v>
      </c>
      <c r="L1185" s="3">
        <v>2.8819444444444509E-3</v>
      </c>
      <c r="N1185" s="1" t="s">
        <v>42</v>
      </c>
      <c r="O1185" s="1" t="s">
        <v>286</v>
      </c>
      <c r="P1185" s="1" t="s">
        <v>227</v>
      </c>
      <c r="Q1185" s="1" t="s">
        <v>132</v>
      </c>
      <c r="S1185" s="1" t="s">
        <v>46</v>
      </c>
      <c r="T1185" s="1" t="s">
        <v>45</v>
      </c>
      <c r="U1185" s="1" t="s">
        <v>156</v>
      </c>
      <c r="AB1185" s="1" t="s">
        <v>93</v>
      </c>
      <c r="AC1185" s="1">
        <v>1</v>
      </c>
      <c r="AI1185" s="1" t="s">
        <v>75</v>
      </c>
      <c r="AK1185" s="1" t="s">
        <v>86</v>
      </c>
      <c r="AL1185" s="1" t="s">
        <v>133</v>
      </c>
      <c r="AN1185" s="1">
        <v>1</v>
      </c>
      <c r="AO1185" s="1">
        <f t="shared" si="100"/>
        <v>1</v>
      </c>
    </row>
    <row r="1186" spans="1:41" x14ac:dyDescent="0.4">
      <c r="A1186" s="1">
        <v>1</v>
      </c>
      <c r="B1186" s="1" t="s">
        <v>1033</v>
      </c>
      <c r="C1186" s="1" t="s">
        <v>41</v>
      </c>
      <c r="D1186" s="2">
        <v>38902</v>
      </c>
      <c r="E1186" s="1">
        <v>185</v>
      </c>
      <c r="F1186" s="1">
        <v>9.5</v>
      </c>
      <c r="G1186" s="3">
        <v>0.52538194444444442</v>
      </c>
      <c r="H1186" s="3">
        <v>0.52901620370370372</v>
      </c>
      <c r="I1186" s="3">
        <v>3.6342592592593093E-3</v>
      </c>
      <c r="J1186" s="3">
        <v>4.745370370370372E-4</v>
      </c>
      <c r="K1186" s="5">
        <f t="shared" si="99"/>
        <v>41</v>
      </c>
      <c r="L1186" s="3">
        <v>7.2453703703703187E-3</v>
      </c>
      <c r="N1186" s="1" t="s">
        <v>42</v>
      </c>
      <c r="O1186" s="1" t="s">
        <v>286</v>
      </c>
      <c r="P1186" s="1" t="s">
        <v>227</v>
      </c>
      <c r="Q1186" s="1" t="s">
        <v>132</v>
      </c>
      <c r="S1186" s="1" t="s">
        <v>46</v>
      </c>
      <c r="T1186" s="1" t="s">
        <v>45</v>
      </c>
      <c r="U1186" s="1" t="s">
        <v>92</v>
      </c>
      <c r="AB1186" s="1" t="s">
        <v>93</v>
      </c>
      <c r="AC1186" s="1">
        <v>1</v>
      </c>
      <c r="AG1186" s="1" t="s">
        <v>1171</v>
      </c>
      <c r="AI1186" s="1" t="s">
        <v>75</v>
      </c>
      <c r="AK1186" s="1" t="s">
        <v>86</v>
      </c>
      <c r="AL1186" s="1" t="s">
        <v>133</v>
      </c>
      <c r="AM1186" s="1">
        <v>1</v>
      </c>
      <c r="AN1186" s="1">
        <v>0</v>
      </c>
      <c r="AO1186" s="1">
        <f t="shared" si="100"/>
        <v>1</v>
      </c>
    </row>
    <row r="1187" spans="1:41" x14ac:dyDescent="0.4">
      <c r="A1187" s="1">
        <v>1</v>
      </c>
      <c r="B1187" s="1" t="s">
        <v>1033</v>
      </c>
      <c r="C1187" s="1" t="s">
        <v>41</v>
      </c>
      <c r="D1187" s="2">
        <v>38902</v>
      </c>
      <c r="E1187" s="1">
        <v>185</v>
      </c>
      <c r="F1187" s="1">
        <v>9.6</v>
      </c>
      <c r="G1187" s="3">
        <v>0.53626157407407404</v>
      </c>
      <c r="H1187" s="3">
        <v>0.53630787037037042</v>
      </c>
      <c r="I1187" s="3">
        <v>4.6296296296377548E-5</v>
      </c>
      <c r="J1187" s="3">
        <v>4.6296296296377548E-5</v>
      </c>
      <c r="K1187" s="5">
        <f t="shared" si="99"/>
        <v>4</v>
      </c>
      <c r="L1187" s="3">
        <v>1.2499999999999734E-3</v>
      </c>
      <c r="N1187" s="1" t="s">
        <v>42</v>
      </c>
      <c r="O1187" s="1" t="s">
        <v>286</v>
      </c>
      <c r="P1187" s="1" t="s">
        <v>227</v>
      </c>
      <c r="Q1187" s="1" t="s">
        <v>132</v>
      </c>
      <c r="S1187" s="1" t="s">
        <v>46</v>
      </c>
      <c r="T1187" s="1" t="s">
        <v>45</v>
      </c>
      <c r="U1187" s="1" t="s">
        <v>156</v>
      </c>
      <c r="AB1187" s="1" t="s">
        <v>93</v>
      </c>
      <c r="AC1187" s="1">
        <v>1</v>
      </c>
      <c r="AI1187" s="1" t="s">
        <v>75</v>
      </c>
      <c r="AK1187" s="1" t="s">
        <v>86</v>
      </c>
      <c r="AL1187" s="1" t="s">
        <v>87</v>
      </c>
      <c r="AN1187" s="1">
        <v>1</v>
      </c>
      <c r="AO1187" s="1">
        <f t="shared" si="100"/>
        <v>1</v>
      </c>
    </row>
    <row r="1188" spans="1:41" x14ac:dyDescent="0.4">
      <c r="A1188" s="1">
        <v>1</v>
      </c>
      <c r="B1188" s="1" t="s">
        <v>1033</v>
      </c>
      <c r="C1188" s="1" t="s">
        <v>41</v>
      </c>
      <c r="D1188" s="2">
        <v>38902</v>
      </c>
      <c r="E1188" s="1">
        <v>185</v>
      </c>
      <c r="F1188" s="1">
        <v>9.6999999999999993</v>
      </c>
      <c r="G1188" s="3">
        <v>0.53755787037037039</v>
      </c>
      <c r="H1188" s="3">
        <v>0.53760416666666666</v>
      </c>
      <c r="I1188" s="3">
        <v>4.6296296296266526E-5</v>
      </c>
      <c r="J1188" s="3">
        <v>4.6296296296266526E-5</v>
      </c>
      <c r="K1188" s="5">
        <f t="shared" si="99"/>
        <v>4</v>
      </c>
      <c r="L1188" s="3">
        <v>8.101851851851638E-4</v>
      </c>
      <c r="N1188" s="1" t="s">
        <v>42</v>
      </c>
      <c r="O1188" s="1" t="s">
        <v>286</v>
      </c>
      <c r="P1188" s="1" t="s">
        <v>227</v>
      </c>
      <c r="Q1188" s="1" t="s">
        <v>132</v>
      </c>
      <c r="S1188" s="1" t="s">
        <v>46</v>
      </c>
      <c r="T1188" s="1" t="s">
        <v>45</v>
      </c>
      <c r="U1188" s="1" t="s">
        <v>156</v>
      </c>
      <c r="AB1188" s="1" t="s">
        <v>93</v>
      </c>
      <c r="AC1188" s="1">
        <v>1</v>
      </c>
      <c r="AI1188" s="1" t="s">
        <v>75</v>
      </c>
      <c r="AK1188" s="1" t="s">
        <v>86</v>
      </c>
      <c r="AL1188" s="1" t="s">
        <v>87</v>
      </c>
      <c r="AN1188" s="1">
        <v>1</v>
      </c>
      <c r="AO1188" s="1">
        <f t="shared" si="100"/>
        <v>1</v>
      </c>
    </row>
    <row r="1189" spans="1:41" x14ac:dyDescent="0.4">
      <c r="A1189" s="1">
        <v>1</v>
      </c>
      <c r="B1189" s="1" t="s">
        <v>1033</v>
      </c>
      <c r="C1189" s="1" t="s">
        <v>41</v>
      </c>
      <c r="D1189" s="2">
        <v>38902</v>
      </c>
      <c r="E1189" s="1">
        <v>185</v>
      </c>
      <c r="F1189" s="1">
        <v>9.8000000000000007</v>
      </c>
      <c r="G1189" s="3">
        <v>0.53841435185185182</v>
      </c>
      <c r="H1189" s="3">
        <v>0.53846064814814809</v>
      </c>
      <c r="I1189" s="3">
        <v>4.6296296296266526E-5</v>
      </c>
      <c r="J1189" s="3">
        <v>4.6296296296266526E-5</v>
      </c>
      <c r="K1189" s="5">
        <f t="shared" si="99"/>
        <v>4</v>
      </c>
      <c r="L1189" s="3">
        <v>2.1064814814815147E-3</v>
      </c>
      <c r="N1189" s="1" t="s">
        <v>42</v>
      </c>
      <c r="O1189" s="1" t="s">
        <v>286</v>
      </c>
      <c r="P1189" s="1" t="s">
        <v>227</v>
      </c>
      <c r="Q1189" s="1" t="s">
        <v>45</v>
      </c>
      <c r="S1189" s="1" t="s">
        <v>46</v>
      </c>
      <c r="T1189" s="1" t="s">
        <v>45</v>
      </c>
      <c r="U1189" s="1" t="s">
        <v>156</v>
      </c>
      <c r="AB1189" s="1" t="s">
        <v>93</v>
      </c>
      <c r="AC1189" s="1">
        <v>1</v>
      </c>
      <c r="AI1189" s="1" t="s">
        <v>75</v>
      </c>
      <c r="AK1189" s="1" t="s">
        <v>86</v>
      </c>
      <c r="AL1189" s="1" t="s">
        <v>87</v>
      </c>
      <c r="AN1189" s="1">
        <v>1</v>
      </c>
      <c r="AO1189" s="1">
        <f t="shared" si="100"/>
        <v>1</v>
      </c>
    </row>
    <row r="1190" spans="1:41" x14ac:dyDescent="0.4">
      <c r="A1190" s="1">
        <v>1</v>
      </c>
      <c r="B1190" s="1" t="s">
        <v>1033</v>
      </c>
      <c r="C1190" s="1" t="s">
        <v>41</v>
      </c>
      <c r="D1190" s="2">
        <v>38902</v>
      </c>
      <c r="E1190" s="1">
        <v>185</v>
      </c>
      <c r="F1190" s="1">
        <v>10</v>
      </c>
      <c r="G1190" s="3">
        <v>0.54056712962962961</v>
      </c>
      <c r="H1190" s="3">
        <v>0.54347222222222225</v>
      </c>
      <c r="I1190" s="3">
        <v>2.9050925925926396E-3</v>
      </c>
      <c r="J1190" s="3">
        <v>2.9050925925926396E-3</v>
      </c>
      <c r="K1190" s="5">
        <f t="shared" si="99"/>
        <v>251</v>
      </c>
      <c r="L1190" s="3">
        <v>1.7245370370370106E-3</v>
      </c>
      <c r="N1190" s="1" t="s">
        <v>42</v>
      </c>
      <c r="O1190" s="1" t="s">
        <v>286</v>
      </c>
      <c r="P1190" s="1" t="s">
        <v>227</v>
      </c>
      <c r="Q1190" s="1" t="s">
        <v>45</v>
      </c>
      <c r="S1190" s="1" t="s">
        <v>46</v>
      </c>
      <c r="T1190" s="1" t="s">
        <v>45</v>
      </c>
      <c r="U1190" s="1" t="s">
        <v>92</v>
      </c>
      <c r="V1190" s="1" t="s">
        <v>49</v>
      </c>
      <c r="W1190" s="1" t="s">
        <v>50</v>
      </c>
      <c r="X1190" s="1" t="s">
        <v>96</v>
      </c>
      <c r="Y1190" s="1" t="s">
        <v>52</v>
      </c>
      <c r="Z1190" s="1" t="s">
        <v>53</v>
      </c>
      <c r="AA1190" s="1">
        <v>18</v>
      </c>
      <c r="AB1190" s="1" t="s">
        <v>1172</v>
      </c>
      <c r="AC1190" s="1">
        <v>0</v>
      </c>
      <c r="AD1190" s="1" t="s">
        <v>56</v>
      </c>
      <c r="AE1190" s="1" t="s">
        <v>70</v>
      </c>
      <c r="AG1190" s="1" t="s">
        <v>1173</v>
      </c>
      <c r="AH1190" s="1" t="s">
        <v>59</v>
      </c>
      <c r="AI1190" s="1" t="s">
        <v>75</v>
      </c>
      <c r="AK1190" s="1" t="s">
        <v>86</v>
      </c>
      <c r="AL1190" s="1" t="s">
        <v>87</v>
      </c>
      <c r="AM1190" s="1">
        <v>4</v>
      </c>
      <c r="AN1190" s="1">
        <v>0</v>
      </c>
      <c r="AO1190" s="1">
        <f t="shared" si="100"/>
        <v>4</v>
      </c>
    </row>
    <row r="1191" spans="1:41" x14ac:dyDescent="0.4">
      <c r="A1191" s="1">
        <v>1</v>
      </c>
      <c r="B1191" s="1" t="s">
        <v>1033</v>
      </c>
      <c r="C1191" s="1" t="s">
        <v>41</v>
      </c>
      <c r="D1191" s="2">
        <v>38902</v>
      </c>
      <c r="E1191" s="1">
        <v>185</v>
      </c>
      <c r="F1191" s="1">
        <v>11</v>
      </c>
      <c r="G1191" s="3">
        <v>0.54519675925925926</v>
      </c>
      <c r="H1191" s="3">
        <v>0.54710648148148155</v>
      </c>
      <c r="I1191" s="3">
        <v>1.9097222222222987E-3</v>
      </c>
      <c r="J1191" s="3">
        <v>7.0601851851859188E-4</v>
      </c>
      <c r="K1191" s="5">
        <f t="shared" si="99"/>
        <v>61</v>
      </c>
      <c r="L1191" s="3">
        <v>1.3078703703702788E-3</v>
      </c>
      <c r="N1191" s="1" t="s">
        <v>42</v>
      </c>
      <c r="O1191" s="1" t="s">
        <v>286</v>
      </c>
      <c r="P1191" s="1" t="s">
        <v>227</v>
      </c>
      <c r="Q1191" s="1" t="s">
        <v>45</v>
      </c>
      <c r="S1191" s="1" t="s">
        <v>46</v>
      </c>
      <c r="T1191" s="1" t="s">
        <v>45</v>
      </c>
      <c r="U1191" s="1" t="s">
        <v>66</v>
      </c>
      <c r="V1191" s="1" t="s">
        <v>102</v>
      </c>
      <c r="W1191" s="1" t="s">
        <v>433</v>
      </c>
      <c r="X1191" s="1" t="s">
        <v>96</v>
      </c>
      <c r="Y1191" s="1" t="s">
        <v>1095</v>
      </c>
      <c r="Z1191" s="1" t="s">
        <v>1096</v>
      </c>
      <c r="AA1191" s="1" t="s">
        <v>1097</v>
      </c>
      <c r="AB1191" s="1" t="s">
        <v>1098</v>
      </c>
      <c r="AC1191" s="1">
        <v>0</v>
      </c>
      <c r="AD1191" s="1" t="s">
        <v>1099</v>
      </c>
      <c r="AE1191" s="1" t="s">
        <v>70</v>
      </c>
      <c r="AG1191" s="1" t="s">
        <v>1173</v>
      </c>
      <c r="AI1191" s="1" t="s">
        <v>71</v>
      </c>
      <c r="AK1191" s="1" t="s">
        <v>86</v>
      </c>
      <c r="AL1191" s="1" t="s">
        <v>87</v>
      </c>
      <c r="AM1191" s="1">
        <v>4</v>
      </c>
      <c r="AN1191" s="1">
        <v>0</v>
      </c>
      <c r="AO1191" s="1">
        <f t="shared" si="100"/>
        <v>4</v>
      </c>
    </row>
    <row r="1192" spans="1:41" x14ac:dyDescent="0.4">
      <c r="A1192" s="1">
        <v>1</v>
      </c>
      <c r="B1192" s="1" t="s">
        <v>1033</v>
      </c>
      <c r="C1192" s="1" t="s">
        <v>41</v>
      </c>
      <c r="D1192" s="2">
        <v>38902</v>
      </c>
      <c r="E1192" s="1">
        <v>185</v>
      </c>
      <c r="F1192" s="1">
        <v>11.5</v>
      </c>
      <c r="G1192" s="3">
        <v>0.54841435185185183</v>
      </c>
      <c r="H1192" s="3">
        <v>0.5484606481481481</v>
      </c>
      <c r="I1192" s="3">
        <v>4.6296296296266526E-5</v>
      </c>
      <c r="J1192" s="3">
        <v>4.6296296296266526E-5</v>
      </c>
      <c r="K1192" s="5">
        <f t="shared" si="99"/>
        <v>4</v>
      </c>
      <c r="L1192" s="3">
        <v>3.8194444444444864E-3</v>
      </c>
      <c r="N1192" s="1" t="s">
        <v>42</v>
      </c>
      <c r="O1192" s="1" t="s">
        <v>286</v>
      </c>
      <c r="P1192" s="1" t="s">
        <v>227</v>
      </c>
      <c r="Q1192" s="1" t="s">
        <v>76</v>
      </c>
      <c r="S1192" s="1" t="s">
        <v>46</v>
      </c>
      <c r="T1192" s="1" t="s">
        <v>47</v>
      </c>
      <c r="U1192" s="1" t="s">
        <v>66</v>
      </c>
      <c r="AB1192" s="1" t="s">
        <v>93</v>
      </c>
      <c r="AC1192" s="1">
        <v>1</v>
      </c>
      <c r="AG1192" s="1" t="s">
        <v>1173</v>
      </c>
      <c r="AI1192" s="1" t="s">
        <v>71</v>
      </c>
      <c r="AK1192" s="1" t="s">
        <v>86</v>
      </c>
      <c r="AL1192" s="1" t="s">
        <v>87</v>
      </c>
      <c r="AM1192" s="1">
        <v>4</v>
      </c>
      <c r="AN1192" s="1">
        <v>0</v>
      </c>
      <c r="AO1192" s="1">
        <f t="shared" si="100"/>
        <v>4</v>
      </c>
    </row>
    <row r="1193" spans="1:41" x14ac:dyDescent="0.4">
      <c r="A1193" s="1">
        <v>1</v>
      </c>
      <c r="B1193" s="1" t="s">
        <v>1033</v>
      </c>
      <c r="C1193" s="1" t="s">
        <v>41</v>
      </c>
      <c r="D1193" s="2">
        <v>38902</v>
      </c>
      <c r="E1193" s="1">
        <v>185</v>
      </c>
      <c r="F1193" s="1">
        <v>11.7</v>
      </c>
      <c r="G1193" s="3">
        <v>0.55228009259259259</v>
      </c>
      <c r="H1193" s="3">
        <v>0.55278935185185185</v>
      </c>
      <c r="I1193" s="3">
        <v>5.0925925925926485E-4</v>
      </c>
      <c r="J1193" s="3">
        <v>4.6296296296266526E-5</v>
      </c>
      <c r="K1193" s="5">
        <f t="shared" si="99"/>
        <v>4</v>
      </c>
      <c r="L1193" s="3">
        <v>8.2500000000000018E-2</v>
      </c>
      <c r="N1193" s="1" t="s">
        <v>42</v>
      </c>
      <c r="O1193" s="1" t="s">
        <v>286</v>
      </c>
      <c r="P1193" s="1" t="s">
        <v>227</v>
      </c>
      <c r="Q1193" s="1" t="s">
        <v>76</v>
      </c>
      <c r="S1193" s="1" t="s">
        <v>46</v>
      </c>
      <c r="T1193" s="1" t="s">
        <v>47</v>
      </c>
      <c r="U1193" s="1" t="s">
        <v>156</v>
      </c>
      <c r="AB1193" s="1" t="s">
        <v>93</v>
      </c>
      <c r="AC1193" s="1">
        <v>1</v>
      </c>
      <c r="AG1193" s="1" t="s">
        <v>1173</v>
      </c>
      <c r="AI1193" s="1" t="s">
        <v>75</v>
      </c>
      <c r="AK1193" s="1" t="s">
        <v>86</v>
      </c>
      <c r="AL1193" s="1" t="s">
        <v>133</v>
      </c>
      <c r="AM1193" s="1">
        <v>4</v>
      </c>
      <c r="AN1193" s="1">
        <v>0</v>
      </c>
      <c r="AO1193" s="1">
        <f t="shared" si="100"/>
        <v>4</v>
      </c>
    </row>
    <row r="1194" spans="1:41" x14ac:dyDescent="0.4">
      <c r="A1194" s="1">
        <v>1</v>
      </c>
      <c r="B1194" s="1" t="s">
        <v>1033</v>
      </c>
      <c r="C1194" s="1" t="s">
        <v>41</v>
      </c>
      <c r="D1194" s="2">
        <v>38902</v>
      </c>
      <c r="E1194" s="1">
        <v>185</v>
      </c>
      <c r="F1194" s="1">
        <v>12</v>
      </c>
      <c r="G1194" s="3">
        <v>0.63528935185185187</v>
      </c>
      <c r="H1194" s="3">
        <v>0.63609953703703703</v>
      </c>
      <c r="I1194" s="3">
        <v>8.101851851851638E-4</v>
      </c>
      <c r="J1194" s="3">
        <v>8.101851851851638E-4</v>
      </c>
      <c r="K1194" s="5">
        <f t="shared" si="99"/>
        <v>70</v>
      </c>
      <c r="L1194" s="3">
        <v>1.678240740740744E-3</v>
      </c>
      <c r="N1194" s="1" t="s">
        <v>42</v>
      </c>
      <c r="O1194" s="1" t="s">
        <v>286</v>
      </c>
      <c r="P1194" s="1" t="s">
        <v>227</v>
      </c>
      <c r="Q1194" s="1" t="s">
        <v>45</v>
      </c>
      <c r="S1194" s="1" t="s">
        <v>46</v>
      </c>
      <c r="T1194" s="1" t="s">
        <v>47</v>
      </c>
      <c r="U1194" s="1" t="s">
        <v>156</v>
      </c>
      <c r="V1194" s="1" t="s">
        <v>102</v>
      </c>
      <c r="W1194" s="1" t="s">
        <v>433</v>
      </c>
      <c r="X1194" s="1" t="s">
        <v>96</v>
      </c>
      <c r="Y1194" s="1" t="s">
        <v>1095</v>
      </c>
      <c r="Z1194" s="1" t="s">
        <v>1096</v>
      </c>
      <c r="AA1194" s="1" t="s">
        <v>1097</v>
      </c>
      <c r="AB1194" s="1" t="s">
        <v>1098</v>
      </c>
      <c r="AC1194" s="1">
        <v>0</v>
      </c>
      <c r="AD1194" s="1" t="s">
        <v>1099</v>
      </c>
      <c r="AE1194" s="1" t="s">
        <v>70</v>
      </c>
      <c r="AF1194" s="1" t="s">
        <v>113</v>
      </c>
      <c r="AG1194" s="1" t="s">
        <v>1174</v>
      </c>
      <c r="AI1194" s="1" t="s">
        <v>75</v>
      </c>
      <c r="AK1194" s="1" t="s">
        <v>86</v>
      </c>
      <c r="AL1194" s="1" t="s">
        <v>87</v>
      </c>
      <c r="AM1194" s="1">
        <v>3</v>
      </c>
      <c r="AN1194" s="1">
        <v>0</v>
      </c>
      <c r="AO1194" s="1">
        <f t="shared" si="100"/>
        <v>3</v>
      </c>
    </row>
    <row r="1195" spans="1:41" x14ac:dyDescent="0.4">
      <c r="A1195" s="1">
        <v>1</v>
      </c>
      <c r="B1195" s="1" t="s">
        <v>1033</v>
      </c>
      <c r="C1195" s="1" t="s">
        <v>41</v>
      </c>
      <c r="D1195" s="2">
        <v>38902</v>
      </c>
      <c r="E1195" s="1">
        <v>185</v>
      </c>
      <c r="F1195" s="1">
        <v>13</v>
      </c>
      <c r="G1195" s="3">
        <v>0.63777777777777778</v>
      </c>
      <c r="H1195" s="3">
        <v>0.6381134259259259</v>
      </c>
      <c r="I1195" s="3">
        <v>3.356481481481266E-4</v>
      </c>
      <c r="J1195" s="3">
        <v>3.356481481481266E-4</v>
      </c>
      <c r="K1195" s="5">
        <f t="shared" si="99"/>
        <v>29</v>
      </c>
      <c r="L1195" s="3">
        <v>7.3495370370371127E-3</v>
      </c>
      <c r="N1195" s="1" t="s">
        <v>42</v>
      </c>
      <c r="O1195" s="1" t="s">
        <v>286</v>
      </c>
      <c r="P1195" s="1" t="s">
        <v>227</v>
      </c>
      <c r="Q1195" s="1" t="s">
        <v>45</v>
      </c>
      <c r="S1195" s="1" t="s">
        <v>46</v>
      </c>
      <c r="T1195" s="1" t="s">
        <v>76</v>
      </c>
      <c r="U1195" s="1" t="s">
        <v>66</v>
      </c>
      <c r="V1195" s="1" t="s">
        <v>102</v>
      </c>
      <c r="W1195" s="1" t="s">
        <v>103</v>
      </c>
      <c r="X1195" s="1" t="s">
        <v>96</v>
      </c>
      <c r="AB1195" s="1" t="s">
        <v>104</v>
      </c>
      <c r="AC1195" s="1">
        <v>0</v>
      </c>
      <c r="AD1195" s="1" t="s">
        <v>105</v>
      </c>
      <c r="AE1195" s="1" t="s">
        <v>70</v>
      </c>
      <c r="AG1195" s="1" t="s">
        <v>1174</v>
      </c>
      <c r="AH1195" s="1" t="s">
        <v>157</v>
      </c>
      <c r="AI1195" s="1" t="s">
        <v>71</v>
      </c>
      <c r="AK1195" s="1" t="s">
        <v>61</v>
      </c>
      <c r="AL1195" s="1" t="s">
        <v>61</v>
      </c>
      <c r="AM1195" s="1">
        <v>3</v>
      </c>
      <c r="AN1195" s="1">
        <v>0</v>
      </c>
      <c r="AO1195" s="1">
        <f t="shared" si="100"/>
        <v>3</v>
      </c>
    </row>
    <row r="1196" spans="1:41" x14ac:dyDescent="0.4">
      <c r="A1196" s="1">
        <v>1</v>
      </c>
      <c r="B1196" s="1" t="s">
        <v>1033</v>
      </c>
      <c r="C1196" s="1" t="s">
        <v>41</v>
      </c>
      <c r="D1196" s="2">
        <v>38902</v>
      </c>
      <c r="E1196" s="1">
        <v>185</v>
      </c>
      <c r="F1196" s="1">
        <v>14</v>
      </c>
      <c r="G1196" s="3">
        <v>0.64546296296296302</v>
      </c>
      <c r="H1196" s="3">
        <v>0.6670949074074074</v>
      </c>
      <c r="I1196" s="3">
        <v>2.1631944444444384E-2</v>
      </c>
      <c r="J1196" s="3">
        <v>2.3379629629629584E-3</v>
      </c>
      <c r="K1196" s="5">
        <f t="shared" si="99"/>
        <v>202</v>
      </c>
      <c r="L1196" s="3">
        <v>8.0208333333333659E-3</v>
      </c>
      <c r="N1196" s="1" t="s">
        <v>42</v>
      </c>
      <c r="O1196" s="1" t="s">
        <v>286</v>
      </c>
      <c r="P1196" s="1" t="s">
        <v>227</v>
      </c>
      <c r="Q1196" s="1" t="s">
        <v>76</v>
      </c>
      <c r="S1196" s="1" t="s">
        <v>46</v>
      </c>
      <c r="T1196" s="1" t="s">
        <v>47</v>
      </c>
      <c r="U1196" s="1" t="s">
        <v>156</v>
      </c>
      <c r="V1196" s="1" t="s">
        <v>102</v>
      </c>
      <c r="W1196" s="1" t="s">
        <v>103</v>
      </c>
      <c r="X1196" s="1" t="s">
        <v>96</v>
      </c>
      <c r="AB1196" s="1" t="s">
        <v>104</v>
      </c>
      <c r="AC1196" s="1">
        <v>0</v>
      </c>
      <c r="AD1196" s="1" t="s">
        <v>105</v>
      </c>
      <c r="AE1196" s="1" t="s">
        <v>70</v>
      </c>
      <c r="AG1196" s="1" t="s">
        <v>1076</v>
      </c>
      <c r="AH1196" s="1" t="s">
        <v>157</v>
      </c>
      <c r="AI1196" s="1" t="s">
        <v>75</v>
      </c>
      <c r="AK1196" s="1" t="s">
        <v>61</v>
      </c>
      <c r="AL1196" s="1" t="s">
        <v>61</v>
      </c>
      <c r="AM1196" s="1">
        <v>4</v>
      </c>
      <c r="AN1196" s="1">
        <v>0</v>
      </c>
      <c r="AO1196" s="1">
        <f t="shared" si="100"/>
        <v>4</v>
      </c>
    </row>
    <row r="1197" spans="1:41" x14ac:dyDescent="0.4">
      <c r="A1197" s="1">
        <v>1</v>
      </c>
      <c r="B1197" s="1" t="s">
        <v>1033</v>
      </c>
      <c r="C1197" s="1" t="s">
        <v>41</v>
      </c>
      <c r="D1197" s="2">
        <v>38902</v>
      </c>
      <c r="E1197" s="1">
        <v>185</v>
      </c>
      <c r="F1197" s="1">
        <v>14.5</v>
      </c>
      <c r="G1197" s="3">
        <v>0.67511574074074077</v>
      </c>
      <c r="H1197" s="3">
        <v>0.67606481481481484</v>
      </c>
      <c r="I1197" s="3">
        <v>9.490740740740744E-4</v>
      </c>
      <c r="J1197" s="3">
        <v>9.490740740740744E-4</v>
      </c>
      <c r="K1197" s="5">
        <f t="shared" si="99"/>
        <v>82</v>
      </c>
      <c r="L1197" s="3">
        <v>4.8379629629629051E-3</v>
      </c>
      <c r="N1197" s="1" t="s">
        <v>42</v>
      </c>
      <c r="O1197" s="1" t="s">
        <v>286</v>
      </c>
      <c r="P1197" s="1" t="s">
        <v>227</v>
      </c>
      <c r="Q1197" s="1" t="s">
        <v>76</v>
      </c>
      <c r="S1197" s="1" t="s">
        <v>46</v>
      </c>
      <c r="T1197" s="1" t="s">
        <v>45</v>
      </c>
      <c r="U1197" s="1" t="s">
        <v>66</v>
      </c>
      <c r="V1197" s="1" t="s">
        <v>102</v>
      </c>
      <c r="W1197" s="1" t="s">
        <v>103</v>
      </c>
      <c r="X1197" s="1" t="s">
        <v>96</v>
      </c>
      <c r="AB1197" s="1" t="s">
        <v>104</v>
      </c>
      <c r="AC1197" s="1">
        <v>0</v>
      </c>
      <c r="AE1197" s="1" t="s">
        <v>70</v>
      </c>
      <c r="AG1197" s="1" t="s">
        <v>1133</v>
      </c>
      <c r="AI1197" s="1" t="s">
        <v>71</v>
      </c>
      <c r="AK1197" s="1" t="s">
        <v>86</v>
      </c>
      <c r="AL1197" s="1" t="s">
        <v>87</v>
      </c>
      <c r="AM1197" s="1">
        <v>6</v>
      </c>
      <c r="AN1197" s="1">
        <v>0</v>
      </c>
      <c r="AO1197" s="1">
        <f t="shared" si="100"/>
        <v>6</v>
      </c>
    </row>
    <row r="1198" spans="1:41" x14ac:dyDescent="0.4">
      <c r="A1198" s="1">
        <v>1</v>
      </c>
      <c r="B1198" s="1" t="s">
        <v>1033</v>
      </c>
      <c r="C1198" s="1" t="s">
        <v>41</v>
      </c>
      <c r="D1198" s="2">
        <v>38902</v>
      </c>
      <c r="E1198" s="1">
        <v>185</v>
      </c>
      <c r="F1198" s="1">
        <v>15</v>
      </c>
      <c r="G1198" s="3">
        <v>0.68090277777777775</v>
      </c>
      <c r="H1198" s="3">
        <v>0.6830208333333333</v>
      </c>
      <c r="I1198" s="3">
        <v>2.1180555555555536E-3</v>
      </c>
      <c r="J1198" s="3">
        <v>6.5972222222221433E-4</v>
      </c>
      <c r="K1198" s="5">
        <f t="shared" si="99"/>
        <v>57</v>
      </c>
      <c r="L1198" s="3">
        <v>1.1574074074074403E-3</v>
      </c>
      <c r="N1198" s="1" t="s">
        <v>42</v>
      </c>
      <c r="O1198" s="1" t="s">
        <v>286</v>
      </c>
      <c r="P1198" s="1" t="s">
        <v>227</v>
      </c>
      <c r="Q1198" s="1" t="s">
        <v>132</v>
      </c>
      <c r="S1198" s="1" t="s">
        <v>46</v>
      </c>
      <c r="T1198" s="1" t="s">
        <v>76</v>
      </c>
      <c r="U1198" s="1" t="s">
        <v>92</v>
      </c>
      <c r="V1198" s="1" t="s">
        <v>102</v>
      </c>
      <c r="W1198" s="1" t="s">
        <v>433</v>
      </c>
      <c r="X1198" s="1" t="s">
        <v>96</v>
      </c>
      <c r="Y1198" s="1" t="s">
        <v>1095</v>
      </c>
      <c r="Z1198" s="1" t="s">
        <v>1096</v>
      </c>
      <c r="AA1198" s="1" t="s">
        <v>1097</v>
      </c>
      <c r="AB1198" s="1" t="s">
        <v>1098</v>
      </c>
      <c r="AC1198" s="1">
        <v>0</v>
      </c>
      <c r="AD1198" s="1" t="s">
        <v>1099</v>
      </c>
      <c r="AE1198" s="1" t="s">
        <v>70</v>
      </c>
      <c r="AF1198" s="1" t="s">
        <v>113</v>
      </c>
      <c r="AG1198" s="1" t="s">
        <v>1133</v>
      </c>
      <c r="AI1198" s="1" t="s">
        <v>75</v>
      </c>
      <c r="AK1198" s="1" t="s">
        <v>86</v>
      </c>
      <c r="AL1198" s="1" t="s">
        <v>133</v>
      </c>
      <c r="AM1198" s="1">
        <v>6</v>
      </c>
      <c r="AN1198" s="1">
        <v>0</v>
      </c>
      <c r="AO1198" s="1">
        <f t="shared" si="100"/>
        <v>6</v>
      </c>
    </row>
    <row r="1199" spans="1:41" x14ac:dyDescent="0.4">
      <c r="A1199" s="1">
        <v>1</v>
      </c>
      <c r="B1199" s="1" t="s">
        <v>1033</v>
      </c>
      <c r="C1199" s="1" t="s">
        <v>41</v>
      </c>
      <c r="D1199" s="2">
        <v>38902</v>
      </c>
      <c r="E1199" s="1">
        <v>185</v>
      </c>
      <c r="F1199" s="1">
        <v>18</v>
      </c>
      <c r="G1199" s="3">
        <v>0.68417824074074074</v>
      </c>
      <c r="H1199" s="3">
        <v>0.68439814814814814</v>
      </c>
      <c r="I1199" s="3">
        <v>2.1990740740740478E-4</v>
      </c>
      <c r="J1199" s="3">
        <v>2.1990740740740478E-4</v>
      </c>
      <c r="K1199" s="5">
        <f t="shared" si="99"/>
        <v>19</v>
      </c>
      <c r="L1199" s="3">
        <v>1.8634259259259212E-3</v>
      </c>
      <c r="N1199" s="1" t="s">
        <v>42</v>
      </c>
      <c r="O1199" s="1" t="s">
        <v>286</v>
      </c>
      <c r="P1199" s="1" t="s">
        <v>227</v>
      </c>
      <c r="Q1199" s="1" t="s">
        <v>132</v>
      </c>
      <c r="S1199" s="1" t="s">
        <v>46</v>
      </c>
      <c r="T1199" s="1" t="s">
        <v>45</v>
      </c>
      <c r="U1199" s="1" t="s">
        <v>66</v>
      </c>
      <c r="V1199" s="1" t="s">
        <v>102</v>
      </c>
      <c r="W1199" s="1" t="s">
        <v>433</v>
      </c>
      <c r="X1199" s="1" t="s">
        <v>96</v>
      </c>
      <c r="Y1199" s="1" t="s">
        <v>1095</v>
      </c>
      <c r="Z1199" s="1" t="s">
        <v>1096</v>
      </c>
      <c r="AA1199" s="1" t="s">
        <v>1097</v>
      </c>
      <c r="AB1199" s="1" t="s">
        <v>1098</v>
      </c>
      <c r="AC1199" s="1">
        <v>0</v>
      </c>
      <c r="AD1199" s="1" t="s">
        <v>1099</v>
      </c>
      <c r="AE1199" s="1" t="s">
        <v>70</v>
      </c>
      <c r="AG1199" s="1" t="s">
        <v>1133</v>
      </c>
      <c r="AI1199" s="1" t="s">
        <v>71</v>
      </c>
      <c r="AK1199" s="1" t="s">
        <v>61</v>
      </c>
      <c r="AL1199" s="1" t="s">
        <v>72</v>
      </c>
      <c r="AM1199" s="1">
        <v>6</v>
      </c>
      <c r="AN1199" s="1">
        <v>0</v>
      </c>
      <c r="AO1199" s="1">
        <f t="shared" si="100"/>
        <v>6</v>
      </c>
    </row>
    <row r="1200" spans="1:41" x14ac:dyDescent="0.4">
      <c r="A1200" s="1">
        <v>1</v>
      </c>
      <c r="B1200" s="1" t="s">
        <v>1033</v>
      </c>
      <c r="C1200" s="1" t="s">
        <v>41</v>
      </c>
      <c r="D1200" s="2">
        <v>38902</v>
      </c>
      <c r="E1200" s="1">
        <v>185</v>
      </c>
      <c r="F1200" s="1">
        <v>19</v>
      </c>
      <c r="G1200" s="3">
        <v>0.68626157407407407</v>
      </c>
      <c r="H1200" s="3">
        <v>0.68768518518518518</v>
      </c>
      <c r="I1200" s="3">
        <v>1.4236111111111116E-3</v>
      </c>
      <c r="J1200" s="3">
        <v>4.6296296296377548E-5</v>
      </c>
      <c r="K1200" s="5">
        <f t="shared" si="99"/>
        <v>4</v>
      </c>
      <c r="L1200" s="3">
        <v>2.673611111111085E-3</v>
      </c>
      <c r="N1200" s="1" t="s">
        <v>42</v>
      </c>
      <c r="O1200" s="1" t="s">
        <v>286</v>
      </c>
      <c r="P1200" s="1" t="s">
        <v>227</v>
      </c>
      <c r="Q1200" s="1" t="s">
        <v>132</v>
      </c>
      <c r="S1200" s="1" t="s">
        <v>46</v>
      </c>
      <c r="T1200" s="1" t="s">
        <v>45</v>
      </c>
      <c r="U1200" s="1" t="s">
        <v>66</v>
      </c>
      <c r="AB1200" s="1" t="s">
        <v>93</v>
      </c>
      <c r="AC1200" s="1">
        <v>1</v>
      </c>
      <c r="AG1200" s="1" t="s">
        <v>1085</v>
      </c>
      <c r="AI1200" s="1" t="s">
        <v>71</v>
      </c>
      <c r="AK1200" s="1" t="s">
        <v>61</v>
      </c>
      <c r="AL1200" s="1" t="s">
        <v>61</v>
      </c>
      <c r="AM1200" s="1">
        <v>3</v>
      </c>
      <c r="AN1200" s="1">
        <v>0</v>
      </c>
      <c r="AO1200" s="1">
        <f t="shared" si="100"/>
        <v>3</v>
      </c>
    </row>
    <row r="1201" spans="1:41" x14ac:dyDescent="0.4">
      <c r="A1201" s="1">
        <v>1</v>
      </c>
      <c r="B1201" s="1" t="s">
        <v>1033</v>
      </c>
      <c r="C1201" s="1" t="s">
        <v>41</v>
      </c>
      <c r="D1201" s="2">
        <v>38902</v>
      </c>
      <c r="E1201" s="1">
        <v>185</v>
      </c>
      <c r="F1201" s="1">
        <v>19.5</v>
      </c>
      <c r="G1201" s="3">
        <v>0.69035879629629626</v>
      </c>
      <c r="H1201" s="3">
        <v>0.69037037037037041</v>
      </c>
      <c r="I1201" s="3">
        <v>1.1574074074149898E-5</v>
      </c>
      <c r="J1201" s="3">
        <v>1.1574074074149898E-5</v>
      </c>
      <c r="K1201" s="5">
        <f t="shared" si="99"/>
        <v>1</v>
      </c>
      <c r="L1201" s="3">
        <v>1.1805555555555181E-3</v>
      </c>
      <c r="N1201" s="1" t="s">
        <v>42</v>
      </c>
      <c r="O1201" s="1" t="s">
        <v>286</v>
      </c>
      <c r="P1201" s="1" t="s">
        <v>227</v>
      </c>
      <c r="Q1201" s="1" t="s">
        <v>132</v>
      </c>
      <c r="S1201" s="1" t="s">
        <v>46</v>
      </c>
      <c r="T1201" s="1" t="s">
        <v>45</v>
      </c>
      <c r="U1201" s="1" t="s">
        <v>92</v>
      </c>
      <c r="AB1201" s="1" t="s">
        <v>93</v>
      </c>
      <c r="AC1201" s="1">
        <v>1</v>
      </c>
      <c r="AG1201" s="1" t="s">
        <v>1085</v>
      </c>
      <c r="AI1201" s="1" t="s">
        <v>75</v>
      </c>
      <c r="AK1201" s="1" t="s">
        <v>86</v>
      </c>
      <c r="AL1201" s="1" t="s">
        <v>87</v>
      </c>
      <c r="AM1201" s="1">
        <v>3</v>
      </c>
      <c r="AN1201" s="1">
        <v>0</v>
      </c>
      <c r="AO1201" s="1">
        <f t="shared" si="100"/>
        <v>3</v>
      </c>
    </row>
    <row r="1202" spans="1:41" x14ac:dyDescent="0.4">
      <c r="A1202" s="1">
        <v>1</v>
      </c>
      <c r="B1202" s="1" t="s">
        <v>1033</v>
      </c>
      <c r="C1202" s="1" t="s">
        <v>41</v>
      </c>
      <c r="D1202" s="2">
        <v>38902</v>
      </c>
      <c r="E1202" s="1">
        <v>185</v>
      </c>
      <c r="F1202" s="1">
        <v>20</v>
      </c>
      <c r="G1202" s="3">
        <v>0.69155092592592593</v>
      </c>
      <c r="H1202" s="3">
        <v>0.69163194444444442</v>
      </c>
      <c r="I1202" s="3">
        <v>8.1018518518494176E-5</v>
      </c>
      <c r="J1202" s="3">
        <v>8.1018518518494176E-5</v>
      </c>
      <c r="K1202" s="5">
        <f t="shared" si="99"/>
        <v>7</v>
      </c>
      <c r="L1202" s="3" t="s">
        <v>120</v>
      </c>
      <c r="N1202" s="1" t="s">
        <v>42</v>
      </c>
      <c r="O1202" s="1" t="s">
        <v>286</v>
      </c>
      <c r="P1202" s="1" t="s">
        <v>227</v>
      </c>
      <c r="Q1202" s="1" t="s">
        <v>132</v>
      </c>
      <c r="S1202" s="1" t="s">
        <v>46</v>
      </c>
      <c r="T1202" s="1" t="s">
        <v>45</v>
      </c>
      <c r="U1202" s="1" t="s">
        <v>92</v>
      </c>
      <c r="AB1202" s="1" t="s">
        <v>93</v>
      </c>
      <c r="AC1202" s="1">
        <v>1</v>
      </c>
      <c r="AI1202" s="1" t="s">
        <v>75</v>
      </c>
      <c r="AK1202" s="1" t="s">
        <v>86</v>
      </c>
      <c r="AL1202" s="1" t="s">
        <v>87</v>
      </c>
      <c r="AN1202" s="1">
        <v>1</v>
      </c>
      <c r="AO1202" s="1">
        <f t="shared" si="100"/>
        <v>1</v>
      </c>
    </row>
    <row r="1203" spans="1:41" x14ac:dyDescent="0.4">
      <c r="A1203" s="1">
        <v>1</v>
      </c>
      <c r="B1203" s="1" t="s">
        <v>1033</v>
      </c>
      <c r="C1203" s="1" t="s">
        <v>41</v>
      </c>
      <c r="D1203" s="2">
        <v>38917</v>
      </c>
      <c r="E1203" s="1">
        <v>200</v>
      </c>
      <c r="F1203" s="1">
        <v>0.5</v>
      </c>
      <c r="G1203" s="3">
        <v>0.29405092592592591</v>
      </c>
      <c r="H1203" s="3">
        <v>0.29417824074074073</v>
      </c>
      <c r="I1203" s="3">
        <v>1.2731481481481621E-4</v>
      </c>
      <c r="J1203" s="3">
        <v>1.2731481481481621E-4</v>
      </c>
      <c r="K1203" s="5">
        <f t="shared" si="99"/>
        <v>11</v>
      </c>
      <c r="L1203" s="3">
        <v>8.7847222222222077E-3</v>
      </c>
      <c r="N1203" s="1" t="s">
        <v>75</v>
      </c>
      <c r="O1203" s="1" t="s">
        <v>286</v>
      </c>
      <c r="P1203" s="1" t="s">
        <v>227</v>
      </c>
      <c r="Q1203" s="1" t="s">
        <v>76</v>
      </c>
      <c r="S1203" s="1" t="s">
        <v>46</v>
      </c>
      <c r="T1203" s="1" t="s">
        <v>47</v>
      </c>
      <c r="U1203" s="1" t="s">
        <v>66</v>
      </c>
      <c r="AB1203" s="1" t="s">
        <v>93</v>
      </c>
      <c r="AC1203" s="1">
        <v>1</v>
      </c>
      <c r="AG1203" s="1" t="s">
        <v>1158</v>
      </c>
      <c r="AI1203" s="1" t="s">
        <v>75</v>
      </c>
      <c r="AK1203" s="1" t="s">
        <v>61</v>
      </c>
      <c r="AL1203" s="1" t="s">
        <v>61</v>
      </c>
      <c r="AM1203" s="1">
        <v>6</v>
      </c>
      <c r="AN1203" s="1">
        <v>0</v>
      </c>
      <c r="AO1203" s="1">
        <f t="shared" si="100"/>
        <v>6</v>
      </c>
    </row>
    <row r="1204" spans="1:41" x14ac:dyDescent="0.4">
      <c r="A1204" s="1">
        <v>1</v>
      </c>
      <c r="B1204" s="1" t="s">
        <v>1033</v>
      </c>
      <c r="C1204" s="1" t="s">
        <v>41</v>
      </c>
      <c r="D1204" s="2">
        <v>38917</v>
      </c>
      <c r="E1204" s="1">
        <v>200</v>
      </c>
      <c r="F1204" s="1">
        <v>1</v>
      </c>
      <c r="G1204" s="3">
        <v>0.30296296296296293</v>
      </c>
      <c r="H1204" s="3">
        <v>0.33109953703703704</v>
      </c>
      <c r="I1204" s="3">
        <v>2.8136574074074105E-2</v>
      </c>
      <c r="J1204" s="3">
        <v>1.5138888888888924E-2</v>
      </c>
      <c r="K1204" s="5">
        <f t="shared" si="99"/>
        <v>1308</v>
      </c>
      <c r="L1204" s="3">
        <v>0.13351851851851848</v>
      </c>
      <c r="N1204" s="1" t="s">
        <v>75</v>
      </c>
      <c r="O1204" s="1" t="s">
        <v>286</v>
      </c>
      <c r="P1204" s="1" t="s">
        <v>227</v>
      </c>
      <c r="Q1204" s="1" t="s">
        <v>45</v>
      </c>
      <c r="S1204" s="1" t="s">
        <v>46</v>
      </c>
      <c r="T1204" s="1" t="s">
        <v>47</v>
      </c>
      <c r="U1204" s="1" t="s">
        <v>66</v>
      </c>
      <c r="V1204" s="1" t="s">
        <v>49</v>
      </c>
      <c r="W1204" s="1" t="s">
        <v>50</v>
      </c>
      <c r="X1204" s="1" t="s">
        <v>1153</v>
      </c>
      <c r="Y1204" s="1" t="s">
        <v>1154</v>
      </c>
      <c r="Z1204" s="1" t="s">
        <v>1155</v>
      </c>
      <c r="AA1204" s="1" t="s">
        <v>1156</v>
      </c>
      <c r="AB1204" s="1" t="s">
        <v>1157</v>
      </c>
      <c r="AC1204" s="1">
        <v>0</v>
      </c>
      <c r="AD1204" s="1" t="s">
        <v>56</v>
      </c>
      <c r="AE1204" s="1" t="s">
        <v>70</v>
      </c>
      <c r="AF1204" s="1" t="s">
        <v>153</v>
      </c>
      <c r="AG1204" s="1" t="s">
        <v>1162</v>
      </c>
      <c r="AH1204" s="1" t="s">
        <v>115</v>
      </c>
      <c r="AI1204" s="1" t="s">
        <v>75</v>
      </c>
      <c r="AK1204" s="1" t="s">
        <v>116</v>
      </c>
      <c r="AL1204" s="1" t="s">
        <v>117</v>
      </c>
      <c r="AM1204" s="1">
        <v>8</v>
      </c>
      <c r="AN1204" s="1">
        <v>0</v>
      </c>
      <c r="AO1204" s="1">
        <f t="shared" si="100"/>
        <v>8</v>
      </c>
    </row>
    <row r="1205" spans="1:41" x14ac:dyDescent="0.4">
      <c r="A1205" s="1">
        <v>1</v>
      </c>
      <c r="B1205" s="1" t="s">
        <v>1033</v>
      </c>
      <c r="C1205" s="1" t="s">
        <v>41</v>
      </c>
      <c r="D1205" s="2">
        <v>38917</v>
      </c>
      <c r="E1205" s="1">
        <v>200</v>
      </c>
      <c r="F1205" s="1">
        <v>2.5</v>
      </c>
      <c r="G1205" s="3">
        <v>0.46461805555555552</v>
      </c>
      <c r="H1205" s="3">
        <v>0.46462962962962967</v>
      </c>
      <c r="I1205" s="3">
        <v>1.1574074074149898E-5</v>
      </c>
      <c r="J1205" s="3">
        <v>1.1574074074149898E-5</v>
      </c>
      <c r="K1205" s="5">
        <f t="shared" si="99"/>
        <v>1</v>
      </c>
      <c r="L1205" s="3">
        <v>1.3854166666666612E-2</v>
      </c>
      <c r="N1205" s="1" t="s">
        <v>251</v>
      </c>
      <c r="O1205" s="1" t="s">
        <v>286</v>
      </c>
      <c r="P1205" s="1" t="s">
        <v>227</v>
      </c>
      <c r="Q1205" s="1" t="s">
        <v>76</v>
      </c>
      <c r="S1205" s="1" t="s">
        <v>46</v>
      </c>
      <c r="T1205" s="1" t="s">
        <v>45</v>
      </c>
      <c r="U1205" s="1" t="s">
        <v>92</v>
      </c>
      <c r="AB1205" s="1" t="s">
        <v>93</v>
      </c>
      <c r="AC1205" s="1">
        <v>1</v>
      </c>
      <c r="AI1205" s="1" t="s">
        <v>253</v>
      </c>
      <c r="AK1205" s="1" t="s">
        <v>86</v>
      </c>
      <c r="AL1205" s="1" t="s">
        <v>133</v>
      </c>
      <c r="AN1205" s="1">
        <v>1</v>
      </c>
      <c r="AO1205" s="1">
        <f t="shared" si="100"/>
        <v>1</v>
      </c>
    </row>
    <row r="1206" spans="1:41" x14ac:dyDescent="0.4">
      <c r="A1206" s="1">
        <v>1</v>
      </c>
      <c r="B1206" s="1" t="s">
        <v>1033</v>
      </c>
      <c r="C1206" s="1" t="s">
        <v>41</v>
      </c>
      <c r="D1206" s="2">
        <v>38917</v>
      </c>
      <c r="E1206" s="1">
        <v>200</v>
      </c>
      <c r="F1206" s="1">
        <v>3</v>
      </c>
      <c r="G1206" s="3">
        <v>0.47848379629629628</v>
      </c>
      <c r="H1206" s="3">
        <v>0.48312500000000003</v>
      </c>
      <c r="I1206" s="3">
        <v>4.6412037037037446E-3</v>
      </c>
      <c r="J1206" s="3">
        <v>3.11342592592595E-3</v>
      </c>
      <c r="K1206" s="5">
        <f t="shared" si="99"/>
        <v>269</v>
      </c>
      <c r="L1206" s="3">
        <v>3.7199074074074079E-2</v>
      </c>
      <c r="N1206" s="1" t="s">
        <v>251</v>
      </c>
      <c r="O1206" s="1" t="s">
        <v>286</v>
      </c>
      <c r="P1206" s="1" t="s">
        <v>227</v>
      </c>
      <c r="Q1206" s="1" t="s">
        <v>45</v>
      </c>
      <c r="S1206" s="1" t="s">
        <v>46</v>
      </c>
      <c r="T1206" s="1" t="s">
        <v>45</v>
      </c>
      <c r="U1206" s="1" t="s">
        <v>92</v>
      </c>
      <c r="V1206" s="1" t="s">
        <v>102</v>
      </c>
      <c r="W1206" s="1" t="s">
        <v>231</v>
      </c>
      <c r="X1206" s="1" t="s">
        <v>369</v>
      </c>
      <c r="AB1206" s="1" t="s">
        <v>104</v>
      </c>
      <c r="AC1206" s="1">
        <v>0</v>
      </c>
      <c r="AD1206" s="1" t="s">
        <v>105</v>
      </c>
      <c r="AE1206" s="1" t="s">
        <v>70</v>
      </c>
      <c r="AG1206" s="1" t="s">
        <v>1165</v>
      </c>
      <c r="AH1206" s="1" t="s">
        <v>157</v>
      </c>
      <c r="AI1206" s="1" t="s">
        <v>253</v>
      </c>
      <c r="AK1206" s="1" t="s">
        <v>86</v>
      </c>
      <c r="AL1206" s="1" t="s">
        <v>133</v>
      </c>
      <c r="AM1206" s="1">
        <v>5</v>
      </c>
      <c r="AN1206" s="1">
        <v>0</v>
      </c>
      <c r="AO1206" s="1">
        <f t="shared" si="100"/>
        <v>5</v>
      </c>
    </row>
    <row r="1207" spans="1:41" x14ac:dyDescent="0.4">
      <c r="A1207" s="1">
        <v>1</v>
      </c>
      <c r="B1207" s="1" t="s">
        <v>1033</v>
      </c>
      <c r="C1207" s="1" t="s">
        <v>41</v>
      </c>
      <c r="D1207" s="2">
        <v>38917</v>
      </c>
      <c r="E1207" s="1">
        <v>200</v>
      </c>
      <c r="F1207" s="1">
        <v>4</v>
      </c>
      <c r="G1207" s="3">
        <v>0.52032407407407411</v>
      </c>
      <c r="H1207" s="3">
        <v>0.52076388888888892</v>
      </c>
      <c r="I1207" s="3">
        <v>4.3981481481480955E-4</v>
      </c>
      <c r="J1207" s="3">
        <v>4.3981481481480955E-4</v>
      </c>
      <c r="K1207" s="5">
        <f t="shared" si="99"/>
        <v>38</v>
      </c>
      <c r="L1207" s="3">
        <v>9.0856481481480511E-3</v>
      </c>
      <c r="N1207" s="1" t="s">
        <v>251</v>
      </c>
      <c r="O1207" s="1" t="s">
        <v>286</v>
      </c>
      <c r="P1207" s="1" t="s">
        <v>227</v>
      </c>
      <c r="Q1207" s="1" t="s">
        <v>45</v>
      </c>
      <c r="S1207" s="1" t="s">
        <v>46</v>
      </c>
      <c r="T1207" s="1" t="s">
        <v>47</v>
      </c>
      <c r="U1207" s="1" t="s">
        <v>156</v>
      </c>
      <c r="V1207" s="1" t="s">
        <v>102</v>
      </c>
      <c r="W1207" s="1" t="s">
        <v>103</v>
      </c>
      <c r="X1207" s="1" t="s">
        <v>96</v>
      </c>
      <c r="AB1207" s="1" t="s">
        <v>104</v>
      </c>
      <c r="AC1207" s="1">
        <v>0</v>
      </c>
      <c r="AD1207" s="1" t="s">
        <v>105</v>
      </c>
      <c r="AE1207" s="1" t="s">
        <v>70</v>
      </c>
      <c r="AG1207" s="1" t="s">
        <v>1142</v>
      </c>
      <c r="AH1207" s="1" t="s">
        <v>157</v>
      </c>
      <c r="AI1207" s="1" t="s">
        <v>255</v>
      </c>
      <c r="AK1207" s="1" t="s">
        <v>86</v>
      </c>
      <c r="AL1207" s="1" t="s">
        <v>87</v>
      </c>
      <c r="AM1207" s="1">
        <v>3</v>
      </c>
      <c r="AN1207" s="1">
        <v>0</v>
      </c>
      <c r="AO1207" s="1">
        <f t="shared" si="100"/>
        <v>3</v>
      </c>
    </row>
    <row r="1208" spans="1:41" x14ac:dyDescent="0.4">
      <c r="A1208" s="1">
        <v>1</v>
      </c>
      <c r="B1208" s="1" t="s">
        <v>1033</v>
      </c>
      <c r="C1208" s="1" t="s">
        <v>41</v>
      </c>
      <c r="D1208" s="2">
        <v>38917</v>
      </c>
      <c r="E1208" s="1">
        <v>200</v>
      </c>
      <c r="F1208" s="1">
        <v>4.5</v>
      </c>
      <c r="G1208" s="3">
        <v>0.52984953703703697</v>
      </c>
      <c r="H1208" s="3">
        <v>0.5298842592592593</v>
      </c>
      <c r="I1208" s="3">
        <v>3.4722222222338672E-5</v>
      </c>
      <c r="J1208" s="3">
        <v>3.4722222222338672E-5</v>
      </c>
      <c r="K1208" s="5">
        <f t="shared" si="99"/>
        <v>3</v>
      </c>
      <c r="L1208" s="3">
        <v>2.3229166666666634E-2</v>
      </c>
      <c r="N1208" s="1" t="s">
        <v>251</v>
      </c>
      <c r="O1208" s="1" t="s">
        <v>286</v>
      </c>
      <c r="P1208" s="1" t="s">
        <v>227</v>
      </c>
      <c r="Q1208" s="1" t="s">
        <v>76</v>
      </c>
      <c r="S1208" s="1" t="s">
        <v>46</v>
      </c>
      <c r="T1208" s="1" t="s">
        <v>47</v>
      </c>
      <c r="U1208" s="1" t="s">
        <v>156</v>
      </c>
      <c r="AB1208" s="1" t="s">
        <v>93</v>
      </c>
      <c r="AC1208" s="1">
        <v>1</v>
      </c>
      <c r="AG1208" s="1" t="s">
        <v>1142</v>
      </c>
      <c r="AI1208" s="1" t="s">
        <v>255</v>
      </c>
      <c r="AK1208" s="1" t="s">
        <v>86</v>
      </c>
      <c r="AL1208" s="1" t="s">
        <v>133</v>
      </c>
      <c r="AM1208" s="1">
        <v>3</v>
      </c>
      <c r="AN1208" s="1">
        <v>0</v>
      </c>
      <c r="AO1208" s="1">
        <f t="shared" si="100"/>
        <v>3</v>
      </c>
    </row>
    <row r="1209" spans="1:41" x14ac:dyDescent="0.4">
      <c r="A1209" s="1">
        <v>1</v>
      </c>
      <c r="B1209" s="1" t="s">
        <v>1033</v>
      </c>
      <c r="C1209" s="1" t="s">
        <v>41</v>
      </c>
      <c r="D1209" s="2">
        <v>38917</v>
      </c>
      <c r="E1209" s="1">
        <v>200</v>
      </c>
      <c r="F1209" s="1">
        <v>5</v>
      </c>
      <c r="G1209" s="3">
        <v>0.55311342592592594</v>
      </c>
      <c r="H1209" s="3">
        <v>0.55331018518518515</v>
      </c>
      <c r="I1209" s="3">
        <v>1.96759259259216E-4</v>
      </c>
      <c r="J1209" s="3">
        <v>1.96759259259216E-4</v>
      </c>
      <c r="K1209" s="5">
        <f t="shared" si="99"/>
        <v>17</v>
      </c>
      <c r="L1209" s="3">
        <v>7.0717592592592915E-3</v>
      </c>
      <c r="N1209" s="1" t="s">
        <v>251</v>
      </c>
      <c r="O1209" s="1" t="s">
        <v>286</v>
      </c>
      <c r="P1209" s="1" t="s">
        <v>227</v>
      </c>
      <c r="Q1209" s="1" t="s">
        <v>76</v>
      </c>
      <c r="S1209" s="1" t="s">
        <v>46</v>
      </c>
      <c r="T1209" s="1" t="s">
        <v>47</v>
      </c>
      <c r="U1209" s="1" t="s">
        <v>66</v>
      </c>
      <c r="V1209" s="1" t="s">
        <v>102</v>
      </c>
      <c r="W1209" s="1" t="s">
        <v>433</v>
      </c>
      <c r="X1209" s="1" t="s">
        <v>96</v>
      </c>
      <c r="Y1209" s="1" t="s">
        <v>1095</v>
      </c>
      <c r="Z1209" s="1" t="s">
        <v>1096</v>
      </c>
      <c r="AA1209" s="1" t="s">
        <v>1097</v>
      </c>
      <c r="AB1209" s="1" t="s">
        <v>1098</v>
      </c>
      <c r="AC1209" s="1">
        <v>0</v>
      </c>
      <c r="AD1209" s="1" t="s">
        <v>1099</v>
      </c>
      <c r="AE1209" s="1" t="s">
        <v>70</v>
      </c>
      <c r="AI1209" s="1" t="s">
        <v>257</v>
      </c>
      <c r="AK1209" s="1" t="s">
        <v>61</v>
      </c>
      <c r="AL1209" s="1" t="s">
        <v>72</v>
      </c>
      <c r="AN1209" s="1">
        <v>1</v>
      </c>
      <c r="AO1209" s="1">
        <f t="shared" si="100"/>
        <v>1</v>
      </c>
    </row>
    <row r="1210" spans="1:41" x14ac:dyDescent="0.4">
      <c r="A1210" s="1">
        <v>1</v>
      </c>
      <c r="B1210" s="1" t="s">
        <v>1033</v>
      </c>
      <c r="C1210" s="1" t="s">
        <v>41</v>
      </c>
      <c r="D1210" s="2">
        <v>38917</v>
      </c>
      <c r="E1210" s="1">
        <v>200</v>
      </c>
      <c r="F1210" s="1">
        <v>7</v>
      </c>
      <c r="G1210" s="3">
        <v>0.56038194444444445</v>
      </c>
      <c r="H1210" s="3">
        <v>0.5614351851851852</v>
      </c>
      <c r="I1210" s="3">
        <v>1.0532407407407574E-3</v>
      </c>
      <c r="J1210" s="3">
        <v>1.0532407407407574E-3</v>
      </c>
      <c r="K1210" s="5">
        <f t="shared" si="99"/>
        <v>91</v>
      </c>
      <c r="L1210" s="3">
        <v>4.1666666666666519E-3</v>
      </c>
      <c r="N1210" s="1" t="s">
        <v>251</v>
      </c>
      <c r="O1210" s="1" t="s">
        <v>286</v>
      </c>
      <c r="P1210" s="1" t="s">
        <v>227</v>
      </c>
      <c r="Q1210" s="1" t="s">
        <v>76</v>
      </c>
      <c r="S1210" s="1" t="s">
        <v>46</v>
      </c>
      <c r="T1210" s="1" t="s">
        <v>45</v>
      </c>
      <c r="U1210" s="1" t="s">
        <v>156</v>
      </c>
      <c r="V1210" s="1" t="s">
        <v>102</v>
      </c>
      <c r="W1210" s="1" t="s">
        <v>433</v>
      </c>
      <c r="X1210" s="1" t="s">
        <v>96</v>
      </c>
      <c r="Y1210" s="1" t="s">
        <v>1095</v>
      </c>
      <c r="Z1210" s="1" t="s">
        <v>1096</v>
      </c>
      <c r="AA1210" s="1" t="s">
        <v>1097</v>
      </c>
      <c r="AB1210" s="1" t="s">
        <v>1098</v>
      </c>
      <c r="AC1210" s="1">
        <v>0</v>
      </c>
      <c r="AD1210" s="1" t="s">
        <v>1099</v>
      </c>
      <c r="AE1210" s="1" t="s">
        <v>70</v>
      </c>
      <c r="AG1210" s="1" t="s">
        <v>1175</v>
      </c>
      <c r="AI1210" s="1" t="s">
        <v>255</v>
      </c>
      <c r="AK1210" s="1" t="s">
        <v>86</v>
      </c>
      <c r="AL1210" s="1" t="s">
        <v>87</v>
      </c>
      <c r="AM1210" s="1">
        <v>5</v>
      </c>
      <c r="AN1210" s="1">
        <v>0</v>
      </c>
      <c r="AO1210" s="1">
        <f t="shared" si="100"/>
        <v>5</v>
      </c>
    </row>
    <row r="1211" spans="1:41" x14ac:dyDescent="0.4">
      <c r="A1211" s="1">
        <v>1</v>
      </c>
      <c r="B1211" s="1" t="s">
        <v>1033</v>
      </c>
      <c r="C1211" s="1" t="s">
        <v>41</v>
      </c>
      <c r="D1211" s="2">
        <v>38917</v>
      </c>
      <c r="E1211" s="1">
        <v>200</v>
      </c>
      <c r="F1211" s="1">
        <v>8.1</v>
      </c>
      <c r="G1211" s="3">
        <v>0.56560185185185186</v>
      </c>
      <c r="H1211" s="3">
        <v>0.56568287037037035</v>
      </c>
      <c r="I1211" s="3">
        <v>8.1018518518494176E-5</v>
      </c>
      <c r="J1211" s="3">
        <v>8.1018518518494176E-5</v>
      </c>
      <c r="K1211" s="5">
        <f t="shared" si="99"/>
        <v>7</v>
      </c>
      <c r="L1211" s="3">
        <v>1.2986111111111143E-2</v>
      </c>
      <c r="N1211" s="1" t="s">
        <v>251</v>
      </c>
      <c r="O1211" s="1" t="s">
        <v>286</v>
      </c>
      <c r="P1211" s="1" t="s">
        <v>227</v>
      </c>
      <c r="Q1211" s="1" t="s">
        <v>76</v>
      </c>
      <c r="S1211" s="1" t="s">
        <v>46</v>
      </c>
      <c r="AB1211" s="1" t="s">
        <v>93</v>
      </c>
      <c r="AC1211" s="1">
        <v>1</v>
      </c>
      <c r="AK1211" s="1" t="s">
        <v>61</v>
      </c>
      <c r="AL1211" s="1" t="s">
        <v>72</v>
      </c>
      <c r="AN1211" s="1">
        <v>1</v>
      </c>
      <c r="AO1211" s="1">
        <f t="shared" si="100"/>
        <v>1</v>
      </c>
    </row>
    <row r="1212" spans="1:41" x14ac:dyDescent="0.4">
      <c r="A1212" s="1">
        <v>1</v>
      </c>
      <c r="B1212" s="1" t="s">
        <v>1033</v>
      </c>
      <c r="C1212" s="1" t="s">
        <v>41</v>
      </c>
      <c r="D1212" s="2">
        <v>38917</v>
      </c>
      <c r="E1212" s="1">
        <v>200</v>
      </c>
      <c r="F1212" s="1">
        <v>8.1999999999999993</v>
      </c>
      <c r="G1212" s="3">
        <v>0.57866898148148149</v>
      </c>
      <c r="H1212" s="3">
        <v>0.57869212962962957</v>
      </c>
      <c r="I1212" s="3">
        <v>2.3148148148077752E-5</v>
      </c>
      <c r="J1212" s="3">
        <v>2.3148148148077752E-5</v>
      </c>
      <c r="K1212" s="5">
        <f t="shared" si="99"/>
        <v>2</v>
      </c>
      <c r="L1212" s="3">
        <v>3.6111111111112315E-3</v>
      </c>
      <c r="N1212" s="1" t="s">
        <v>251</v>
      </c>
      <c r="O1212" s="1" t="s">
        <v>286</v>
      </c>
      <c r="P1212" s="1" t="s">
        <v>227</v>
      </c>
      <c r="Q1212" s="1" t="s">
        <v>76</v>
      </c>
      <c r="S1212" s="1" t="s">
        <v>46</v>
      </c>
      <c r="T1212" s="1" t="s">
        <v>47</v>
      </c>
      <c r="U1212" s="1" t="s">
        <v>156</v>
      </c>
      <c r="AB1212" s="1" t="s">
        <v>93</v>
      </c>
      <c r="AC1212" s="1">
        <v>1</v>
      </c>
      <c r="AG1212" s="1" t="s">
        <v>1176</v>
      </c>
      <c r="AI1212" s="1" t="s">
        <v>255</v>
      </c>
      <c r="AK1212" s="1" t="s">
        <v>86</v>
      </c>
      <c r="AL1212" s="1" t="s">
        <v>187</v>
      </c>
      <c r="AM1212" s="1">
        <v>1</v>
      </c>
      <c r="AN1212" s="1">
        <v>0</v>
      </c>
      <c r="AO1212" s="1">
        <f t="shared" si="100"/>
        <v>1</v>
      </c>
    </row>
    <row r="1213" spans="1:41" x14ac:dyDescent="0.4">
      <c r="A1213" s="1">
        <v>1</v>
      </c>
      <c r="B1213" s="1" t="s">
        <v>1033</v>
      </c>
      <c r="C1213" s="1" t="s">
        <v>41</v>
      </c>
      <c r="D1213" s="2">
        <v>38917</v>
      </c>
      <c r="E1213" s="1">
        <v>200</v>
      </c>
      <c r="F1213" s="1">
        <v>8.3000000000000007</v>
      </c>
      <c r="G1213" s="3">
        <v>0.5823032407407408</v>
      </c>
      <c r="H1213" s="3">
        <v>0.58236111111111111</v>
      </c>
      <c r="I1213" s="3">
        <v>5.7870370370305402E-5</v>
      </c>
      <c r="J1213" s="3">
        <v>5.7870370370305402E-5</v>
      </c>
      <c r="K1213" s="5">
        <f t="shared" si="99"/>
        <v>5</v>
      </c>
      <c r="L1213" s="3">
        <v>2.2685185185185031E-3</v>
      </c>
      <c r="N1213" s="1" t="s">
        <v>251</v>
      </c>
      <c r="O1213" s="1" t="s">
        <v>286</v>
      </c>
      <c r="P1213" s="1" t="s">
        <v>227</v>
      </c>
      <c r="Q1213" s="1" t="s">
        <v>76</v>
      </c>
      <c r="S1213" s="1" t="s">
        <v>46</v>
      </c>
      <c r="T1213" s="1" t="s">
        <v>47</v>
      </c>
      <c r="U1213" s="1" t="s">
        <v>156</v>
      </c>
      <c r="AB1213" s="1" t="s">
        <v>93</v>
      </c>
      <c r="AC1213" s="1">
        <v>1</v>
      </c>
      <c r="AG1213" s="1" t="s">
        <v>1162</v>
      </c>
      <c r="AI1213" s="1" t="s">
        <v>255</v>
      </c>
      <c r="AK1213" s="1" t="s">
        <v>86</v>
      </c>
      <c r="AL1213" s="1" t="s">
        <v>87</v>
      </c>
      <c r="AM1213" s="1">
        <v>8</v>
      </c>
      <c r="AN1213" s="1">
        <v>0</v>
      </c>
      <c r="AO1213" s="1">
        <f t="shared" si="100"/>
        <v>8</v>
      </c>
    </row>
    <row r="1214" spans="1:41" x14ac:dyDescent="0.4">
      <c r="A1214" s="1">
        <v>1</v>
      </c>
      <c r="B1214" s="1" t="s">
        <v>1033</v>
      </c>
      <c r="C1214" s="1" t="s">
        <v>41</v>
      </c>
      <c r="D1214" s="2">
        <v>38917</v>
      </c>
      <c r="E1214" s="1">
        <v>200</v>
      </c>
      <c r="F1214" s="1">
        <v>8.4</v>
      </c>
      <c r="G1214" s="3">
        <v>0.58462962962962961</v>
      </c>
      <c r="H1214" s="3">
        <v>0.58466435185185184</v>
      </c>
      <c r="I1214" s="3">
        <v>3.472222222222765E-5</v>
      </c>
      <c r="J1214" s="3">
        <v>3.472222222222765E-5</v>
      </c>
      <c r="K1214" s="5">
        <f t="shared" si="99"/>
        <v>3</v>
      </c>
      <c r="L1214" s="3">
        <v>2.4189814814814525E-3</v>
      </c>
      <c r="N1214" s="1" t="s">
        <v>251</v>
      </c>
      <c r="O1214" s="1" t="s">
        <v>286</v>
      </c>
      <c r="P1214" s="1" t="s">
        <v>227</v>
      </c>
      <c r="Q1214" s="1" t="s">
        <v>76</v>
      </c>
      <c r="S1214" s="1" t="s">
        <v>46</v>
      </c>
      <c r="T1214" s="1" t="s">
        <v>124</v>
      </c>
      <c r="U1214" s="1" t="s">
        <v>156</v>
      </c>
      <c r="AB1214" s="1" t="s">
        <v>93</v>
      </c>
      <c r="AC1214" s="1">
        <v>1</v>
      </c>
      <c r="AG1214" s="1" t="s">
        <v>1162</v>
      </c>
      <c r="AI1214" s="1" t="s">
        <v>255</v>
      </c>
      <c r="AK1214" s="1" t="s">
        <v>86</v>
      </c>
      <c r="AL1214" s="1" t="s">
        <v>87</v>
      </c>
      <c r="AM1214" s="1">
        <v>8</v>
      </c>
      <c r="AN1214" s="1">
        <v>0</v>
      </c>
      <c r="AO1214" s="1">
        <f t="shared" si="100"/>
        <v>8</v>
      </c>
    </row>
    <row r="1215" spans="1:41" x14ac:dyDescent="0.4">
      <c r="A1215" s="1">
        <v>1</v>
      </c>
      <c r="B1215" s="1" t="s">
        <v>1033</v>
      </c>
      <c r="C1215" s="1" t="s">
        <v>41</v>
      </c>
      <c r="D1215" s="2">
        <v>38917</v>
      </c>
      <c r="E1215" s="1">
        <v>200</v>
      </c>
      <c r="F1215" s="1">
        <v>9</v>
      </c>
      <c r="G1215" s="3">
        <v>0.58708333333333329</v>
      </c>
      <c r="H1215" s="3">
        <v>0.59043981481481478</v>
      </c>
      <c r="I1215" s="3">
        <v>3.3564814814814881E-3</v>
      </c>
      <c r="J1215" s="3">
        <v>2.9976851851851727E-3</v>
      </c>
      <c r="K1215" s="5">
        <f t="shared" si="99"/>
        <v>259</v>
      </c>
      <c r="L1215" s="3">
        <v>1.3958333333333406E-2</v>
      </c>
      <c r="N1215" s="1" t="s">
        <v>251</v>
      </c>
      <c r="O1215" s="1" t="s">
        <v>286</v>
      </c>
      <c r="P1215" s="1" t="s">
        <v>227</v>
      </c>
      <c r="Q1215" s="1" t="s">
        <v>76</v>
      </c>
      <c r="S1215" s="1" t="s">
        <v>46</v>
      </c>
      <c r="T1215" s="1" t="s">
        <v>124</v>
      </c>
      <c r="U1215" s="1" t="s">
        <v>156</v>
      </c>
      <c r="V1215" s="1" t="s">
        <v>49</v>
      </c>
      <c r="W1215" s="1" t="s">
        <v>77</v>
      </c>
      <c r="X1215" s="1" t="s">
        <v>375</v>
      </c>
      <c r="Y1215" s="1" t="s">
        <v>376</v>
      </c>
      <c r="Z1215" s="1">
        <v>2</v>
      </c>
      <c r="AB1215" s="1" t="s">
        <v>377</v>
      </c>
      <c r="AC1215" s="1">
        <v>0</v>
      </c>
      <c r="AD1215" s="1" t="s">
        <v>56</v>
      </c>
      <c r="AE1215" s="1" t="s">
        <v>83</v>
      </c>
      <c r="AG1215" s="1" t="s">
        <v>1152</v>
      </c>
      <c r="AH1215" s="1" t="s">
        <v>59</v>
      </c>
      <c r="AI1215" s="1" t="s">
        <v>255</v>
      </c>
      <c r="AK1215" s="1" t="s">
        <v>86</v>
      </c>
      <c r="AL1215" s="1" t="s">
        <v>133</v>
      </c>
      <c r="AM1215" s="1">
        <v>5</v>
      </c>
      <c r="AN1215" s="1">
        <v>0</v>
      </c>
      <c r="AO1215" s="1">
        <f t="shared" si="100"/>
        <v>5</v>
      </c>
    </row>
    <row r="1216" spans="1:41" x14ac:dyDescent="0.4">
      <c r="A1216" s="1">
        <v>1</v>
      </c>
      <c r="B1216" s="1" t="s">
        <v>1033</v>
      </c>
      <c r="C1216" s="1" t="s">
        <v>41</v>
      </c>
      <c r="D1216" s="2">
        <v>38917</v>
      </c>
      <c r="E1216" s="1">
        <v>200</v>
      </c>
      <c r="F1216" s="1">
        <v>11</v>
      </c>
      <c r="G1216" s="3">
        <v>0.60439814814814818</v>
      </c>
      <c r="H1216" s="3">
        <v>0.61744212962962963</v>
      </c>
      <c r="I1216" s="3">
        <v>1.3043981481481448E-2</v>
      </c>
      <c r="J1216" s="3">
        <v>9.3865740740740611E-3</v>
      </c>
      <c r="K1216" s="5">
        <f t="shared" si="99"/>
        <v>811</v>
      </c>
      <c r="L1216" s="3">
        <v>9.3402777777777946E-3</v>
      </c>
      <c r="N1216" s="1" t="s">
        <v>251</v>
      </c>
      <c r="O1216" s="1" t="s">
        <v>286</v>
      </c>
      <c r="P1216" s="1" t="s">
        <v>227</v>
      </c>
      <c r="Q1216" s="1" t="s">
        <v>45</v>
      </c>
      <c r="S1216" s="1" t="s">
        <v>46</v>
      </c>
      <c r="T1216" s="1" t="s">
        <v>124</v>
      </c>
      <c r="U1216" s="1" t="s">
        <v>156</v>
      </c>
      <c r="V1216" s="1" t="s">
        <v>49</v>
      </c>
      <c r="W1216" s="1" t="s">
        <v>268</v>
      </c>
      <c r="X1216" s="1" t="s">
        <v>975</v>
      </c>
      <c r="Y1216" s="1" t="s">
        <v>126</v>
      </c>
      <c r="Z1216" s="1" t="s">
        <v>127</v>
      </c>
      <c r="AA1216" s="1" t="s">
        <v>576</v>
      </c>
      <c r="AB1216" s="1" t="s">
        <v>577</v>
      </c>
      <c r="AC1216" s="1">
        <v>0</v>
      </c>
      <c r="AD1216" s="1" t="s">
        <v>56</v>
      </c>
      <c r="AE1216" s="1" t="s">
        <v>181</v>
      </c>
      <c r="AF1216" s="1" t="s">
        <v>153</v>
      </c>
      <c r="AG1216" s="1" t="s">
        <v>1177</v>
      </c>
      <c r="AH1216" s="1" t="s">
        <v>165</v>
      </c>
      <c r="AI1216" s="1" t="s">
        <v>255</v>
      </c>
      <c r="AK1216" s="1" t="s">
        <v>86</v>
      </c>
      <c r="AL1216" s="1" t="s">
        <v>86</v>
      </c>
      <c r="AM1216" s="1">
        <v>1</v>
      </c>
      <c r="AN1216" s="1">
        <v>0</v>
      </c>
      <c r="AO1216" s="1">
        <f t="shared" si="100"/>
        <v>1</v>
      </c>
    </row>
    <row r="1217" spans="1:41" x14ac:dyDescent="0.4">
      <c r="A1217" s="1">
        <v>1</v>
      </c>
      <c r="B1217" s="1" t="s">
        <v>1033</v>
      </c>
      <c r="C1217" s="1" t="s">
        <v>41</v>
      </c>
      <c r="D1217" s="2">
        <v>38917</v>
      </c>
      <c r="E1217" s="1">
        <v>200</v>
      </c>
      <c r="F1217" s="1">
        <v>12</v>
      </c>
      <c r="G1217" s="3">
        <v>0.62678240740740743</v>
      </c>
      <c r="H1217" s="3">
        <v>0.63045138888888885</v>
      </c>
      <c r="I1217" s="3">
        <v>3.6689814814814259E-3</v>
      </c>
      <c r="J1217" s="3">
        <v>3.6689814814814259E-3</v>
      </c>
      <c r="K1217" s="5">
        <f t="shared" si="99"/>
        <v>317</v>
      </c>
      <c r="L1217" s="3">
        <v>2.0370370370370594E-3</v>
      </c>
      <c r="N1217" s="1" t="s">
        <v>251</v>
      </c>
      <c r="O1217" s="1" t="s">
        <v>286</v>
      </c>
      <c r="P1217" s="1" t="s">
        <v>227</v>
      </c>
      <c r="Q1217" s="1" t="s">
        <v>45</v>
      </c>
      <c r="S1217" s="1" t="s">
        <v>46</v>
      </c>
      <c r="T1217" s="1" t="s">
        <v>47</v>
      </c>
      <c r="U1217" s="1" t="s">
        <v>156</v>
      </c>
      <c r="V1217" s="1" t="s">
        <v>49</v>
      </c>
      <c r="W1217" s="1" t="s">
        <v>77</v>
      </c>
      <c r="X1217" s="1" t="s">
        <v>538</v>
      </c>
      <c r="Y1217" s="1" t="s">
        <v>276</v>
      </c>
      <c r="Z1217" s="1" t="s">
        <v>277</v>
      </c>
      <c r="AA1217" s="1">
        <v>1</v>
      </c>
      <c r="AB1217" s="1" t="s">
        <v>539</v>
      </c>
      <c r="AC1217" s="1">
        <v>0</v>
      </c>
      <c r="AD1217" s="1" t="s">
        <v>56</v>
      </c>
      <c r="AE1217" s="1" t="s">
        <v>181</v>
      </c>
      <c r="AF1217" s="1" t="s">
        <v>113</v>
      </c>
      <c r="AG1217" s="1" t="s">
        <v>1178</v>
      </c>
      <c r="AH1217" s="1" t="s">
        <v>115</v>
      </c>
      <c r="AI1217" s="1" t="s">
        <v>255</v>
      </c>
      <c r="AK1217" s="1" t="s">
        <v>116</v>
      </c>
      <c r="AL1217" s="1" t="s">
        <v>117</v>
      </c>
      <c r="AM1217" s="1">
        <v>2</v>
      </c>
      <c r="AN1217" s="1">
        <v>0</v>
      </c>
      <c r="AO1217" s="1">
        <f t="shared" si="100"/>
        <v>2</v>
      </c>
    </row>
    <row r="1218" spans="1:41" x14ac:dyDescent="0.4">
      <c r="A1218" s="1">
        <v>1</v>
      </c>
      <c r="B1218" s="1" t="s">
        <v>1033</v>
      </c>
      <c r="C1218" s="1" t="s">
        <v>41</v>
      </c>
      <c r="D1218" s="2">
        <v>38917</v>
      </c>
      <c r="E1218" s="1">
        <v>200</v>
      </c>
      <c r="F1218" s="1">
        <v>13</v>
      </c>
      <c r="G1218" s="3">
        <v>0.63248842592592591</v>
      </c>
      <c r="H1218" s="3">
        <v>0.63519675925925922</v>
      </c>
      <c r="I1218" s="3">
        <v>2.7083333333333126E-3</v>
      </c>
      <c r="J1218" s="3">
        <v>1.7592592592592382E-3</v>
      </c>
      <c r="K1218" s="5">
        <f t="shared" ref="K1218:K1281" si="101">HOUR(J1218)*60*60+MINUTE(J1218)*60+SECOND(J1218)</f>
        <v>152</v>
      </c>
      <c r="L1218" s="3">
        <v>1.3912037037037139E-2</v>
      </c>
      <c r="N1218" s="1" t="s">
        <v>251</v>
      </c>
      <c r="O1218" s="1" t="s">
        <v>286</v>
      </c>
      <c r="P1218" s="1" t="s">
        <v>227</v>
      </c>
      <c r="Q1218" s="1" t="s">
        <v>45</v>
      </c>
      <c r="S1218" s="1" t="s">
        <v>46</v>
      </c>
      <c r="T1218" s="1" t="s">
        <v>124</v>
      </c>
      <c r="U1218" s="1" t="s">
        <v>48</v>
      </c>
      <c r="V1218" s="1" t="s">
        <v>102</v>
      </c>
      <c r="W1218" s="1" t="s">
        <v>231</v>
      </c>
      <c r="X1218" s="1" t="s">
        <v>96</v>
      </c>
      <c r="AB1218" s="1" t="s">
        <v>104</v>
      </c>
      <c r="AC1218" s="1">
        <v>0</v>
      </c>
      <c r="AD1218" s="1" t="s">
        <v>105</v>
      </c>
      <c r="AE1218" s="1" t="s">
        <v>70</v>
      </c>
      <c r="AG1218" s="1" t="s">
        <v>1179</v>
      </c>
      <c r="AH1218" s="1" t="s">
        <v>157</v>
      </c>
      <c r="AI1218" s="1" t="s">
        <v>379</v>
      </c>
      <c r="AK1218" s="1" t="s">
        <v>86</v>
      </c>
      <c r="AL1218" s="1" t="s">
        <v>87</v>
      </c>
      <c r="AM1218" s="1">
        <v>3</v>
      </c>
      <c r="AN1218" s="1">
        <v>0</v>
      </c>
      <c r="AO1218" s="1">
        <f t="shared" si="100"/>
        <v>3</v>
      </c>
    </row>
    <row r="1219" spans="1:41" x14ac:dyDescent="0.4">
      <c r="A1219" s="1">
        <v>1</v>
      </c>
      <c r="B1219" s="1" t="s">
        <v>1033</v>
      </c>
      <c r="C1219" s="1" t="s">
        <v>41</v>
      </c>
      <c r="D1219" s="2">
        <v>38917</v>
      </c>
      <c r="E1219" s="1">
        <v>200</v>
      </c>
      <c r="F1219" s="1">
        <v>14</v>
      </c>
      <c r="G1219" s="3">
        <v>0.64910879629629636</v>
      </c>
      <c r="H1219" s="3">
        <v>0.65061342592592586</v>
      </c>
      <c r="I1219" s="3">
        <v>1.5046296296294948E-3</v>
      </c>
      <c r="J1219" s="3">
        <v>1.5046296296294948E-3</v>
      </c>
      <c r="K1219" s="5">
        <f t="shared" si="101"/>
        <v>130</v>
      </c>
      <c r="L1219" s="3" t="s">
        <v>120</v>
      </c>
      <c r="N1219" s="1" t="s">
        <v>251</v>
      </c>
      <c r="O1219" s="1" t="s">
        <v>286</v>
      </c>
      <c r="P1219" s="1" t="s">
        <v>227</v>
      </c>
      <c r="Q1219" s="1" t="s">
        <v>76</v>
      </c>
      <c r="S1219" s="1" t="s">
        <v>46</v>
      </c>
      <c r="T1219" s="1" t="s">
        <v>47</v>
      </c>
      <c r="U1219" s="1" t="s">
        <v>48</v>
      </c>
      <c r="V1219" s="1" t="s">
        <v>102</v>
      </c>
      <c r="W1219" s="1" t="s">
        <v>231</v>
      </c>
      <c r="X1219" s="1" t="s">
        <v>96</v>
      </c>
      <c r="Y1219" s="1" t="s">
        <v>415</v>
      </c>
      <c r="Z1219" s="1" t="s">
        <v>416</v>
      </c>
      <c r="AA1219" s="1">
        <v>44</v>
      </c>
      <c r="AB1219" s="1" t="s">
        <v>417</v>
      </c>
      <c r="AC1219" s="1">
        <v>0</v>
      </c>
      <c r="AD1219" s="1" t="s">
        <v>105</v>
      </c>
      <c r="AE1219" s="1" t="s">
        <v>70</v>
      </c>
      <c r="AF1219" s="1" t="s">
        <v>153</v>
      </c>
      <c r="AG1219" s="1" t="s">
        <v>1055</v>
      </c>
      <c r="AH1219" s="1" t="s">
        <v>157</v>
      </c>
      <c r="AI1219" s="1" t="s">
        <v>379</v>
      </c>
      <c r="AK1219" s="1" t="s">
        <v>116</v>
      </c>
      <c r="AL1219" s="1" t="s">
        <v>117</v>
      </c>
      <c r="AM1219" s="1">
        <v>5</v>
      </c>
      <c r="AN1219" s="1">
        <v>0</v>
      </c>
      <c r="AO1219" s="1">
        <f t="shared" ref="AO1219:AO1282" si="102">SUM(AM1219:AN1219)</f>
        <v>5</v>
      </c>
    </row>
    <row r="1220" spans="1:41" x14ac:dyDescent="0.4">
      <c r="A1220" s="1">
        <v>1</v>
      </c>
      <c r="B1220" s="1" t="s">
        <v>1033</v>
      </c>
      <c r="C1220" s="1" t="s">
        <v>41</v>
      </c>
      <c r="D1220" s="2">
        <v>38919</v>
      </c>
      <c r="E1220" s="1">
        <v>202</v>
      </c>
      <c r="F1220" s="1">
        <v>1</v>
      </c>
      <c r="G1220" s="3">
        <v>0.4510763888888889</v>
      </c>
      <c r="H1220" s="3">
        <v>0.46186342592592594</v>
      </c>
      <c r="I1220" s="3">
        <v>1.0787037037037039E-2</v>
      </c>
      <c r="J1220" s="3">
        <v>6.8287037037034759E-4</v>
      </c>
      <c r="K1220" s="5">
        <f t="shared" si="101"/>
        <v>59</v>
      </c>
      <c r="L1220" s="3">
        <v>5.0231481481480822E-3</v>
      </c>
      <c r="N1220" s="1" t="s">
        <v>251</v>
      </c>
      <c r="O1220" s="1" t="s">
        <v>286</v>
      </c>
      <c r="P1220" s="1" t="s">
        <v>44</v>
      </c>
      <c r="Q1220" s="1" t="s">
        <v>76</v>
      </c>
      <c r="T1220" s="1" t="s">
        <v>47</v>
      </c>
      <c r="U1220" s="1" t="s">
        <v>92</v>
      </c>
      <c r="V1220" s="1" t="s">
        <v>102</v>
      </c>
      <c r="W1220" s="1" t="s">
        <v>231</v>
      </c>
      <c r="X1220" s="1" t="s">
        <v>96</v>
      </c>
      <c r="AB1220" s="1" t="s">
        <v>104</v>
      </c>
      <c r="AC1220" s="1">
        <v>0</v>
      </c>
      <c r="AD1220" s="1" t="s">
        <v>105</v>
      </c>
      <c r="AE1220" s="1" t="s">
        <v>70</v>
      </c>
      <c r="AG1220" s="1" t="s">
        <v>1180</v>
      </c>
      <c r="AH1220" s="1" t="s">
        <v>157</v>
      </c>
      <c r="AI1220" s="1" t="s">
        <v>253</v>
      </c>
      <c r="AK1220" s="1" t="s">
        <v>61</v>
      </c>
      <c r="AL1220" s="1" t="s">
        <v>72</v>
      </c>
      <c r="AM1220" s="1">
        <v>3</v>
      </c>
      <c r="AN1220" s="1">
        <v>0</v>
      </c>
      <c r="AO1220" s="1">
        <f t="shared" si="102"/>
        <v>3</v>
      </c>
    </row>
    <row r="1221" spans="1:41" x14ac:dyDescent="0.4">
      <c r="A1221" s="1">
        <v>1</v>
      </c>
      <c r="B1221" s="1" t="s">
        <v>1033</v>
      </c>
      <c r="C1221" s="1" t="s">
        <v>41</v>
      </c>
      <c r="D1221" s="2">
        <v>38919</v>
      </c>
      <c r="E1221" s="1">
        <v>202</v>
      </c>
      <c r="F1221" s="1">
        <v>2</v>
      </c>
      <c r="G1221" s="3">
        <v>0.46688657407407402</v>
      </c>
      <c r="H1221" s="3">
        <v>0.46756944444444448</v>
      </c>
      <c r="I1221" s="3">
        <v>6.8287037037045861E-4</v>
      </c>
      <c r="J1221" s="3">
        <v>6.8287037037045861E-4</v>
      </c>
      <c r="K1221" s="5">
        <f t="shared" si="101"/>
        <v>59</v>
      </c>
      <c r="L1221" s="3">
        <v>2.3148148148148251E-3</v>
      </c>
      <c r="N1221" s="1" t="s">
        <v>251</v>
      </c>
      <c r="O1221" s="1" t="s">
        <v>286</v>
      </c>
      <c r="P1221" s="1" t="s">
        <v>44</v>
      </c>
      <c r="Q1221" s="1" t="s">
        <v>76</v>
      </c>
      <c r="T1221" s="1" t="s">
        <v>45</v>
      </c>
      <c r="U1221" s="1" t="s">
        <v>92</v>
      </c>
      <c r="V1221" s="1" t="s">
        <v>102</v>
      </c>
      <c r="W1221" s="1" t="s">
        <v>433</v>
      </c>
      <c r="X1221" s="1" t="s">
        <v>96</v>
      </c>
      <c r="Y1221" s="1" t="s">
        <v>1095</v>
      </c>
      <c r="Z1221" s="1" t="s">
        <v>1096</v>
      </c>
      <c r="AA1221" s="1" t="s">
        <v>1097</v>
      </c>
      <c r="AB1221" s="1" t="s">
        <v>1098</v>
      </c>
      <c r="AC1221" s="1">
        <v>0</v>
      </c>
      <c r="AD1221" s="1" t="s">
        <v>1099</v>
      </c>
      <c r="AE1221" s="1" t="s">
        <v>70</v>
      </c>
      <c r="AG1221" s="1" t="s">
        <v>1111</v>
      </c>
      <c r="AI1221" s="1" t="s">
        <v>253</v>
      </c>
      <c r="AK1221" s="1" t="s">
        <v>86</v>
      </c>
      <c r="AL1221" s="1" t="s">
        <v>87</v>
      </c>
      <c r="AM1221" s="1">
        <v>2</v>
      </c>
      <c r="AN1221" s="1">
        <v>0</v>
      </c>
      <c r="AO1221" s="1">
        <f t="shared" si="102"/>
        <v>2</v>
      </c>
    </row>
    <row r="1222" spans="1:41" x14ac:dyDescent="0.4">
      <c r="A1222" s="1">
        <v>1</v>
      </c>
      <c r="B1222" s="1" t="s">
        <v>1033</v>
      </c>
      <c r="C1222" s="1" t="s">
        <v>41</v>
      </c>
      <c r="D1222" s="2">
        <v>38919</v>
      </c>
      <c r="E1222" s="1">
        <v>202</v>
      </c>
      <c r="F1222" s="1">
        <v>3</v>
      </c>
      <c r="G1222" s="3">
        <v>0.46988425925925931</v>
      </c>
      <c r="H1222" s="3">
        <v>0.47900462962962959</v>
      </c>
      <c r="I1222" s="3">
        <v>9.1203703703702788E-3</v>
      </c>
      <c r="J1222" s="3">
        <v>2.5578703703702521E-3</v>
      </c>
      <c r="K1222" s="5">
        <f t="shared" si="101"/>
        <v>221</v>
      </c>
      <c r="L1222" s="3">
        <v>1.7708333333333881E-3</v>
      </c>
      <c r="N1222" s="1" t="s">
        <v>251</v>
      </c>
      <c r="O1222" s="1" t="s">
        <v>286</v>
      </c>
      <c r="P1222" s="1" t="s">
        <v>44</v>
      </c>
      <c r="Q1222" s="1" t="s">
        <v>45</v>
      </c>
      <c r="T1222" s="1" t="s">
        <v>45</v>
      </c>
      <c r="U1222" s="1" t="s">
        <v>156</v>
      </c>
      <c r="V1222" s="1" t="s">
        <v>49</v>
      </c>
      <c r="W1222" s="1" t="s">
        <v>50</v>
      </c>
      <c r="X1222" s="1" t="s">
        <v>346</v>
      </c>
      <c r="Y1222" s="1" t="s">
        <v>347</v>
      </c>
      <c r="Z1222" s="1" t="s">
        <v>348</v>
      </c>
      <c r="AA1222" s="1" t="s">
        <v>349</v>
      </c>
      <c r="AB1222" s="1" t="s">
        <v>350</v>
      </c>
      <c r="AC1222" s="1">
        <v>0</v>
      </c>
      <c r="AD1222" s="1" t="s">
        <v>56</v>
      </c>
      <c r="AE1222" s="1" t="s">
        <v>83</v>
      </c>
      <c r="AG1222" s="1" t="s">
        <v>1181</v>
      </c>
      <c r="AH1222" s="1" t="s">
        <v>115</v>
      </c>
      <c r="AI1222" s="1" t="s">
        <v>255</v>
      </c>
      <c r="AK1222" s="1" t="s">
        <v>86</v>
      </c>
      <c r="AL1222" s="1" t="s">
        <v>87</v>
      </c>
      <c r="AM1222" s="1">
        <v>1</v>
      </c>
      <c r="AN1222" s="1">
        <v>0</v>
      </c>
      <c r="AO1222" s="1">
        <f t="shared" si="102"/>
        <v>1</v>
      </c>
    </row>
    <row r="1223" spans="1:41" x14ac:dyDescent="0.4">
      <c r="A1223" s="1">
        <v>1</v>
      </c>
      <c r="B1223" s="1" t="s">
        <v>1033</v>
      </c>
      <c r="C1223" s="1" t="s">
        <v>41</v>
      </c>
      <c r="D1223" s="2">
        <v>38919</v>
      </c>
      <c r="E1223" s="1">
        <v>202</v>
      </c>
      <c r="F1223" s="1">
        <v>3.5</v>
      </c>
      <c r="G1223" s="3">
        <v>0.48077546296296297</v>
      </c>
      <c r="H1223" s="3">
        <v>0.48079861111111111</v>
      </c>
      <c r="I1223" s="3">
        <v>2.3148148148133263E-5</v>
      </c>
      <c r="J1223" s="3">
        <v>2.3148148148133263E-5</v>
      </c>
      <c r="K1223" s="5">
        <f t="shared" si="101"/>
        <v>2</v>
      </c>
      <c r="L1223" s="3">
        <v>5.4050925925925974E-2</v>
      </c>
      <c r="N1223" s="1" t="s">
        <v>251</v>
      </c>
      <c r="O1223" s="1" t="s">
        <v>286</v>
      </c>
      <c r="P1223" s="1" t="s">
        <v>44</v>
      </c>
      <c r="Q1223" s="1" t="s">
        <v>45</v>
      </c>
      <c r="T1223" s="1" t="s">
        <v>45</v>
      </c>
      <c r="U1223" s="1" t="s">
        <v>156</v>
      </c>
      <c r="AB1223" s="1" t="s">
        <v>93</v>
      </c>
      <c r="AC1223" s="1">
        <v>1</v>
      </c>
      <c r="AI1223" s="1" t="s">
        <v>255</v>
      </c>
      <c r="AK1223" s="1" t="s">
        <v>86</v>
      </c>
      <c r="AL1223" s="1" t="s">
        <v>133</v>
      </c>
      <c r="AN1223" s="1">
        <v>1</v>
      </c>
      <c r="AO1223" s="1">
        <f t="shared" si="102"/>
        <v>1</v>
      </c>
    </row>
    <row r="1224" spans="1:41" x14ac:dyDescent="0.4">
      <c r="A1224" s="1">
        <v>1</v>
      </c>
      <c r="B1224" s="1" t="s">
        <v>1033</v>
      </c>
      <c r="C1224" s="1" t="s">
        <v>41</v>
      </c>
      <c r="D1224" s="2">
        <v>38919</v>
      </c>
      <c r="E1224" s="1">
        <v>202</v>
      </c>
      <c r="F1224" s="1">
        <v>4</v>
      </c>
      <c r="G1224" s="3">
        <v>0.53484953703703708</v>
      </c>
      <c r="H1224" s="3">
        <v>0.54476851851851849</v>
      </c>
      <c r="I1224" s="3">
        <v>9.9189814814814037E-3</v>
      </c>
      <c r="J1224" s="3">
        <v>5.1504629629628429E-3</v>
      </c>
      <c r="K1224" s="5">
        <f t="shared" si="101"/>
        <v>445</v>
      </c>
      <c r="L1224" s="3">
        <v>8.009259259259327E-3</v>
      </c>
      <c r="N1224" s="1" t="s">
        <v>42</v>
      </c>
      <c r="O1224" s="1" t="s">
        <v>286</v>
      </c>
      <c r="P1224" s="1" t="s">
        <v>44</v>
      </c>
      <c r="Q1224" s="1" t="s">
        <v>45</v>
      </c>
      <c r="T1224" s="1" t="s">
        <v>76</v>
      </c>
      <c r="U1224" s="1" t="s">
        <v>66</v>
      </c>
      <c r="V1224" s="1" t="s">
        <v>49</v>
      </c>
      <c r="W1224" s="1" t="s">
        <v>140</v>
      </c>
      <c r="X1224" s="1" t="s">
        <v>177</v>
      </c>
      <c r="Y1224" s="1" t="s">
        <v>79</v>
      </c>
      <c r="Z1224" s="1" t="s">
        <v>178</v>
      </c>
      <c r="AA1224" s="1" t="s">
        <v>572</v>
      </c>
      <c r="AB1224" s="1" t="s">
        <v>573</v>
      </c>
      <c r="AC1224" s="1">
        <v>0</v>
      </c>
      <c r="AD1224" s="1" t="s">
        <v>56</v>
      </c>
      <c r="AE1224" s="1" t="s">
        <v>181</v>
      </c>
      <c r="AG1224" s="1" t="s">
        <v>1182</v>
      </c>
      <c r="AH1224" s="1" t="s">
        <v>115</v>
      </c>
      <c r="AI1224" s="1" t="s">
        <v>71</v>
      </c>
      <c r="AK1224" s="1" t="s">
        <v>61</v>
      </c>
      <c r="AL1224" s="1" t="s">
        <v>61</v>
      </c>
      <c r="AM1224" s="1">
        <v>1</v>
      </c>
      <c r="AN1224" s="1">
        <v>0</v>
      </c>
      <c r="AO1224" s="1">
        <f t="shared" si="102"/>
        <v>1</v>
      </c>
    </row>
    <row r="1225" spans="1:41" x14ac:dyDescent="0.4">
      <c r="A1225" s="1">
        <v>1</v>
      </c>
      <c r="B1225" s="1" t="s">
        <v>1033</v>
      </c>
      <c r="C1225" s="1" t="s">
        <v>41</v>
      </c>
      <c r="D1225" s="2">
        <v>38919</v>
      </c>
      <c r="E1225" s="1">
        <v>202</v>
      </c>
      <c r="F1225" s="1">
        <v>4.2</v>
      </c>
      <c r="G1225" s="3">
        <v>0.55277777777777781</v>
      </c>
      <c r="H1225" s="3">
        <v>0.55283564814814812</v>
      </c>
      <c r="I1225" s="3">
        <v>5.7870370370305402E-5</v>
      </c>
      <c r="J1225" s="3">
        <v>5.7870370370305402E-5</v>
      </c>
      <c r="K1225" s="5">
        <f t="shared" si="101"/>
        <v>5</v>
      </c>
      <c r="L1225" s="3">
        <v>5.2546296296296369E-3</v>
      </c>
      <c r="N1225" s="1" t="s">
        <v>42</v>
      </c>
      <c r="O1225" s="1" t="s">
        <v>286</v>
      </c>
      <c r="P1225" s="1" t="s">
        <v>44</v>
      </c>
      <c r="Q1225" s="1" t="s">
        <v>132</v>
      </c>
      <c r="T1225" s="1" t="s">
        <v>76</v>
      </c>
      <c r="U1225" s="1" t="s">
        <v>92</v>
      </c>
      <c r="AB1225" s="1" t="s">
        <v>93</v>
      </c>
      <c r="AC1225" s="1">
        <v>1</v>
      </c>
      <c r="AI1225" s="1" t="s">
        <v>75</v>
      </c>
      <c r="AK1225" s="1" t="s">
        <v>86</v>
      </c>
      <c r="AL1225" s="1" t="s">
        <v>87</v>
      </c>
      <c r="AN1225" s="1">
        <v>1</v>
      </c>
      <c r="AO1225" s="1">
        <f t="shared" si="102"/>
        <v>1</v>
      </c>
    </row>
    <row r="1226" spans="1:41" x14ac:dyDescent="0.4">
      <c r="A1226" s="1">
        <v>1</v>
      </c>
      <c r="B1226" s="1" t="s">
        <v>1033</v>
      </c>
      <c r="C1226" s="1" t="s">
        <v>41</v>
      </c>
      <c r="D1226" s="2">
        <v>38919</v>
      </c>
      <c r="E1226" s="1">
        <v>202</v>
      </c>
      <c r="F1226" s="1">
        <v>4.4000000000000004</v>
      </c>
      <c r="G1226" s="3">
        <v>0.55809027777777775</v>
      </c>
      <c r="H1226" s="3">
        <v>0.56070601851851853</v>
      </c>
      <c r="I1226" s="3">
        <v>2.6157407407407796E-3</v>
      </c>
      <c r="J1226" s="3">
        <v>1.6203703703709937E-4</v>
      </c>
      <c r="K1226" s="5">
        <f t="shared" si="101"/>
        <v>14</v>
      </c>
      <c r="L1226" s="3">
        <v>5.7870370370369795E-3</v>
      </c>
      <c r="N1226" s="1" t="s">
        <v>42</v>
      </c>
      <c r="O1226" s="1" t="s">
        <v>286</v>
      </c>
      <c r="P1226" s="1" t="s">
        <v>44</v>
      </c>
      <c r="Q1226" s="1" t="s">
        <v>132</v>
      </c>
      <c r="T1226" s="1" t="s">
        <v>45</v>
      </c>
      <c r="U1226" s="1" t="s">
        <v>156</v>
      </c>
      <c r="AB1226" s="1" t="s">
        <v>93</v>
      </c>
      <c r="AC1226" s="1">
        <v>1</v>
      </c>
      <c r="AI1226" s="1" t="s">
        <v>75</v>
      </c>
      <c r="AK1226" s="1" t="s">
        <v>86</v>
      </c>
      <c r="AL1226" s="1" t="s">
        <v>87</v>
      </c>
      <c r="AN1226" s="1">
        <v>1</v>
      </c>
      <c r="AO1226" s="1">
        <f t="shared" si="102"/>
        <v>1</v>
      </c>
    </row>
    <row r="1227" spans="1:41" x14ac:dyDescent="0.4">
      <c r="A1227" s="1">
        <v>1</v>
      </c>
      <c r="B1227" s="1" t="s">
        <v>1033</v>
      </c>
      <c r="C1227" s="1" t="s">
        <v>41</v>
      </c>
      <c r="D1227" s="2">
        <v>38919</v>
      </c>
      <c r="E1227" s="1">
        <v>202</v>
      </c>
      <c r="F1227" s="1">
        <v>4.5999999999999996</v>
      </c>
      <c r="G1227" s="3">
        <v>0.56649305555555551</v>
      </c>
      <c r="H1227" s="3">
        <v>0.5665162037037037</v>
      </c>
      <c r="I1227" s="3">
        <v>2.3148148148188774E-5</v>
      </c>
      <c r="J1227" s="3">
        <v>2.3148148148188774E-5</v>
      </c>
      <c r="K1227" s="5">
        <f t="shared" si="101"/>
        <v>2</v>
      </c>
      <c r="L1227" s="3">
        <v>1.8171296296296546E-3</v>
      </c>
      <c r="N1227" s="1" t="s">
        <v>42</v>
      </c>
      <c r="O1227" s="1" t="s">
        <v>286</v>
      </c>
      <c r="P1227" s="1" t="s">
        <v>44</v>
      </c>
      <c r="Q1227" s="1" t="s">
        <v>132</v>
      </c>
      <c r="T1227" s="1" t="s">
        <v>76</v>
      </c>
      <c r="U1227" s="1" t="s">
        <v>156</v>
      </c>
      <c r="AB1227" s="1" t="s">
        <v>93</v>
      </c>
      <c r="AC1227" s="1">
        <v>1</v>
      </c>
      <c r="AI1227" s="1" t="s">
        <v>75</v>
      </c>
      <c r="AK1227" s="1" t="s">
        <v>86</v>
      </c>
      <c r="AL1227" s="1" t="s">
        <v>87</v>
      </c>
      <c r="AN1227" s="1">
        <v>1</v>
      </c>
      <c r="AO1227" s="1">
        <f t="shared" si="102"/>
        <v>1</v>
      </c>
    </row>
    <row r="1228" spans="1:41" x14ac:dyDescent="0.4">
      <c r="A1228" s="1">
        <v>1</v>
      </c>
      <c r="B1228" s="1" t="s">
        <v>1033</v>
      </c>
      <c r="C1228" s="1" t="s">
        <v>41</v>
      </c>
      <c r="D1228" s="2">
        <v>38919</v>
      </c>
      <c r="E1228" s="1">
        <v>202</v>
      </c>
      <c r="F1228" s="1">
        <v>5</v>
      </c>
      <c r="G1228" s="3">
        <v>0.56833333333333336</v>
      </c>
      <c r="H1228" s="3">
        <v>0.5699305555555555</v>
      </c>
      <c r="I1228" s="3">
        <v>1.5972222222221388E-3</v>
      </c>
      <c r="J1228" s="3">
        <v>1.4699074074072671E-3</v>
      </c>
      <c r="K1228" s="5">
        <f t="shared" si="101"/>
        <v>127</v>
      </c>
      <c r="L1228" s="3">
        <v>7.1967592592592666E-2</v>
      </c>
      <c r="N1228" s="1" t="s">
        <v>42</v>
      </c>
      <c r="O1228" s="1" t="s">
        <v>286</v>
      </c>
      <c r="P1228" s="1" t="s">
        <v>44</v>
      </c>
      <c r="Q1228" s="1" t="s">
        <v>132</v>
      </c>
      <c r="T1228" s="1" t="s">
        <v>76</v>
      </c>
      <c r="U1228" s="1" t="s">
        <v>48</v>
      </c>
      <c r="V1228" s="1" t="s">
        <v>102</v>
      </c>
      <c r="W1228" s="1" t="s">
        <v>433</v>
      </c>
      <c r="X1228" s="1" t="s">
        <v>96</v>
      </c>
      <c r="Y1228" s="1" t="s">
        <v>1095</v>
      </c>
      <c r="Z1228" s="1" t="s">
        <v>1096</v>
      </c>
      <c r="AA1228" s="1" t="s">
        <v>1097</v>
      </c>
      <c r="AB1228" s="1" t="s">
        <v>1098</v>
      </c>
      <c r="AC1228" s="1">
        <v>0</v>
      </c>
      <c r="AD1228" s="1" t="s">
        <v>1099</v>
      </c>
      <c r="AE1228" s="1" t="s">
        <v>70</v>
      </c>
      <c r="AI1228" s="1" t="s">
        <v>60</v>
      </c>
      <c r="AK1228" s="1" t="s">
        <v>86</v>
      </c>
      <c r="AL1228" s="1" t="s">
        <v>87</v>
      </c>
      <c r="AN1228" s="1">
        <v>1</v>
      </c>
      <c r="AO1228" s="1">
        <f t="shared" si="102"/>
        <v>1</v>
      </c>
    </row>
    <row r="1229" spans="1:41" x14ac:dyDescent="0.4">
      <c r="A1229" s="1">
        <v>1</v>
      </c>
      <c r="B1229" s="1" t="s">
        <v>1033</v>
      </c>
      <c r="C1229" s="1" t="s">
        <v>41</v>
      </c>
      <c r="D1229" s="2">
        <v>38919</v>
      </c>
      <c r="E1229" s="1">
        <v>202</v>
      </c>
      <c r="F1229" s="1">
        <v>6</v>
      </c>
      <c r="G1229" s="3">
        <v>0.64189814814814816</v>
      </c>
      <c r="H1229" s="3">
        <v>0.6419097222222222</v>
      </c>
      <c r="I1229" s="3">
        <v>1.1574074074038876E-5</v>
      </c>
      <c r="J1229" s="3">
        <v>1.1574074074038876E-5</v>
      </c>
      <c r="K1229" s="5">
        <f t="shared" si="101"/>
        <v>1</v>
      </c>
      <c r="L1229" s="3">
        <v>8.5416666666666696E-3</v>
      </c>
      <c r="N1229" s="1" t="s">
        <v>42</v>
      </c>
      <c r="O1229" s="1" t="s">
        <v>286</v>
      </c>
      <c r="P1229" s="1" t="s">
        <v>44</v>
      </c>
      <c r="Q1229" s="1" t="s">
        <v>76</v>
      </c>
      <c r="T1229" s="1" t="s">
        <v>47</v>
      </c>
      <c r="U1229" s="1" t="s">
        <v>66</v>
      </c>
      <c r="V1229" s="1" t="s">
        <v>102</v>
      </c>
      <c r="W1229" s="1" t="s">
        <v>231</v>
      </c>
      <c r="X1229" s="1" t="s">
        <v>96</v>
      </c>
      <c r="Y1229" s="1" t="s">
        <v>415</v>
      </c>
      <c r="Z1229" s="1" t="s">
        <v>416</v>
      </c>
      <c r="AA1229" s="1">
        <v>44</v>
      </c>
      <c r="AB1229" s="1" t="s">
        <v>417</v>
      </c>
      <c r="AC1229" s="1">
        <v>0</v>
      </c>
      <c r="AD1229" s="1" t="s">
        <v>105</v>
      </c>
      <c r="AE1229" s="1" t="s">
        <v>70</v>
      </c>
      <c r="AF1229" s="1" t="s">
        <v>113</v>
      </c>
      <c r="AG1229" s="1" t="s">
        <v>1055</v>
      </c>
      <c r="AH1229" s="1" t="s">
        <v>157</v>
      </c>
      <c r="AI1229" s="1" t="s">
        <v>71</v>
      </c>
      <c r="AK1229" s="1" t="s">
        <v>86</v>
      </c>
      <c r="AL1229" s="1" t="s">
        <v>87</v>
      </c>
      <c r="AM1229" s="1">
        <v>5</v>
      </c>
      <c r="AN1229" s="1">
        <v>0</v>
      </c>
      <c r="AO1229" s="1">
        <f t="shared" si="102"/>
        <v>5</v>
      </c>
    </row>
    <row r="1230" spans="1:41" x14ac:dyDescent="0.4">
      <c r="A1230" s="1">
        <v>1</v>
      </c>
      <c r="B1230" s="1" t="s">
        <v>1033</v>
      </c>
      <c r="C1230" s="1" t="s">
        <v>41</v>
      </c>
      <c r="D1230" s="2">
        <v>38919</v>
      </c>
      <c r="E1230" s="1">
        <v>202</v>
      </c>
      <c r="F1230" s="1">
        <v>6.5</v>
      </c>
      <c r="G1230" s="3">
        <v>0.65045138888888887</v>
      </c>
      <c r="H1230" s="3">
        <v>0.65050925925925929</v>
      </c>
      <c r="I1230" s="3">
        <v>5.7870370370416424E-5</v>
      </c>
      <c r="J1230" s="3">
        <v>5.7870370370416424E-5</v>
      </c>
      <c r="K1230" s="5">
        <f t="shared" si="101"/>
        <v>5</v>
      </c>
      <c r="L1230" s="3">
        <v>1.9884259259259296E-2</v>
      </c>
      <c r="N1230" s="1" t="s">
        <v>42</v>
      </c>
      <c r="O1230" s="1" t="s">
        <v>286</v>
      </c>
      <c r="P1230" s="1" t="s">
        <v>44</v>
      </c>
      <c r="Q1230" s="1" t="s">
        <v>45</v>
      </c>
      <c r="T1230" s="1" t="s">
        <v>45</v>
      </c>
      <c r="U1230" s="1" t="s">
        <v>156</v>
      </c>
      <c r="AB1230" s="1" t="s">
        <v>93</v>
      </c>
      <c r="AC1230" s="1">
        <v>1</v>
      </c>
      <c r="AI1230" s="1" t="s">
        <v>75</v>
      </c>
      <c r="AK1230" s="1" t="s">
        <v>86</v>
      </c>
      <c r="AL1230" s="1" t="s">
        <v>87</v>
      </c>
      <c r="AN1230" s="1">
        <v>1</v>
      </c>
      <c r="AO1230" s="1">
        <f t="shared" si="102"/>
        <v>1</v>
      </c>
    </row>
    <row r="1231" spans="1:41" x14ac:dyDescent="0.4">
      <c r="A1231" s="1">
        <v>1</v>
      </c>
      <c r="B1231" s="1" t="s">
        <v>1033</v>
      </c>
      <c r="C1231" s="1" t="s">
        <v>41</v>
      </c>
      <c r="D1231" s="2">
        <v>38919</v>
      </c>
      <c r="E1231" s="1">
        <v>202</v>
      </c>
      <c r="F1231" s="1">
        <v>7</v>
      </c>
      <c r="G1231" s="3">
        <v>0.67039351851851858</v>
      </c>
      <c r="H1231" s="3">
        <v>0.67278935185185185</v>
      </c>
      <c r="I1231" s="3">
        <v>2.3958333333332638E-3</v>
      </c>
      <c r="J1231" s="3">
        <v>2.3958333333332638E-3</v>
      </c>
      <c r="K1231" s="5">
        <f t="shared" si="101"/>
        <v>207</v>
      </c>
      <c r="L1231" s="3">
        <v>1.836805555555554E-2</v>
      </c>
      <c r="N1231" s="1" t="s">
        <v>42</v>
      </c>
      <c r="O1231" s="1" t="s">
        <v>286</v>
      </c>
      <c r="P1231" s="1" t="s">
        <v>44</v>
      </c>
      <c r="Q1231" s="1" t="s">
        <v>132</v>
      </c>
      <c r="T1231" s="1" t="s">
        <v>45</v>
      </c>
      <c r="U1231" s="1" t="s">
        <v>66</v>
      </c>
      <c r="V1231" s="1" t="s">
        <v>102</v>
      </c>
      <c r="W1231" s="1" t="s">
        <v>433</v>
      </c>
      <c r="X1231" s="1" t="s">
        <v>96</v>
      </c>
      <c r="Y1231" s="1" t="s">
        <v>1095</v>
      </c>
      <c r="Z1231" s="1" t="s">
        <v>1096</v>
      </c>
      <c r="AA1231" s="1" t="s">
        <v>1097</v>
      </c>
      <c r="AB1231" s="1" t="s">
        <v>1098</v>
      </c>
      <c r="AC1231" s="1">
        <v>0</v>
      </c>
      <c r="AD1231" s="1" t="s">
        <v>1099</v>
      </c>
      <c r="AE1231" s="1" t="s">
        <v>70</v>
      </c>
      <c r="AI1231" s="1" t="s">
        <v>71</v>
      </c>
      <c r="AK1231" s="1" t="s">
        <v>86</v>
      </c>
      <c r="AL1231" s="1" t="s">
        <v>86</v>
      </c>
      <c r="AN1231" s="1">
        <v>1</v>
      </c>
      <c r="AO1231" s="1">
        <f t="shared" si="102"/>
        <v>1</v>
      </c>
    </row>
    <row r="1232" spans="1:41" x14ac:dyDescent="0.4">
      <c r="A1232" s="1">
        <v>1</v>
      </c>
      <c r="B1232" s="1" t="s">
        <v>1033</v>
      </c>
      <c r="C1232" s="1" t="s">
        <v>41</v>
      </c>
      <c r="D1232" s="2">
        <v>38919</v>
      </c>
      <c r="E1232" s="1">
        <v>202</v>
      </c>
      <c r="F1232" s="1">
        <v>8</v>
      </c>
      <c r="G1232" s="3">
        <v>0.69115740740740739</v>
      </c>
      <c r="H1232" s="3">
        <v>0.69222222222222218</v>
      </c>
      <c r="I1232" s="3">
        <v>1.0648148148147962E-3</v>
      </c>
      <c r="J1232" s="3">
        <v>1.0648148148147962E-3</v>
      </c>
      <c r="K1232" s="5">
        <f t="shared" si="101"/>
        <v>92</v>
      </c>
      <c r="L1232" s="3">
        <v>1.6319444444444775E-3</v>
      </c>
      <c r="N1232" s="1" t="s">
        <v>42</v>
      </c>
      <c r="O1232" s="1" t="s">
        <v>286</v>
      </c>
      <c r="P1232" s="1" t="s">
        <v>44</v>
      </c>
      <c r="Q1232" s="1" t="s">
        <v>76</v>
      </c>
      <c r="T1232" s="1" t="s">
        <v>45</v>
      </c>
      <c r="U1232" s="1" t="s">
        <v>66</v>
      </c>
      <c r="V1232" s="1" t="s">
        <v>102</v>
      </c>
      <c r="W1232" s="1" t="s">
        <v>103</v>
      </c>
      <c r="X1232" s="1" t="s">
        <v>96</v>
      </c>
      <c r="AB1232" s="1" t="s">
        <v>104</v>
      </c>
      <c r="AC1232" s="1">
        <v>0</v>
      </c>
      <c r="AD1232" s="1" t="s">
        <v>105</v>
      </c>
      <c r="AE1232" s="1" t="s">
        <v>70</v>
      </c>
      <c r="AG1232" s="1" t="s">
        <v>1170</v>
      </c>
      <c r="AH1232" s="1" t="s">
        <v>157</v>
      </c>
      <c r="AI1232" s="1" t="s">
        <v>71</v>
      </c>
      <c r="AK1232" s="1" t="s">
        <v>86</v>
      </c>
      <c r="AL1232" s="1" t="s">
        <v>87</v>
      </c>
      <c r="AM1232" s="1">
        <v>3</v>
      </c>
      <c r="AN1232" s="1">
        <v>0</v>
      </c>
      <c r="AO1232" s="1">
        <f t="shared" si="102"/>
        <v>3</v>
      </c>
    </row>
    <row r="1233" spans="1:41" x14ac:dyDescent="0.4">
      <c r="A1233" s="1">
        <v>1</v>
      </c>
      <c r="B1233" s="1" t="s">
        <v>1033</v>
      </c>
      <c r="C1233" s="1" t="s">
        <v>41</v>
      </c>
      <c r="D1233" s="2">
        <v>38919</v>
      </c>
      <c r="E1233" s="1">
        <v>202</v>
      </c>
      <c r="F1233" s="1">
        <v>9</v>
      </c>
      <c r="G1233" s="3">
        <v>0.69385416666666666</v>
      </c>
      <c r="H1233" s="3">
        <v>0.69885416666666667</v>
      </c>
      <c r="I1233" s="3">
        <v>5.0000000000000044E-3</v>
      </c>
      <c r="J1233" s="3">
        <v>3.6921296296298367E-3</v>
      </c>
      <c r="K1233" s="5">
        <f t="shared" si="101"/>
        <v>319</v>
      </c>
      <c r="L1233" s="3">
        <v>9.8379629629619103E-4</v>
      </c>
      <c r="N1233" s="1" t="s">
        <v>42</v>
      </c>
      <c r="O1233" s="1" t="s">
        <v>286</v>
      </c>
      <c r="P1233" s="1" t="s">
        <v>44</v>
      </c>
      <c r="Q1233" s="1" t="s">
        <v>45</v>
      </c>
      <c r="T1233" s="1" t="s">
        <v>45</v>
      </c>
      <c r="U1233" s="1" t="s">
        <v>66</v>
      </c>
      <c r="V1233" s="1" t="s">
        <v>102</v>
      </c>
      <c r="W1233" s="1" t="s">
        <v>231</v>
      </c>
      <c r="X1233" s="1" t="s">
        <v>369</v>
      </c>
      <c r="AB1233" s="1" t="s">
        <v>104</v>
      </c>
      <c r="AC1233" s="1">
        <v>0</v>
      </c>
      <c r="AD1233" s="1" t="s">
        <v>105</v>
      </c>
      <c r="AE1233" s="1" t="s">
        <v>70</v>
      </c>
      <c r="AG1233" s="1" t="s">
        <v>1165</v>
      </c>
      <c r="AH1233" s="1" t="s">
        <v>157</v>
      </c>
      <c r="AI1233" s="1" t="s">
        <v>71</v>
      </c>
      <c r="AK1233" s="1" t="s">
        <v>86</v>
      </c>
      <c r="AL1233" s="1" t="s">
        <v>87</v>
      </c>
      <c r="AM1233" s="1">
        <v>5</v>
      </c>
      <c r="AN1233" s="1">
        <v>0</v>
      </c>
      <c r="AO1233" s="1">
        <f t="shared" si="102"/>
        <v>5</v>
      </c>
    </row>
    <row r="1234" spans="1:41" x14ac:dyDescent="0.4">
      <c r="A1234" s="1">
        <v>1</v>
      </c>
      <c r="B1234" s="1" t="s">
        <v>1033</v>
      </c>
      <c r="C1234" s="1" t="s">
        <v>41</v>
      </c>
      <c r="D1234" s="2">
        <v>38919</v>
      </c>
      <c r="E1234" s="1">
        <v>202</v>
      </c>
      <c r="F1234" s="1">
        <v>10</v>
      </c>
      <c r="G1234" s="3">
        <v>0.69983796296296286</v>
      </c>
      <c r="H1234" s="3">
        <v>0.70025462962962959</v>
      </c>
      <c r="I1234" s="3">
        <v>4.166666666667318E-4</v>
      </c>
      <c r="J1234" s="3">
        <v>4.166666666667318E-4</v>
      </c>
      <c r="K1234" s="5">
        <f t="shared" si="101"/>
        <v>36</v>
      </c>
      <c r="L1234" s="3">
        <v>5.1273148148148762E-3</v>
      </c>
      <c r="N1234" s="1" t="s">
        <v>42</v>
      </c>
      <c r="O1234" s="1" t="s">
        <v>286</v>
      </c>
      <c r="P1234" s="1" t="s">
        <v>44</v>
      </c>
      <c r="Q1234" s="1" t="s">
        <v>76</v>
      </c>
      <c r="T1234" s="1" t="s">
        <v>45</v>
      </c>
      <c r="U1234" s="1" t="s">
        <v>66</v>
      </c>
      <c r="V1234" s="1" t="s">
        <v>102</v>
      </c>
      <c r="W1234" s="1" t="s">
        <v>103</v>
      </c>
      <c r="X1234" s="1" t="s">
        <v>96</v>
      </c>
      <c r="AB1234" s="1" t="s">
        <v>104</v>
      </c>
      <c r="AC1234" s="1">
        <v>0</v>
      </c>
      <c r="AD1234" s="1" t="s">
        <v>105</v>
      </c>
      <c r="AE1234" s="1" t="s">
        <v>70</v>
      </c>
      <c r="AG1234" s="1" t="s">
        <v>1170</v>
      </c>
      <c r="AH1234" s="1" t="s">
        <v>157</v>
      </c>
      <c r="AI1234" s="1" t="s">
        <v>71</v>
      </c>
      <c r="AK1234" s="1" t="s">
        <v>86</v>
      </c>
      <c r="AL1234" s="1" t="s">
        <v>87</v>
      </c>
      <c r="AM1234" s="1">
        <v>3</v>
      </c>
      <c r="AN1234" s="1">
        <v>0</v>
      </c>
      <c r="AO1234" s="1">
        <f t="shared" si="102"/>
        <v>3</v>
      </c>
    </row>
    <row r="1235" spans="1:41" x14ac:dyDescent="0.4">
      <c r="A1235" s="1">
        <v>1</v>
      </c>
      <c r="B1235" s="1" t="s">
        <v>1033</v>
      </c>
      <c r="C1235" s="1" t="s">
        <v>41</v>
      </c>
      <c r="D1235" s="2">
        <v>38919</v>
      </c>
      <c r="E1235" s="1">
        <v>202</v>
      </c>
      <c r="F1235" s="1">
        <v>11</v>
      </c>
      <c r="G1235" s="3">
        <v>0.70538194444444446</v>
      </c>
      <c r="H1235" s="3">
        <v>0.70542824074074073</v>
      </c>
      <c r="I1235" s="3">
        <v>4.6296296296266526E-5</v>
      </c>
      <c r="J1235" s="3">
        <v>4.6296296296266526E-5</v>
      </c>
      <c r="K1235" s="5">
        <f t="shared" si="101"/>
        <v>4</v>
      </c>
      <c r="L1235" s="3">
        <v>2.6388888888888573E-3</v>
      </c>
      <c r="N1235" s="1" t="s">
        <v>42</v>
      </c>
      <c r="O1235" s="1" t="s">
        <v>286</v>
      </c>
      <c r="P1235" s="1" t="s">
        <v>44</v>
      </c>
      <c r="Q1235" s="1" t="s">
        <v>76</v>
      </c>
      <c r="T1235" s="1" t="s">
        <v>76</v>
      </c>
      <c r="U1235" s="1" t="s">
        <v>92</v>
      </c>
      <c r="AB1235" s="1" t="s">
        <v>93</v>
      </c>
      <c r="AC1235" s="1">
        <v>1</v>
      </c>
      <c r="AI1235" s="1" t="s">
        <v>75</v>
      </c>
      <c r="AK1235" s="1" t="s">
        <v>86</v>
      </c>
      <c r="AL1235" s="1" t="s">
        <v>87</v>
      </c>
      <c r="AN1235" s="1">
        <v>1</v>
      </c>
      <c r="AO1235" s="1">
        <f t="shared" si="102"/>
        <v>1</v>
      </c>
    </row>
    <row r="1236" spans="1:41" x14ac:dyDescent="0.4">
      <c r="A1236" s="1">
        <v>1</v>
      </c>
      <c r="B1236" s="1" t="s">
        <v>1033</v>
      </c>
      <c r="C1236" s="1" t="s">
        <v>41</v>
      </c>
      <c r="D1236" s="2">
        <v>38919</v>
      </c>
      <c r="E1236" s="1">
        <v>202</v>
      </c>
      <c r="F1236" s="1">
        <v>12</v>
      </c>
      <c r="G1236" s="3">
        <v>0.70806712962962959</v>
      </c>
      <c r="H1236" s="3">
        <v>0.70818287037037031</v>
      </c>
      <c r="I1236" s="3">
        <v>1.1574074074072183E-4</v>
      </c>
      <c r="J1236" s="3">
        <v>1.1574074074072183E-4</v>
      </c>
      <c r="K1236" s="5">
        <f t="shared" si="101"/>
        <v>10</v>
      </c>
      <c r="L1236" s="3" t="s">
        <v>120</v>
      </c>
      <c r="N1236" s="1" t="s">
        <v>42</v>
      </c>
      <c r="O1236" s="1" t="s">
        <v>286</v>
      </c>
      <c r="P1236" s="1" t="s">
        <v>44</v>
      </c>
      <c r="Q1236" s="1" t="s">
        <v>45</v>
      </c>
      <c r="T1236" s="1" t="s">
        <v>45</v>
      </c>
      <c r="U1236" s="1" t="s">
        <v>92</v>
      </c>
      <c r="AB1236" s="1" t="s">
        <v>93</v>
      </c>
      <c r="AC1236" s="1">
        <v>1</v>
      </c>
      <c r="AI1236" s="1" t="s">
        <v>75</v>
      </c>
      <c r="AK1236" s="1" t="s">
        <v>86</v>
      </c>
      <c r="AL1236" s="1" t="s">
        <v>87</v>
      </c>
      <c r="AN1236" s="1">
        <v>1</v>
      </c>
      <c r="AO1236" s="1">
        <f t="shared" si="102"/>
        <v>1</v>
      </c>
    </row>
    <row r="1237" spans="1:41" x14ac:dyDescent="0.4">
      <c r="A1237" s="1">
        <v>1</v>
      </c>
      <c r="B1237" s="1" t="s">
        <v>1033</v>
      </c>
      <c r="C1237" s="1" t="s">
        <v>41</v>
      </c>
      <c r="D1237" s="2">
        <v>38929</v>
      </c>
      <c r="E1237" s="1">
        <v>212</v>
      </c>
      <c r="F1237" s="1">
        <v>0.2</v>
      </c>
      <c r="G1237" s="3">
        <v>0.45914351851851848</v>
      </c>
      <c r="H1237" s="3">
        <v>0.45923611111111112</v>
      </c>
      <c r="I1237" s="3">
        <v>9.2592592592644074E-5</v>
      </c>
      <c r="J1237" s="3">
        <v>9.2592592592644074E-5</v>
      </c>
      <c r="K1237" s="5">
        <f t="shared" si="101"/>
        <v>8</v>
      </c>
      <c r="L1237" s="3">
        <v>5.4861111111110805E-3</v>
      </c>
      <c r="N1237" s="1" t="s">
        <v>42</v>
      </c>
      <c r="O1237" s="1" t="s">
        <v>286</v>
      </c>
      <c r="P1237" s="1" t="s">
        <v>44</v>
      </c>
      <c r="Q1237" s="1" t="s">
        <v>132</v>
      </c>
      <c r="T1237" s="1" t="s">
        <v>76</v>
      </c>
      <c r="U1237" s="1" t="s">
        <v>66</v>
      </c>
      <c r="AB1237" s="1" t="s">
        <v>93</v>
      </c>
      <c r="AC1237" s="1">
        <v>1</v>
      </c>
      <c r="AI1237" s="1" t="s">
        <v>71</v>
      </c>
      <c r="AK1237" s="1" t="s">
        <v>86</v>
      </c>
      <c r="AL1237" s="1" t="s">
        <v>133</v>
      </c>
      <c r="AN1237" s="1">
        <v>1</v>
      </c>
      <c r="AO1237" s="1">
        <f t="shared" si="102"/>
        <v>1</v>
      </c>
    </row>
    <row r="1238" spans="1:41" x14ac:dyDescent="0.4">
      <c r="A1238" s="1">
        <v>1</v>
      </c>
      <c r="B1238" s="1" t="s">
        <v>1033</v>
      </c>
      <c r="C1238" s="1" t="s">
        <v>41</v>
      </c>
      <c r="D1238" s="2">
        <v>38929</v>
      </c>
      <c r="E1238" s="1">
        <v>212</v>
      </c>
      <c r="F1238" s="1">
        <v>0.3</v>
      </c>
      <c r="G1238" s="3">
        <v>0.4647222222222222</v>
      </c>
      <c r="H1238" s="3">
        <v>0.46560185185185188</v>
      </c>
      <c r="I1238" s="3">
        <v>8.7962962962967461E-4</v>
      </c>
      <c r="J1238" s="3">
        <v>8.1018518518549687E-5</v>
      </c>
      <c r="K1238" s="5">
        <f t="shared" si="101"/>
        <v>7</v>
      </c>
      <c r="L1238" s="3">
        <v>2.0879629629629637E-2</v>
      </c>
      <c r="N1238" s="1" t="s">
        <v>42</v>
      </c>
      <c r="O1238" s="1" t="s">
        <v>286</v>
      </c>
      <c r="P1238" s="1" t="s">
        <v>44</v>
      </c>
      <c r="Q1238" s="1" t="s">
        <v>132</v>
      </c>
      <c r="T1238" s="1" t="s">
        <v>76</v>
      </c>
      <c r="U1238" s="1" t="s">
        <v>66</v>
      </c>
      <c r="AB1238" s="1" t="s">
        <v>93</v>
      </c>
      <c r="AC1238" s="1">
        <v>1</v>
      </c>
      <c r="AI1238" s="1" t="s">
        <v>71</v>
      </c>
      <c r="AK1238" s="1" t="s">
        <v>86</v>
      </c>
      <c r="AL1238" s="1" t="s">
        <v>87</v>
      </c>
      <c r="AN1238" s="1">
        <v>1</v>
      </c>
      <c r="AO1238" s="1">
        <f t="shared" si="102"/>
        <v>1</v>
      </c>
    </row>
    <row r="1239" spans="1:41" x14ac:dyDescent="0.4">
      <c r="A1239" s="1">
        <v>1</v>
      </c>
      <c r="B1239" s="1" t="s">
        <v>1033</v>
      </c>
      <c r="C1239" s="1" t="s">
        <v>41</v>
      </c>
      <c r="D1239" s="2">
        <v>38929</v>
      </c>
      <c r="E1239" s="1">
        <v>212</v>
      </c>
      <c r="F1239" s="1">
        <v>0.4</v>
      </c>
      <c r="G1239" s="3">
        <v>0.48648148148148151</v>
      </c>
      <c r="H1239" s="3">
        <v>0.48650462962962965</v>
      </c>
      <c r="I1239" s="3">
        <v>2.3148148148133263E-5</v>
      </c>
      <c r="J1239" s="3">
        <v>2.3148148148133263E-5</v>
      </c>
      <c r="K1239" s="5">
        <f t="shared" si="101"/>
        <v>2</v>
      </c>
      <c r="L1239" s="3">
        <v>2.1527777777777757E-2</v>
      </c>
      <c r="N1239" s="1" t="s">
        <v>42</v>
      </c>
      <c r="O1239" s="1" t="s">
        <v>286</v>
      </c>
      <c r="P1239" s="1" t="s">
        <v>44</v>
      </c>
      <c r="Q1239" s="1" t="s">
        <v>132</v>
      </c>
      <c r="T1239" s="1" t="s">
        <v>45</v>
      </c>
      <c r="U1239" s="1" t="s">
        <v>156</v>
      </c>
      <c r="AB1239" s="1" t="s">
        <v>93</v>
      </c>
      <c r="AC1239" s="1">
        <v>1</v>
      </c>
      <c r="AI1239" s="1" t="s">
        <v>75</v>
      </c>
      <c r="AK1239" s="1" t="s">
        <v>86</v>
      </c>
      <c r="AL1239" s="1" t="s">
        <v>87</v>
      </c>
      <c r="AN1239" s="1">
        <v>1</v>
      </c>
      <c r="AO1239" s="1">
        <f t="shared" si="102"/>
        <v>1</v>
      </c>
    </row>
    <row r="1240" spans="1:41" x14ac:dyDescent="0.4">
      <c r="A1240" s="1">
        <v>1</v>
      </c>
      <c r="B1240" s="1" t="s">
        <v>1033</v>
      </c>
      <c r="C1240" s="1" t="s">
        <v>41</v>
      </c>
      <c r="D1240" s="2">
        <v>38929</v>
      </c>
      <c r="E1240" s="1">
        <v>212</v>
      </c>
      <c r="F1240" s="1">
        <v>0.5</v>
      </c>
      <c r="G1240" s="3">
        <v>0.5080324074074074</v>
      </c>
      <c r="H1240" s="3">
        <v>0.5080324074074074</v>
      </c>
      <c r="I1240" s="3">
        <v>0</v>
      </c>
      <c r="J1240" s="3">
        <v>0</v>
      </c>
      <c r="K1240" s="5">
        <f t="shared" si="101"/>
        <v>0</v>
      </c>
      <c r="L1240" s="3">
        <v>9.1550925925926174E-3</v>
      </c>
      <c r="N1240" s="1" t="s">
        <v>42</v>
      </c>
      <c r="O1240" s="1" t="s">
        <v>286</v>
      </c>
      <c r="P1240" s="1" t="s">
        <v>44</v>
      </c>
      <c r="Q1240" s="1" t="s">
        <v>132</v>
      </c>
      <c r="T1240" s="1" t="s">
        <v>76</v>
      </c>
      <c r="U1240" s="1" t="s">
        <v>92</v>
      </c>
      <c r="AB1240" s="1" t="s">
        <v>93</v>
      </c>
      <c r="AC1240" s="1">
        <v>1</v>
      </c>
      <c r="AI1240" s="1" t="s">
        <v>75</v>
      </c>
      <c r="AK1240" s="1" t="s">
        <v>86</v>
      </c>
      <c r="AL1240" s="1" t="s">
        <v>87</v>
      </c>
      <c r="AN1240" s="1">
        <v>1</v>
      </c>
      <c r="AO1240" s="1">
        <f t="shared" si="102"/>
        <v>1</v>
      </c>
    </row>
    <row r="1241" spans="1:41" x14ac:dyDescent="0.4">
      <c r="A1241" s="1">
        <v>1</v>
      </c>
      <c r="B1241" s="1" t="s">
        <v>1033</v>
      </c>
      <c r="C1241" s="1" t="s">
        <v>41</v>
      </c>
      <c r="D1241" s="2">
        <v>38929</v>
      </c>
      <c r="E1241" s="1">
        <v>212</v>
      </c>
      <c r="F1241" s="1">
        <v>0.6</v>
      </c>
      <c r="G1241" s="3">
        <v>0.51718750000000002</v>
      </c>
      <c r="H1241" s="3">
        <v>0.51787037037037031</v>
      </c>
      <c r="I1241" s="3">
        <v>6.8287037037029208E-4</v>
      </c>
      <c r="J1241" s="3">
        <v>1.1574074074072183E-4</v>
      </c>
      <c r="K1241" s="5">
        <f t="shared" si="101"/>
        <v>10</v>
      </c>
      <c r="L1241" s="3">
        <v>3.719907407407419E-2</v>
      </c>
      <c r="N1241" s="1" t="s">
        <v>42</v>
      </c>
      <c r="O1241" s="1" t="s">
        <v>286</v>
      </c>
      <c r="P1241" s="1" t="s">
        <v>44</v>
      </c>
      <c r="Q1241" s="1" t="s">
        <v>132</v>
      </c>
      <c r="T1241" s="1" t="s">
        <v>76</v>
      </c>
      <c r="U1241" s="1" t="s">
        <v>66</v>
      </c>
      <c r="AB1241" s="1" t="s">
        <v>93</v>
      </c>
      <c r="AC1241" s="1">
        <v>1</v>
      </c>
      <c r="AI1241" s="1" t="s">
        <v>71</v>
      </c>
      <c r="AK1241" s="1" t="s">
        <v>86</v>
      </c>
      <c r="AL1241" s="1" t="s">
        <v>133</v>
      </c>
      <c r="AN1241" s="1">
        <v>1</v>
      </c>
      <c r="AO1241" s="1">
        <f t="shared" si="102"/>
        <v>1</v>
      </c>
    </row>
    <row r="1242" spans="1:41" x14ac:dyDescent="0.4">
      <c r="A1242" s="1">
        <v>1</v>
      </c>
      <c r="B1242" s="1" t="s">
        <v>1033</v>
      </c>
      <c r="C1242" s="1" t="s">
        <v>41</v>
      </c>
      <c r="D1242" s="2">
        <v>38929</v>
      </c>
      <c r="E1242" s="1">
        <v>212</v>
      </c>
      <c r="F1242" s="1">
        <v>0.7</v>
      </c>
      <c r="G1242" s="3">
        <v>0.5550694444444445</v>
      </c>
      <c r="H1242" s="3">
        <v>0.55510416666666662</v>
      </c>
      <c r="I1242" s="3">
        <v>3.4722222222116628E-5</v>
      </c>
      <c r="J1242" s="3">
        <v>3.4722222222116628E-5</v>
      </c>
      <c r="K1242" s="5">
        <f t="shared" si="101"/>
        <v>3</v>
      </c>
      <c r="L1242" s="3">
        <v>4.8414351851851833E-2</v>
      </c>
      <c r="N1242" s="1" t="s">
        <v>42</v>
      </c>
      <c r="O1242" s="1" t="s">
        <v>286</v>
      </c>
      <c r="P1242" s="1" t="s">
        <v>44</v>
      </c>
      <c r="Q1242" s="1" t="s">
        <v>132</v>
      </c>
      <c r="T1242" s="1" t="s">
        <v>76</v>
      </c>
      <c r="U1242" s="1" t="s">
        <v>66</v>
      </c>
      <c r="AB1242" s="1" t="s">
        <v>93</v>
      </c>
      <c r="AC1242" s="1">
        <v>1</v>
      </c>
      <c r="AI1242" s="1" t="s">
        <v>71</v>
      </c>
      <c r="AK1242" s="1" t="s">
        <v>86</v>
      </c>
      <c r="AL1242" s="1" t="s">
        <v>133</v>
      </c>
      <c r="AN1242" s="1">
        <v>1</v>
      </c>
      <c r="AO1242" s="1">
        <f t="shared" si="102"/>
        <v>1</v>
      </c>
    </row>
    <row r="1243" spans="1:41" x14ac:dyDescent="0.4">
      <c r="A1243" s="1">
        <v>1</v>
      </c>
      <c r="B1243" s="1" t="s">
        <v>1033</v>
      </c>
      <c r="C1243" s="1" t="s">
        <v>41</v>
      </c>
      <c r="D1243" s="2">
        <v>38929</v>
      </c>
      <c r="E1243" s="1">
        <v>212</v>
      </c>
      <c r="F1243" s="1">
        <v>0.8</v>
      </c>
      <c r="G1243" s="3">
        <v>0.60351851851851845</v>
      </c>
      <c r="H1243" s="3">
        <v>0.60356481481481483</v>
      </c>
      <c r="I1243" s="3">
        <v>4.6296296296377548E-5</v>
      </c>
      <c r="J1243" s="3">
        <v>4.6296296296377548E-5</v>
      </c>
      <c r="K1243" s="5">
        <f t="shared" si="101"/>
        <v>4</v>
      </c>
      <c r="L1243" s="3">
        <v>5.4050925925925863E-3</v>
      </c>
      <c r="N1243" s="1" t="s">
        <v>42</v>
      </c>
      <c r="O1243" s="1" t="s">
        <v>286</v>
      </c>
      <c r="P1243" s="1" t="s">
        <v>44</v>
      </c>
      <c r="Q1243" s="1" t="s">
        <v>45</v>
      </c>
      <c r="AB1243" s="1" t="s">
        <v>93</v>
      </c>
      <c r="AC1243" s="1">
        <v>1</v>
      </c>
      <c r="AK1243" s="1" t="s">
        <v>86</v>
      </c>
      <c r="AL1243" s="1" t="s">
        <v>86</v>
      </c>
      <c r="AN1243" s="1">
        <v>1</v>
      </c>
      <c r="AO1243" s="1">
        <f t="shared" si="102"/>
        <v>1</v>
      </c>
    </row>
    <row r="1244" spans="1:41" x14ac:dyDescent="0.4">
      <c r="A1244" s="1">
        <v>1</v>
      </c>
      <c r="B1244" s="1" t="s">
        <v>1033</v>
      </c>
      <c r="C1244" s="1" t="s">
        <v>41</v>
      </c>
      <c r="D1244" s="2">
        <v>38929</v>
      </c>
      <c r="E1244" s="1">
        <v>212</v>
      </c>
      <c r="F1244" s="1">
        <v>0.9</v>
      </c>
      <c r="G1244" s="3">
        <v>0.60896990740740742</v>
      </c>
      <c r="H1244" s="3">
        <v>0.6097569444444445</v>
      </c>
      <c r="I1244" s="3">
        <v>7.8703703703708605E-4</v>
      </c>
      <c r="J1244" s="3">
        <v>3.472222222222765E-5</v>
      </c>
      <c r="K1244" s="5">
        <f t="shared" si="101"/>
        <v>3</v>
      </c>
      <c r="L1244" s="3">
        <v>3.0034722222222143E-2</v>
      </c>
      <c r="N1244" s="1" t="s">
        <v>42</v>
      </c>
      <c r="O1244" s="1" t="s">
        <v>286</v>
      </c>
      <c r="P1244" s="1" t="s">
        <v>44</v>
      </c>
      <c r="Q1244" s="1" t="s">
        <v>132</v>
      </c>
      <c r="T1244" s="1" t="s">
        <v>76</v>
      </c>
      <c r="U1244" s="1" t="s">
        <v>156</v>
      </c>
      <c r="AB1244" s="1" t="s">
        <v>93</v>
      </c>
      <c r="AC1244" s="1">
        <v>1</v>
      </c>
      <c r="AI1244" s="1" t="s">
        <v>75</v>
      </c>
      <c r="AK1244" s="1" t="s">
        <v>86</v>
      </c>
      <c r="AL1244" s="1" t="s">
        <v>87</v>
      </c>
      <c r="AN1244" s="1">
        <v>1</v>
      </c>
      <c r="AO1244" s="1">
        <f t="shared" si="102"/>
        <v>1</v>
      </c>
    </row>
    <row r="1245" spans="1:41" x14ac:dyDescent="0.4">
      <c r="A1245" s="1">
        <v>1</v>
      </c>
      <c r="B1245" s="1" t="s">
        <v>1033</v>
      </c>
      <c r="C1245" s="1" t="s">
        <v>41</v>
      </c>
      <c r="D1245" s="2">
        <v>38929</v>
      </c>
      <c r="E1245" s="1">
        <v>212</v>
      </c>
      <c r="F1245" s="1">
        <v>0.95</v>
      </c>
      <c r="G1245" s="3">
        <v>0.63979166666666665</v>
      </c>
      <c r="H1245" s="3">
        <v>0.63980324074074069</v>
      </c>
      <c r="I1245" s="3">
        <v>1.1574074074038876E-5</v>
      </c>
      <c r="J1245" s="3">
        <v>1.1574074074038876E-5</v>
      </c>
      <c r="K1245" s="5">
        <f t="shared" si="101"/>
        <v>1</v>
      </c>
      <c r="L1245" s="3">
        <v>1.1655092592592675E-2</v>
      </c>
      <c r="N1245" s="1" t="s">
        <v>42</v>
      </c>
      <c r="O1245" s="1" t="s">
        <v>286</v>
      </c>
      <c r="P1245" s="1" t="s">
        <v>44</v>
      </c>
      <c r="Q1245" s="1" t="s">
        <v>132</v>
      </c>
      <c r="T1245" s="1" t="s">
        <v>45</v>
      </c>
      <c r="U1245" s="1" t="s">
        <v>156</v>
      </c>
      <c r="AB1245" s="1" t="s">
        <v>93</v>
      </c>
      <c r="AC1245" s="1">
        <v>1</v>
      </c>
      <c r="AI1245" s="1" t="s">
        <v>75</v>
      </c>
      <c r="AK1245" s="1" t="s">
        <v>86</v>
      </c>
      <c r="AL1245" s="1" t="s">
        <v>133</v>
      </c>
      <c r="AN1245" s="1">
        <v>1</v>
      </c>
      <c r="AO1245" s="1">
        <f t="shared" si="102"/>
        <v>1</v>
      </c>
    </row>
    <row r="1246" spans="1:41" x14ac:dyDescent="0.4">
      <c r="A1246" s="1">
        <v>1</v>
      </c>
      <c r="B1246" s="1" t="s">
        <v>1033</v>
      </c>
      <c r="C1246" s="1" t="s">
        <v>41</v>
      </c>
      <c r="D1246" s="2">
        <v>38929</v>
      </c>
      <c r="E1246" s="1">
        <v>212</v>
      </c>
      <c r="F1246" s="1">
        <v>0.97</v>
      </c>
      <c r="G1246" s="3">
        <v>0.65145833333333336</v>
      </c>
      <c r="H1246" s="3">
        <v>0.65148148148148144</v>
      </c>
      <c r="I1246" s="3">
        <v>2.3148148148077752E-5</v>
      </c>
      <c r="J1246" s="3">
        <v>2.3148148148077752E-5</v>
      </c>
      <c r="K1246" s="5">
        <f t="shared" si="101"/>
        <v>2</v>
      </c>
      <c r="L1246" s="3">
        <v>3.4837962962963598E-3</v>
      </c>
      <c r="N1246" s="1" t="s">
        <v>42</v>
      </c>
      <c r="O1246" s="1" t="s">
        <v>286</v>
      </c>
      <c r="P1246" s="1" t="s">
        <v>44</v>
      </c>
      <c r="Q1246" s="1" t="s">
        <v>132</v>
      </c>
      <c r="T1246" s="1" t="s">
        <v>76</v>
      </c>
      <c r="U1246" s="1" t="s">
        <v>66</v>
      </c>
      <c r="AB1246" s="1" t="s">
        <v>93</v>
      </c>
      <c r="AC1246" s="1">
        <v>1</v>
      </c>
      <c r="AI1246" s="1" t="s">
        <v>71</v>
      </c>
      <c r="AK1246" s="1" t="s">
        <v>61</v>
      </c>
      <c r="AL1246" s="1" t="s">
        <v>61</v>
      </c>
      <c r="AN1246" s="1">
        <v>1</v>
      </c>
      <c r="AO1246" s="1">
        <f t="shared" si="102"/>
        <v>1</v>
      </c>
    </row>
    <row r="1247" spans="1:41" x14ac:dyDescent="0.4">
      <c r="A1247" s="1">
        <v>1</v>
      </c>
      <c r="B1247" s="1" t="s">
        <v>1033</v>
      </c>
      <c r="C1247" s="1" t="s">
        <v>41</v>
      </c>
      <c r="D1247" s="2">
        <v>38929</v>
      </c>
      <c r="E1247" s="1">
        <v>212</v>
      </c>
      <c r="F1247" s="1">
        <v>1</v>
      </c>
      <c r="G1247" s="3">
        <v>0.6549652777777778</v>
      </c>
      <c r="H1247" s="3">
        <v>0.65627314814814819</v>
      </c>
      <c r="I1247" s="3">
        <v>1.3078703703703898E-3</v>
      </c>
      <c r="J1247" s="3">
        <v>1.3078703703703898E-3</v>
      </c>
      <c r="K1247" s="5">
        <f t="shared" si="101"/>
        <v>113</v>
      </c>
      <c r="L1247" s="3">
        <v>7.6967592592591672E-3</v>
      </c>
      <c r="N1247" s="1" t="s">
        <v>42</v>
      </c>
      <c r="O1247" s="1" t="s">
        <v>286</v>
      </c>
      <c r="P1247" s="1" t="s">
        <v>44</v>
      </c>
      <c r="Q1247" s="1" t="s">
        <v>76</v>
      </c>
      <c r="T1247" s="1" t="s">
        <v>45</v>
      </c>
      <c r="U1247" s="1" t="s">
        <v>66</v>
      </c>
      <c r="V1247" s="1" t="s">
        <v>102</v>
      </c>
      <c r="W1247" s="1" t="s">
        <v>433</v>
      </c>
      <c r="X1247" s="1" t="s">
        <v>96</v>
      </c>
      <c r="Y1247" s="1" t="s">
        <v>1095</v>
      </c>
      <c r="Z1247" s="1" t="s">
        <v>1096</v>
      </c>
      <c r="AA1247" s="1" t="s">
        <v>1097</v>
      </c>
      <c r="AB1247" s="1" t="s">
        <v>1098</v>
      </c>
      <c r="AC1247" s="1">
        <v>0</v>
      </c>
      <c r="AD1247" s="1" t="s">
        <v>1099</v>
      </c>
      <c r="AE1247" s="1" t="s">
        <v>70</v>
      </c>
      <c r="AF1247" s="1" t="s">
        <v>84</v>
      </c>
      <c r="AG1247" s="1" t="s">
        <v>1100</v>
      </c>
      <c r="AI1247" s="1" t="s">
        <v>71</v>
      </c>
      <c r="AK1247" s="1" t="s">
        <v>61</v>
      </c>
      <c r="AL1247" s="1" t="s">
        <v>61</v>
      </c>
      <c r="AM1247" s="1">
        <v>4</v>
      </c>
      <c r="AN1247" s="1">
        <v>0</v>
      </c>
      <c r="AO1247" s="1">
        <f t="shared" si="102"/>
        <v>4</v>
      </c>
    </row>
    <row r="1248" spans="1:41" x14ac:dyDescent="0.4">
      <c r="A1248" s="1">
        <v>1</v>
      </c>
      <c r="B1248" s="1" t="s">
        <v>1033</v>
      </c>
      <c r="C1248" s="1" t="s">
        <v>41</v>
      </c>
      <c r="D1248" s="2">
        <v>38929</v>
      </c>
      <c r="E1248" s="1">
        <v>212</v>
      </c>
      <c r="F1248" s="1">
        <v>2</v>
      </c>
      <c r="G1248" s="3">
        <v>0.66396990740740736</v>
      </c>
      <c r="H1248" s="3">
        <v>0.67020833333333341</v>
      </c>
      <c r="I1248" s="3">
        <v>6.2384259259260499E-3</v>
      </c>
      <c r="J1248" s="3">
        <v>4.745370370370483E-3</v>
      </c>
      <c r="K1248" s="5">
        <f t="shared" si="101"/>
        <v>410</v>
      </c>
      <c r="L1248" s="3" t="s">
        <v>120</v>
      </c>
      <c r="N1248" s="1" t="s">
        <v>42</v>
      </c>
      <c r="O1248" s="1" t="s">
        <v>286</v>
      </c>
      <c r="P1248" s="1" t="s">
        <v>44</v>
      </c>
      <c r="Q1248" s="1" t="s">
        <v>45</v>
      </c>
      <c r="T1248" s="1" t="s">
        <v>45</v>
      </c>
      <c r="U1248" s="1" t="s">
        <v>156</v>
      </c>
      <c r="V1248" s="1" t="s">
        <v>102</v>
      </c>
      <c r="W1248" s="1" t="s">
        <v>184</v>
      </c>
      <c r="X1248" s="1" t="s">
        <v>316</v>
      </c>
      <c r="AB1248" s="1" t="s">
        <v>104</v>
      </c>
      <c r="AC1248" s="1">
        <v>0</v>
      </c>
      <c r="AD1248" s="1" t="s">
        <v>105</v>
      </c>
      <c r="AE1248" s="1" t="s">
        <v>70</v>
      </c>
      <c r="AG1248" s="1" t="s">
        <v>1165</v>
      </c>
      <c r="AH1248" s="1" t="s">
        <v>157</v>
      </c>
      <c r="AI1248" s="1" t="s">
        <v>75</v>
      </c>
      <c r="AK1248" s="1" t="s">
        <v>61</v>
      </c>
      <c r="AL1248" s="1" t="s">
        <v>61</v>
      </c>
      <c r="AM1248" s="1">
        <v>5</v>
      </c>
      <c r="AN1248" s="1">
        <v>0</v>
      </c>
      <c r="AO1248" s="1">
        <f t="shared" si="102"/>
        <v>5</v>
      </c>
    </row>
    <row r="1249" spans="1:41" x14ac:dyDescent="0.4">
      <c r="A1249" s="1">
        <v>1</v>
      </c>
      <c r="B1249" s="1" t="s">
        <v>1033</v>
      </c>
      <c r="C1249" s="1" t="s">
        <v>41</v>
      </c>
      <c r="D1249" s="2">
        <v>38933</v>
      </c>
      <c r="E1249" s="1">
        <v>216</v>
      </c>
      <c r="F1249" s="1">
        <v>1</v>
      </c>
      <c r="G1249" s="3">
        <v>0.30769675925925927</v>
      </c>
      <c r="H1249" s="3">
        <v>0.31910879629629629</v>
      </c>
      <c r="I1249" s="3">
        <v>1.1412037037037026E-2</v>
      </c>
      <c r="J1249" s="3">
        <v>8.4722222222222143E-3</v>
      </c>
      <c r="K1249" s="5">
        <f t="shared" si="101"/>
        <v>732</v>
      </c>
      <c r="L1249" s="3">
        <v>3.530092592592593E-2</v>
      </c>
      <c r="N1249" s="1" t="s">
        <v>75</v>
      </c>
      <c r="O1249" s="1" t="s">
        <v>286</v>
      </c>
      <c r="P1249" s="1" t="s">
        <v>44</v>
      </c>
      <c r="Q1249" s="1" t="s">
        <v>76</v>
      </c>
      <c r="T1249" s="1" t="s">
        <v>47</v>
      </c>
      <c r="U1249" s="1" t="s">
        <v>66</v>
      </c>
      <c r="V1249" s="1" t="s">
        <v>49</v>
      </c>
      <c r="W1249" s="1" t="s">
        <v>50</v>
      </c>
      <c r="X1249" s="1" t="s">
        <v>1153</v>
      </c>
      <c r="Y1249" s="1" t="s">
        <v>1154</v>
      </c>
      <c r="Z1249" s="1" t="s">
        <v>1155</v>
      </c>
      <c r="AA1249" s="1" t="s">
        <v>1156</v>
      </c>
      <c r="AB1249" s="1" t="s">
        <v>1157</v>
      </c>
      <c r="AC1249" s="1">
        <v>0</v>
      </c>
      <c r="AD1249" s="1" t="s">
        <v>56</v>
      </c>
      <c r="AE1249" s="1" t="s">
        <v>70</v>
      </c>
      <c r="AF1249" s="1" t="s">
        <v>113</v>
      </c>
      <c r="AG1249" s="1" t="s">
        <v>1162</v>
      </c>
      <c r="AH1249" s="1" t="s">
        <v>115</v>
      </c>
      <c r="AI1249" s="1" t="s">
        <v>75</v>
      </c>
      <c r="AJ1249" s="1" t="s">
        <v>147</v>
      </c>
      <c r="AK1249" s="1" t="s">
        <v>116</v>
      </c>
      <c r="AL1249" s="1" t="s">
        <v>117</v>
      </c>
      <c r="AM1249" s="1">
        <v>8</v>
      </c>
      <c r="AN1249" s="1">
        <v>0</v>
      </c>
      <c r="AO1249" s="1">
        <f t="shared" si="102"/>
        <v>8</v>
      </c>
    </row>
    <row r="1250" spans="1:41" x14ac:dyDescent="0.4">
      <c r="A1250" s="1">
        <v>1</v>
      </c>
      <c r="B1250" s="1" t="s">
        <v>1033</v>
      </c>
      <c r="C1250" s="1" t="s">
        <v>41</v>
      </c>
      <c r="D1250" s="2">
        <v>38933</v>
      </c>
      <c r="E1250" s="1">
        <v>216</v>
      </c>
      <c r="F1250" s="1">
        <v>2</v>
      </c>
      <c r="G1250" s="3">
        <v>0.35440972222222222</v>
      </c>
      <c r="H1250" s="3">
        <v>0.37929398148148147</v>
      </c>
      <c r="I1250" s="3">
        <v>2.4884259259259245E-2</v>
      </c>
      <c r="J1250" s="3">
        <v>2.3912037037036982E-2</v>
      </c>
      <c r="K1250" s="5">
        <f t="shared" si="101"/>
        <v>2066</v>
      </c>
      <c r="L1250" s="3">
        <v>6.4583333333333437E-3</v>
      </c>
      <c r="N1250" s="1" t="s">
        <v>42</v>
      </c>
      <c r="O1250" s="1" t="s">
        <v>286</v>
      </c>
      <c r="P1250" s="1" t="s">
        <v>44</v>
      </c>
      <c r="Q1250" s="1" t="s">
        <v>76</v>
      </c>
      <c r="T1250" s="1" t="s">
        <v>47</v>
      </c>
      <c r="U1250" s="1" t="s">
        <v>156</v>
      </c>
      <c r="V1250" s="1" t="s">
        <v>49</v>
      </c>
      <c r="W1250" s="1" t="s">
        <v>77</v>
      </c>
      <c r="X1250" s="1" t="s">
        <v>375</v>
      </c>
      <c r="Y1250" s="1" t="s">
        <v>376</v>
      </c>
      <c r="Z1250" s="1">
        <v>2</v>
      </c>
      <c r="AB1250" s="1" t="s">
        <v>377</v>
      </c>
      <c r="AC1250" s="1">
        <v>0</v>
      </c>
      <c r="AD1250" s="1" t="s">
        <v>56</v>
      </c>
      <c r="AE1250" s="1" t="s">
        <v>83</v>
      </c>
      <c r="AF1250" s="1" t="s">
        <v>84</v>
      </c>
      <c r="AG1250" s="1" t="s">
        <v>1152</v>
      </c>
      <c r="AH1250" s="1" t="s">
        <v>59</v>
      </c>
      <c r="AI1250" s="1" t="s">
        <v>75</v>
      </c>
      <c r="AK1250" s="1" t="s">
        <v>116</v>
      </c>
      <c r="AL1250" s="1" t="s">
        <v>117</v>
      </c>
      <c r="AM1250" s="1">
        <v>5</v>
      </c>
      <c r="AN1250" s="1">
        <v>0</v>
      </c>
      <c r="AO1250" s="1">
        <f t="shared" si="102"/>
        <v>5</v>
      </c>
    </row>
    <row r="1251" spans="1:41" x14ac:dyDescent="0.4">
      <c r="A1251" s="1">
        <v>1</v>
      </c>
      <c r="B1251" s="1" t="s">
        <v>1033</v>
      </c>
      <c r="C1251" s="1" t="s">
        <v>41</v>
      </c>
      <c r="D1251" s="2">
        <v>38933</v>
      </c>
      <c r="E1251" s="1">
        <v>216</v>
      </c>
      <c r="F1251" s="1">
        <v>2.5</v>
      </c>
      <c r="G1251" s="3">
        <v>0.38575231481481481</v>
      </c>
      <c r="H1251" s="3">
        <v>0.38578703703703704</v>
      </c>
      <c r="I1251" s="3">
        <v>3.472222222222765E-5</v>
      </c>
      <c r="J1251" s="3">
        <v>3.472222222222765E-5</v>
      </c>
      <c r="K1251" s="5">
        <f t="shared" si="101"/>
        <v>3</v>
      </c>
      <c r="L1251" s="3">
        <v>1.9560185185185652E-3</v>
      </c>
      <c r="N1251" s="1" t="s">
        <v>251</v>
      </c>
      <c r="O1251" s="1" t="s">
        <v>286</v>
      </c>
      <c r="P1251" s="1" t="s">
        <v>44</v>
      </c>
      <c r="Q1251" s="1" t="s">
        <v>76</v>
      </c>
      <c r="T1251" s="1" t="s">
        <v>45</v>
      </c>
      <c r="U1251" s="1" t="s">
        <v>156</v>
      </c>
      <c r="AB1251" s="1" t="s">
        <v>93</v>
      </c>
      <c r="AC1251" s="1">
        <v>1</v>
      </c>
      <c r="AI1251" s="1" t="s">
        <v>255</v>
      </c>
      <c r="AK1251" s="1" t="s">
        <v>86</v>
      </c>
      <c r="AL1251" s="1" t="s">
        <v>133</v>
      </c>
      <c r="AN1251" s="1">
        <v>1</v>
      </c>
      <c r="AO1251" s="1">
        <f t="shared" si="102"/>
        <v>1</v>
      </c>
    </row>
    <row r="1252" spans="1:41" x14ac:dyDescent="0.4">
      <c r="A1252" s="1">
        <v>1</v>
      </c>
      <c r="B1252" s="1" t="s">
        <v>1033</v>
      </c>
      <c r="C1252" s="1" t="s">
        <v>41</v>
      </c>
      <c r="D1252" s="2">
        <v>38933</v>
      </c>
      <c r="E1252" s="1">
        <v>216</v>
      </c>
      <c r="F1252" s="1">
        <v>2.7</v>
      </c>
      <c r="G1252" s="3">
        <v>0.3877430555555556</v>
      </c>
      <c r="H1252" s="3">
        <v>0.3897916666666667</v>
      </c>
      <c r="I1252" s="3">
        <v>2.0486111111110983E-3</v>
      </c>
      <c r="J1252" s="3">
        <v>8.1018518518494176E-5</v>
      </c>
      <c r="K1252" s="5">
        <f t="shared" si="101"/>
        <v>7</v>
      </c>
      <c r="L1252" s="3">
        <v>2.1064814814814037E-3</v>
      </c>
      <c r="N1252" s="1" t="s">
        <v>251</v>
      </c>
      <c r="O1252" s="1" t="s">
        <v>286</v>
      </c>
      <c r="P1252" s="1" t="s">
        <v>44</v>
      </c>
      <c r="Q1252" s="1" t="s">
        <v>45</v>
      </c>
      <c r="T1252" s="1" t="s">
        <v>45</v>
      </c>
      <c r="U1252" s="1" t="s">
        <v>66</v>
      </c>
      <c r="AB1252" s="1" t="s">
        <v>93</v>
      </c>
      <c r="AC1252" s="1">
        <v>1</v>
      </c>
      <c r="AI1252" s="1" t="s">
        <v>257</v>
      </c>
      <c r="AK1252" s="1" t="s">
        <v>61</v>
      </c>
      <c r="AL1252" s="1" t="s">
        <v>72</v>
      </c>
      <c r="AN1252" s="1">
        <v>1</v>
      </c>
      <c r="AO1252" s="1">
        <f t="shared" si="102"/>
        <v>1</v>
      </c>
    </row>
    <row r="1253" spans="1:41" x14ac:dyDescent="0.4">
      <c r="A1253" s="1">
        <v>1</v>
      </c>
      <c r="B1253" s="1" t="s">
        <v>1033</v>
      </c>
      <c r="C1253" s="1" t="s">
        <v>41</v>
      </c>
      <c r="D1253" s="2">
        <v>38933</v>
      </c>
      <c r="E1253" s="1">
        <v>216</v>
      </c>
      <c r="F1253" s="1">
        <v>3</v>
      </c>
      <c r="G1253" s="3">
        <v>0.39189814814814811</v>
      </c>
      <c r="H1253" s="3">
        <v>0.39471064814814816</v>
      </c>
      <c r="I1253" s="3">
        <v>2.8125000000000511E-3</v>
      </c>
      <c r="J1253" s="3">
        <v>2.8125000000000511E-3</v>
      </c>
      <c r="K1253" s="5">
        <f t="shared" si="101"/>
        <v>243</v>
      </c>
      <c r="L1253" s="3">
        <v>1.1087962962962938E-2</v>
      </c>
      <c r="N1253" s="1" t="s">
        <v>251</v>
      </c>
      <c r="O1253" s="1" t="s">
        <v>286</v>
      </c>
      <c r="P1253" s="1" t="s">
        <v>44</v>
      </c>
      <c r="Q1253" s="1" t="s">
        <v>132</v>
      </c>
      <c r="T1253" s="1" t="s">
        <v>45</v>
      </c>
      <c r="U1253" s="1" t="s">
        <v>156</v>
      </c>
      <c r="V1253" s="1" t="s">
        <v>49</v>
      </c>
      <c r="W1253" s="1" t="s">
        <v>140</v>
      </c>
      <c r="X1253" s="1" t="s">
        <v>177</v>
      </c>
      <c r="Y1253" s="1" t="s">
        <v>79</v>
      </c>
      <c r="Z1253" s="1" t="s">
        <v>178</v>
      </c>
      <c r="AA1253" s="1" t="s">
        <v>572</v>
      </c>
      <c r="AB1253" s="1" t="s">
        <v>573</v>
      </c>
      <c r="AC1253" s="1">
        <v>0</v>
      </c>
      <c r="AD1253" s="1" t="s">
        <v>56</v>
      </c>
      <c r="AE1253" s="1" t="s">
        <v>181</v>
      </c>
      <c r="AH1253" s="1" t="s">
        <v>115</v>
      </c>
      <c r="AI1253" s="1" t="s">
        <v>255</v>
      </c>
      <c r="AK1253" s="1" t="s">
        <v>86</v>
      </c>
      <c r="AL1253" s="1" t="s">
        <v>86</v>
      </c>
      <c r="AN1253" s="1">
        <v>1</v>
      </c>
      <c r="AO1253" s="1">
        <f t="shared" si="102"/>
        <v>1</v>
      </c>
    </row>
    <row r="1254" spans="1:41" x14ac:dyDescent="0.4">
      <c r="A1254" s="1">
        <v>1</v>
      </c>
      <c r="B1254" s="1" t="s">
        <v>1033</v>
      </c>
      <c r="C1254" s="1" t="s">
        <v>41</v>
      </c>
      <c r="D1254" s="2">
        <v>38933</v>
      </c>
      <c r="E1254" s="1">
        <v>216</v>
      </c>
      <c r="F1254" s="1">
        <v>3.5</v>
      </c>
      <c r="G1254" s="3">
        <v>0.4057986111111111</v>
      </c>
      <c r="H1254" s="3">
        <v>0.40597222222222223</v>
      </c>
      <c r="I1254" s="3">
        <v>1.7361111111113825E-4</v>
      </c>
      <c r="J1254" s="3">
        <v>1.7361111111113825E-4</v>
      </c>
      <c r="K1254" s="5">
        <f t="shared" si="101"/>
        <v>15</v>
      </c>
      <c r="L1254" s="3">
        <v>3.5532407407407596E-3</v>
      </c>
      <c r="N1254" s="1" t="s">
        <v>251</v>
      </c>
      <c r="O1254" s="1" t="s">
        <v>286</v>
      </c>
      <c r="P1254" s="1" t="s">
        <v>44</v>
      </c>
      <c r="Q1254" s="1" t="s">
        <v>45</v>
      </c>
      <c r="T1254" s="1" t="s">
        <v>45</v>
      </c>
      <c r="U1254" s="1" t="s">
        <v>156</v>
      </c>
      <c r="AB1254" s="1" t="s">
        <v>93</v>
      </c>
      <c r="AC1254" s="1">
        <v>1</v>
      </c>
      <c r="AI1254" s="1" t="s">
        <v>255</v>
      </c>
      <c r="AK1254" s="1" t="s">
        <v>86</v>
      </c>
      <c r="AL1254" s="1" t="s">
        <v>133</v>
      </c>
      <c r="AN1254" s="1">
        <v>1</v>
      </c>
      <c r="AO1254" s="1">
        <f t="shared" si="102"/>
        <v>1</v>
      </c>
    </row>
    <row r="1255" spans="1:41" x14ac:dyDescent="0.4">
      <c r="A1255" s="1">
        <v>1</v>
      </c>
      <c r="B1255" s="1" t="s">
        <v>1033</v>
      </c>
      <c r="C1255" s="1" t="s">
        <v>41</v>
      </c>
      <c r="D1255" s="2">
        <v>38933</v>
      </c>
      <c r="E1255" s="1">
        <v>216</v>
      </c>
      <c r="F1255" s="1">
        <v>3.7</v>
      </c>
      <c r="G1255" s="3">
        <v>0.40952546296296299</v>
      </c>
      <c r="H1255" s="3">
        <v>0.40969907407407408</v>
      </c>
      <c r="I1255" s="3">
        <v>1.7361111111108274E-4</v>
      </c>
      <c r="J1255" s="3">
        <v>1.7361111111108274E-4</v>
      </c>
      <c r="K1255" s="5">
        <f t="shared" si="101"/>
        <v>15</v>
      </c>
      <c r="L1255" s="3">
        <v>5.8449074074073959E-3</v>
      </c>
      <c r="N1255" s="1" t="s">
        <v>251</v>
      </c>
      <c r="O1255" s="1" t="s">
        <v>286</v>
      </c>
      <c r="P1255" s="1" t="s">
        <v>44</v>
      </c>
      <c r="Q1255" s="1" t="s">
        <v>76</v>
      </c>
      <c r="T1255" s="1" t="s">
        <v>47</v>
      </c>
      <c r="U1255" s="1" t="s">
        <v>156</v>
      </c>
      <c r="AB1255" s="1" t="s">
        <v>93</v>
      </c>
      <c r="AC1255" s="1">
        <v>1</v>
      </c>
      <c r="AG1255" s="1" t="s">
        <v>1180</v>
      </c>
      <c r="AI1255" s="1" t="s">
        <v>255</v>
      </c>
      <c r="AK1255" s="1" t="s">
        <v>86</v>
      </c>
      <c r="AL1255" s="1" t="s">
        <v>87</v>
      </c>
      <c r="AM1255" s="1">
        <v>3</v>
      </c>
      <c r="AN1255" s="1">
        <v>0</v>
      </c>
      <c r="AO1255" s="1">
        <f t="shared" si="102"/>
        <v>3</v>
      </c>
    </row>
    <row r="1256" spans="1:41" x14ac:dyDescent="0.4">
      <c r="A1256" s="1">
        <v>1</v>
      </c>
      <c r="B1256" s="1" t="s">
        <v>1033</v>
      </c>
      <c r="C1256" s="1" t="s">
        <v>41</v>
      </c>
      <c r="D1256" s="2">
        <v>38933</v>
      </c>
      <c r="E1256" s="1">
        <v>216</v>
      </c>
      <c r="F1256" s="1">
        <v>4</v>
      </c>
      <c r="G1256" s="3">
        <v>0.41554398148148147</v>
      </c>
      <c r="H1256" s="3">
        <v>0.42381944444444447</v>
      </c>
      <c r="I1256" s="3">
        <v>8.2754629629629983E-3</v>
      </c>
      <c r="J1256" s="3">
        <v>5.4629629629629473E-3</v>
      </c>
      <c r="K1256" s="5">
        <f t="shared" si="101"/>
        <v>472</v>
      </c>
      <c r="L1256" s="3">
        <v>7.8819444444444553E-3</v>
      </c>
      <c r="N1256" s="1" t="s">
        <v>251</v>
      </c>
      <c r="O1256" s="1" t="s">
        <v>286</v>
      </c>
      <c r="P1256" s="1" t="s">
        <v>44</v>
      </c>
      <c r="Q1256" s="1" t="s">
        <v>76</v>
      </c>
      <c r="T1256" s="1" t="s">
        <v>124</v>
      </c>
      <c r="U1256" s="1" t="s">
        <v>156</v>
      </c>
      <c r="V1256" s="1" t="s">
        <v>49</v>
      </c>
      <c r="W1256" s="1" t="s">
        <v>308</v>
      </c>
      <c r="X1256" s="1" t="s">
        <v>405</v>
      </c>
      <c r="Y1256" s="1" t="s">
        <v>126</v>
      </c>
      <c r="Z1256" s="1" t="s">
        <v>127</v>
      </c>
      <c r="AA1256" s="1" t="s">
        <v>576</v>
      </c>
      <c r="AB1256" s="1" t="s">
        <v>577</v>
      </c>
      <c r="AC1256" s="1">
        <v>0</v>
      </c>
      <c r="AD1256" s="1" t="s">
        <v>56</v>
      </c>
      <c r="AE1256" s="1" t="s">
        <v>181</v>
      </c>
      <c r="AF1256" s="1" t="s">
        <v>113</v>
      </c>
      <c r="AG1256" s="1" t="s">
        <v>1183</v>
      </c>
      <c r="AH1256" s="1" t="s">
        <v>59</v>
      </c>
      <c r="AI1256" s="1" t="s">
        <v>255</v>
      </c>
      <c r="AK1256" s="1" t="s">
        <v>116</v>
      </c>
      <c r="AL1256" s="1" t="s">
        <v>717</v>
      </c>
      <c r="AM1256" s="1">
        <v>2</v>
      </c>
      <c r="AN1256" s="1">
        <v>0</v>
      </c>
      <c r="AO1256" s="1">
        <f t="shared" si="102"/>
        <v>2</v>
      </c>
    </row>
    <row r="1257" spans="1:41" x14ac:dyDescent="0.4">
      <c r="A1257" s="1">
        <v>1</v>
      </c>
      <c r="B1257" s="1" t="s">
        <v>1033</v>
      </c>
      <c r="C1257" s="1" t="s">
        <v>41</v>
      </c>
      <c r="D1257" s="2">
        <v>38933</v>
      </c>
      <c r="E1257" s="1">
        <v>216</v>
      </c>
      <c r="F1257" s="1">
        <v>4.2</v>
      </c>
      <c r="G1257" s="3">
        <v>0.43170138888888893</v>
      </c>
      <c r="H1257" s="3">
        <v>0.43244212962962963</v>
      </c>
      <c r="I1257" s="3">
        <v>7.407407407407085E-4</v>
      </c>
      <c r="J1257" s="3">
        <v>4.2824074074071516E-4</v>
      </c>
      <c r="K1257" s="5">
        <f t="shared" si="101"/>
        <v>37</v>
      </c>
      <c r="L1257" s="3">
        <v>2.9398148148148118E-3</v>
      </c>
      <c r="N1257" s="1" t="s">
        <v>251</v>
      </c>
      <c r="O1257" s="1" t="s">
        <v>286</v>
      </c>
      <c r="P1257" s="1" t="s">
        <v>44</v>
      </c>
      <c r="Q1257" s="1" t="s">
        <v>76</v>
      </c>
      <c r="T1257" s="1" t="s">
        <v>45</v>
      </c>
      <c r="U1257" s="1" t="s">
        <v>66</v>
      </c>
      <c r="AB1257" s="1" t="s">
        <v>93</v>
      </c>
      <c r="AC1257" s="1">
        <v>1</v>
      </c>
      <c r="AF1257" s="1" t="s">
        <v>153</v>
      </c>
      <c r="AG1257" s="1" t="s">
        <v>1180</v>
      </c>
      <c r="AI1257" s="1" t="s">
        <v>257</v>
      </c>
      <c r="AK1257" s="1" t="s">
        <v>86</v>
      </c>
      <c r="AL1257" s="1" t="s">
        <v>187</v>
      </c>
      <c r="AM1257" s="1">
        <v>3</v>
      </c>
      <c r="AN1257" s="1">
        <v>0</v>
      </c>
      <c r="AO1257" s="1">
        <f t="shared" si="102"/>
        <v>3</v>
      </c>
    </row>
    <row r="1258" spans="1:41" x14ac:dyDescent="0.4">
      <c r="A1258" s="1">
        <v>1</v>
      </c>
      <c r="B1258" s="1" t="s">
        <v>1033</v>
      </c>
      <c r="C1258" s="1" t="s">
        <v>41</v>
      </c>
      <c r="D1258" s="2">
        <v>38933</v>
      </c>
      <c r="E1258" s="1">
        <v>216</v>
      </c>
      <c r="F1258" s="1">
        <v>4.3</v>
      </c>
      <c r="G1258" s="3">
        <v>0.43538194444444445</v>
      </c>
      <c r="H1258" s="3">
        <v>0.43543981481481481</v>
      </c>
      <c r="I1258" s="3">
        <v>5.7870370370360913E-5</v>
      </c>
      <c r="J1258" s="3">
        <v>5.7870370370360913E-5</v>
      </c>
      <c r="K1258" s="5">
        <f t="shared" si="101"/>
        <v>5</v>
      </c>
      <c r="L1258" s="3">
        <v>4.652777777777839E-3</v>
      </c>
      <c r="N1258" s="1" t="s">
        <v>251</v>
      </c>
      <c r="O1258" s="1" t="s">
        <v>286</v>
      </c>
      <c r="P1258" s="1" t="s">
        <v>44</v>
      </c>
      <c r="Q1258" s="1" t="s">
        <v>45</v>
      </c>
      <c r="T1258" s="1" t="s">
        <v>45</v>
      </c>
      <c r="U1258" s="1" t="s">
        <v>156</v>
      </c>
      <c r="AB1258" s="1" t="s">
        <v>93</v>
      </c>
      <c r="AC1258" s="1">
        <v>1</v>
      </c>
      <c r="AI1258" s="1" t="s">
        <v>255</v>
      </c>
      <c r="AK1258" s="1" t="s">
        <v>86</v>
      </c>
      <c r="AL1258" s="1" t="s">
        <v>87</v>
      </c>
      <c r="AN1258" s="1">
        <v>1</v>
      </c>
      <c r="AO1258" s="1">
        <f t="shared" si="102"/>
        <v>1</v>
      </c>
    </row>
    <row r="1259" spans="1:41" x14ac:dyDescent="0.4">
      <c r="A1259" s="1">
        <v>1</v>
      </c>
      <c r="B1259" s="1" t="s">
        <v>1033</v>
      </c>
      <c r="C1259" s="1" t="s">
        <v>41</v>
      </c>
      <c r="D1259" s="2">
        <v>38933</v>
      </c>
      <c r="E1259" s="1">
        <v>216</v>
      </c>
      <c r="F1259" s="1">
        <v>4.4000000000000004</v>
      </c>
      <c r="G1259" s="3">
        <v>0.44009259259259265</v>
      </c>
      <c r="H1259" s="3">
        <v>0.44033564814814818</v>
      </c>
      <c r="I1259" s="3">
        <v>2.4305555555553804E-4</v>
      </c>
      <c r="J1259" s="3">
        <v>2.4305555555553804E-4</v>
      </c>
      <c r="K1259" s="5">
        <f t="shared" si="101"/>
        <v>21</v>
      </c>
      <c r="L1259" s="3">
        <v>1.1423611111111065E-2</v>
      </c>
      <c r="N1259" s="1" t="s">
        <v>251</v>
      </c>
      <c r="O1259" s="1" t="s">
        <v>286</v>
      </c>
      <c r="P1259" s="1" t="s">
        <v>44</v>
      </c>
      <c r="Q1259" s="1" t="s">
        <v>132</v>
      </c>
      <c r="T1259" s="1" t="s">
        <v>76</v>
      </c>
      <c r="U1259" s="1" t="s">
        <v>156</v>
      </c>
      <c r="AB1259" s="1" t="s">
        <v>93</v>
      </c>
      <c r="AC1259" s="1">
        <v>1</v>
      </c>
      <c r="AI1259" s="1" t="s">
        <v>255</v>
      </c>
      <c r="AK1259" s="1" t="s">
        <v>86</v>
      </c>
      <c r="AL1259" s="1" t="s">
        <v>187</v>
      </c>
      <c r="AN1259" s="1">
        <v>1</v>
      </c>
      <c r="AO1259" s="1">
        <f t="shared" si="102"/>
        <v>1</v>
      </c>
    </row>
    <row r="1260" spans="1:41" x14ac:dyDescent="0.4">
      <c r="A1260" s="1">
        <v>1</v>
      </c>
      <c r="B1260" s="1" t="s">
        <v>1033</v>
      </c>
      <c r="C1260" s="1" t="s">
        <v>41</v>
      </c>
      <c r="D1260" s="2">
        <v>38933</v>
      </c>
      <c r="E1260" s="1">
        <v>216</v>
      </c>
      <c r="F1260" s="1">
        <v>5</v>
      </c>
      <c r="G1260" s="3">
        <v>0.45175925925925925</v>
      </c>
      <c r="H1260" s="3">
        <v>0.45233796296296297</v>
      </c>
      <c r="I1260" s="3">
        <v>5.7870370370372015E-4</v>
      </c>
      <c r="J1260" s="3">
        <v>3.356481481481266E-4</v>
      </c>
      <c r="K1260" s="5">
        <f t="shared" si="101"/>
        <v>29</v>
      </c>
      <c r="L1260" s="3">
        <v>1.3425925925925897E-2</v>
      </c>
      <c r="N1260" s="1" t="s">
        <v>251</v>
      </c>
      <c r="O1260" s="1" t="s">
        <v>286</v>
      </c>
      <c r="P1260" s="1" t="s">
        <v>44</v>
      </c>
      <c r="Q1260" s="1" t="s">
        <v>45</v>
      </c>
      <c r="T1260" s="1" t="s">
        <v>45</v>
      </c>
      <c r="U1260" s="1" t="s">
        <v>156</v>
      </c>
      <c r="V1260" s="1" t="s">
        <v>102</v>
      </c>
      <c r="W1260" s="1" t="s">
        <v>433</v>
      </c>
      <c r="X1260" s="1" t="s">
        <v>96</v>
      </c>
      <c r="Y1260" s="1" t="s">
        <v>1095</v>
      </c>
      <c r="Z1260" s="1" t="s">
        <v>1096</v>
      </c>
      <c r="AA1260" s="1" t="s">
        <v>1097</v>
      </c>
      <c r="AB1260" s="1" t="s">
        <v>1098</v>
      </c>
      <c r="AC1260" s="1">
        <v>0</v>
      </c>
      <c r="AD1260" s="1" t="s">
        <v>1099</v>
      </c>
      <c r="AE1260" s="1" t="s">
        <v>70</v>
      </c>
      <c r="AI1260" s="1" t="s">
        <v>255</v>
      </c>
      <c r="AK1260" s="1" t="s">
        <v>86</v>
      </c>
      <c r="AL1260" s="1" t="s">
        <v>133</v>
      </c>
      <c r="AN1260" s="1">
        <v>1</v>
      </c>
      <c r="AO1260" s="1">
        <f t="shared" si="102"/>
        <v>1</v>
      </c>
    </row>
    <row r="1261" spans="1:41" x14ac:dyDescent="0.4">
      <c r="A1261" s="1">
        <v>1</v>
      </c>
      <c r="B1261" s="1" t="s">
        <v>1033</v>
      </c>
      <c r="C1261" s="1" t="s">
        <v>41</v>
      </c>
      <c r="D1261" s="2">
        <v>38933</v>
      </c>
      <c r="E1261" s="1">
        <v>216</v>
      </c>
      <c r="F1261" s="1">
        <v>5.2</v>
      </c>
      <c r="G1261" s="3">
        <v>0.46576388888888887</v>
      </c>
      <c r="H1261" s="3">
        <v>0.46894675925925927</v>
      </c>
      <c r="I1261" s="3">
        <v>3.1828703703704053E-3</v>
      </c>
      <c r="J1261" s="3">
        <v>5.7870370370360913E-5</v>
      </c>
      <c r="K1261" s="5">
        <f t="shared" si="101"/>
        <v>5</v>
      </c>
      <c r="L1261" s="3">
        <v>3.8993055555555489E-2</v>
      </c>
      <c r="N1261" s="1" t="s">
        <v>251</v>
      </c>
      <c r="O1261" s="1" t="s">
        <v>286</v>
      </c>
      <c r="P1261" s="1" t="s">
        <v>44</v>
      </c>
      <c r="Q1261" s="1" t="s">
        <v>76</v>
      </c>
      <c r="T1261" s="1" t="s">
        <v>45</v>
      </c>
      <c r="U1261" s="1" t="s">
        <v>156</v>
      </c>
      <c r="AB1261" s="1" t="s">
        <v>93</v>
      </c>
      <c r="AC1261" s="1">
        <v>1</v>
      </c>
      <c r="AI1261" s="1" t="s">
        <v>255</v>
      </c>
      <c r="AK1261" s="1" t="s">
        <v>86</v>
      </c>
      <c r="AL1261" s="1" t="s">
        <v>187</v>
      </c>
      <c r="AN1261" s="1">
        <v>1</v>
      </c>
      <c r="AO1261" s="1">
        <f t="shared" si="102"/>
        <v>1</v>
      </c>
    </row>
    <row r="1262" spans="1:41" x14ac:dyDescent="0.4">
      <c r="A1262" s="1">
        <v>1</v>
      </c>
      <c r="B1262" s="1" t="s">
        <v>1033</v>
      </c>
      <c r="C1262" s="1" t="s">
        <v>41</v>
      </c>
      <c r="D1262" s="2">
        <v>38933</v>
      </c>
      <c r="E1262" s="1">
        <v>216</v>
      </c>
      <c r="F1262" s="1">
        <v>5.4</v>
      </c>
      <c r="G1262" s="3">
        <v>0.50793981481481476</v>
      </c>
      <c r="H1262" s="3">
        <v>0.50798611111111114</v>
      </c>
      <c r="I1262" s="3">
        <v>4.6296296296377548E-5</v>
      </c>
      <c r="J1262" s="3">
        <v>4.6296296296377548E-5</v>
      </c>
      <c r="K1262" s="5">
        <f t="shared" si="101"/>
        <v>4</v>
      </c>
      <c r="L1262" s="3">
        <v>3.5532407407407041E-3</v>
      </c>
      <c r="N1262" s="1" t="s">
        <v>42</v>
      </c>
      <c r="O1262" s="1" t="s">
        <v>286</v>
      </c>
      <c r="P1262" s="1" t="s">
        <v>44</v>
      </c>
      <c r="Q1262" s="1" t="s">
        <v>132</v>
      </c>
      <c r="T1262" s="1" t="s">
        <v>76</v>
      </c>
      <c r="U1262" s="1" t="s">
        <v>156</v>
      </c>
      <c r="AB1262" s="1" t="s">
        <v>93</v>
      </c>
      <c r="AC1262" s="1">
        <v>1</v>
      </c>
      <c r="AI1262" s="1" t="s">
        <v>75</v>
      </c>
      <c r="AK1262" s="1" t="s">
        <v>86</v>
      </c>
      <c r="AL1262" s="1" t="s">
        <v>187</v>
      </c>
      <c r="AN1262" s="1">
        <v>1</v>
      </c>
      <c r="AO1262" s="1">
        <f t="shared" si="102"/>
        <v>1</v>
      </c>
    </row>
    <row r="1263" spans="1:41" x14ac:dyDescent="0.4">
      <c r="A1263" s="1">
        <v>1</v>
      </c>
      <c r="B1263" s="1" t="s">
        <v>1033</v>
      </c>
      <c r="C1263" s="1" t="s">
        <v>41</v>
      </c>
      <c r="D1263" s="2">
        <v>38933</v>
      </c>
      <c r="E1263" s="1">
        <v>216</v>
      </c>
      <c r="F1263" s="1">
        <v>5.45</v>
      </c>
      <c r="G1263" s="3">
        <v>0.51153935185185184</v>
      </c>
      <c r="H1263" s="3">
        <v>0.51156250000000003</v>
      </c>
      <c r="I1263" s="3">
        <v>2.3148148148188774E-5</v>
      </c>
      <c r="J1263" s="3">
        <v>2.3148148148188774E-5</v>
      </c>
      <c r="K1263" s="5">
        <f t="shared" si="101"/>
        <v>2</v>
      </c>
      <c r="L1263" s="3">
        <v>4.0393518518517801E-3</v>
      </c>
      <c r="N1263" s="1" t="s">
        <v>42</v>
      </c>
      <c r="O1263" s="1" t="s">
        <v>286</v>
      </c>
      <c r="P1263" s="1" t="s">
        <v>44</v>
      </c>
      <c r="Q1263" s="1" t="s">
        <v>132</v>
      </c>
      <c r="T1263" s="1" t="s">
        <v>76</v>
      </c>
      <c r="U1263" s="1" t="s">
        <v>156</v>
      </c>
      <c r="AB1263" s="1" t="s">
        <v>93</v>
      </c>
      <c r="AC1263" s="1">
        <v>1</v>
      </c>
      <c r="AI1263" s="1" t="s">
        <v>75</v>
      </c>
      <c r="AK1263" s="1" t="s">
        <v>86</v>
      </c>
      <c r="AL1263" s="1" t="s">
        <v>87</v>
      </c>
      <c r="AN1263" s="1">
        <v>1</v>
      </c>
      <c r="AO1263" s="1">
        <f t="shared" si="102"/>
        <v>1</v>
      </c>
    </row>
    <row r="1264" spans="1:41" x14ac:dyDescent="0.4">
      <c r="A1264" s="1">
        <v>1</v>
      </c>
      <c r="B1264" s="1" t="s">
        <v>1033</v>
      </c>
      <c r="C1264" s="1" t="s">
        <v>41</v>
      </c>
      <c r="D1264" s="2">
        <v>38933</v>
      </c>
      <c r="E1264" s="1">
        <v>216</v>
      </c>
      <c r="F1264" s="1">
        <v>5.5</v>
      </c>
      <c r="G1264" s="3">
        <v>0.51560185185185181</v>
      </c>
      <c r="H1264" s="3">
        <v>0.51564814814814819</v>
      </c>
      <c r="I1264" s="3">
        <v>4.6296296296377548E-5</v>
      </c>
      <c r="J1264" s="3">
        <v>4.6296296296377548E-5</v>
      </c>
      <c r="K1264" s="5">
        <f t="shared" si="101"/>
        <v>4</v>
      </c>
      <c r="L1264" s="3">
        <v>4.6296296296295392E-3</v>
      </c>
      <c r="N1264" s="1" t="s">
        <v>42</v>
      </c>
      <c r="O1264" s="1" t="s">
        <v>286</v>
      </c>
      <c r="P1264" s="1" t="s">
        <v>44</v>
      </c>
      <c r="Q1264" s="1" t="s">
        <v>132</v>
      </c>
      <c r="T1264" s="1" t="s">
        <v>45</v>
      </c>
      <c r="U1264" s="1" t="s">
        <v>66</v>
      </c>
      <c r="AB1264" s="1" t="s">
        <v>93</v>
      </c>
      <c r="AC1264" s="1">
        <v>1</v>
      </c>
      <c r="AI1264" s="1" t="s">
        <v>71</v>
      </c>
      <c r="AK1264" s="1" t="s">
        <v>86</v>
      </c>
      <c r="AL1264" s="1" t="s">
        <v>87</v>
      </c>
      <c r="AN1264" s="1">
        <v>1</v>
      </c>
      <c r="AO1264" s="1">
        <f t="shared" si="102"/>
        <v>1</v>
      </c>
    </row>
    <row r="1265" spans="1:41" x14ac:dyDescent="0.4">
      <c r="A1265" s="1">
        <v>1</v>
      </c>
      <c r="B1265" s="1" t="s">
        <v>1033</v>
      </c>
      <c r="C1265" s="1" t="s">
        <v>41</v>
      </c>
      <c r="D1265" s="2">
        <v>38933</v>
      </c>
      <c r="E1265" s="1">
        <v>216</v>
      </c>
      <c r="F1265" s="1">
        <v>6</v>
      </c>
      <c r="G1265" s="3">
        <v>0.52027777777777773</v>
      </c>
      <c r="H1265" s="3">
        <v>0.52527777777777784</v>
      </c>
      <c r="I1265" s="3">
        <v>5.0000000000001155E-3</v>
      </c>
      <c r="J1265" s="3">
        <v>3.263888888888955E-3</v>
      </c>
      <c r="K1265" s="5">
        <f t="shared" si="101"/>
        <v>282</v>
      </c>
      <c r="L1265" s="3">
        <v>6.4814814814806443E-4</v>
      </c>
      <c r="N1265" s="1" t="s">
        <v>42</v>
      </c>
      <c r="O1265" s="1" t="s">
        <v>286</v>
      </c>
      <c r="P1265" s="1" t="s">
        <v>44</v>
      </c>
      <c r="Q1265" s="1" t="s">
        <v>132</v>
      </c>
      <c r="T1265" s="1" t="s">
        <v>45</v>
      </c>
      <c r="U1265" s="1" t="s">
        <v>156</v>
      </c>
      <c r="V1265" s="1" t="s">
        <v>49</v>
      </c>
      <c r="W1265" s="1" t="s">
        <v>383</v>
      </c>
      <c r="X1265" s="1" t="s">
        <v>1184</v>
      </c>
      <c r="Y1265" s="1" t="s">
        <v>600</v>
      </c>
      <c r="Z1265" s="1" t="s">
        <v>601</v>
      </c>
      <c r="AA1265" s="1" t="s">
        <v>1185</v>
      </c>
      <c r="AB1265" s="1" t="s">
        <v>1186</v>
      </c>
      <c r="AC1265" s="1">
        <v>0</v>
      </c>
      <c r="AD1265" s="1" t="s">
        <v>56</v>
      </c>
      <c r="AE1265" s="1" t="s">
        <v>83</v>
      </c>
      <c r="AH1265" s="1" t="s">
        <v>59</v>
      </c>
      <c r="AI1265" s="1" t="s">
        <v>75</v>
      </c>
      <c r="AK1265" s="1" t="s">
        <v>86</v>
      </c>
      <c r="AL1265" s="1" t="s">
        <v>187</v>
      </c>
      <c r="AN1265" s="1">
        <v>1</v>
      </c>
      <c r="AO1265" s="1">
        <f t="shared" si="102"/>
        <v>1</v>
      </c>
    </row>
    <row r="1266" spans="1:41" x14ac:dyDescent="0.4">
      <c r="A1266" s="1">
        <v>1</v>
      </c>
      <c r="B1266" s="1" t="s">
        <v>1033</v>
      </c>
      <c r="C1266" s="1" t="s">
        <v>41</v>
      </c>
      <c r="D1266" s="2">
        <v>38933</v>
      </c>
      <c r="E1266" s="1">
        <v>216</v>
      </c>
      <c r="F1266" s="1">
        <v>7</v>
      </c>
      <c r="G1266" s="3">
        <v>0.52592592592592591</v>
      </c>
      <c r="H1266" s="3">
        <v>0.5264699074074074</v>
      </c>
      <c r="I1266" s="3">
        <v>5.439814814814925E-4</v>
      </c>
      <c r="J1266" s="3">
        <v>5.439814814814925E-4</v>
      </c>
      <c r="K1266" s="5">
        <f t="shared" si="101"/>
        <v>47</v>
      </c>
      <c r="L1266" s="3">
        <v>2.7314814814815014E-3</v>
      </c>
      <c r="N1266" s="1" t="s">
        <v>42</v>
      </c>
      <c r="O1266" s="1" t="s">
        <v>286</v>
      </c>
      <c r="P1266" s="1" t="s">
        <v>44</v>
      </c>
      <c r="Q1266" s="1" t="s">
        <v>132</v>
      </c>
      <c r="T1266" s="1" t="s">
        <v>45</v>
      </c>
      <c r="U1266" s="1" t="s">
        <v>156</v>
      </c>
      <c r="V1266" s="1" t="s">
        <v>102</v>
      </c>
      <c r="W1266" s="1" t="s">
        <v>433</v>
      </c>
      <c r="X1266" s="1" t="s">
        <v>96</v>
      </c>
      <c r="Y1266" s="1" t="s">
        <v>1095</v>
      </c>
      <c r="Z1266" s="1" t="s">
        <v>1096</v>
      </c>
      <c r="AA1266" s="1" t="s">
        <v>1097</v>
      </c>
      <c r="AB1266" s="1" t="s">
        <v>1098</v>
      </c>
      <c r="AC1266" s="1">
        <v>0</v>
      </c>
      <c r="AD1266" s="1" t="s">
        <v>1099</v>
      </c>
      <c r="AE1266" s="1" t="s">
        <v>70</v>
      </c>
      <c r="AI1266" s="1" t="s">
        <v>75</v>
      </c>
      <c r="AK1266" s="1" t="s">
        <v>86</v>
      </c>
      <c r="AL1266" s="1" t="s">
        <v>187</v>
      </c>
      <c r="AN1266" s="1">
        <v>1</v>
      </c>
      <c r="AO1266" s="1">
        <f t="shared" si="102"/>
        <v>1</v>
      </c>
    </row>
    <row r="1267" spans="1:41" x14ac:dyDescent="0.4">
      <c r="A1267" s="1">
        <v>1</v>
      </c>
      <c r="B1267" s="1" t="s">
        <v>1033</v>
      </c>
      <c r="C1267" s="1" t="s">
        <v>41</v>
      </c>
      <c r="D1267" s="2">
        <v>38933</v>
      </c>
      <c r="E1267" s="1">
        <v>216</v>
      </c>
      <c r="F1267" s="1">
        <v>7.5</v>
      </c>
      <c r="G1267" s="3">
        <v>0.5292013888888889</v>
      </c>
      <c r="H1267" s="3">
        <v>0.52922453703703709</v>
      </c>
      <c r="I1267" s="3">
        <v>2.3148148148188774E-5</v>
      </c>
      <c r="J1267" s="3">
        <v>2.3148148148188774E-5</v>
      </c>
      <c r="K1267" s="5">
        <f t="shared" si="101"/>
        <v>2</v>
      </c>
      <c r="L1267" s="3">
        <v>6.1226851851851061E-3</v>
      </c>
      <c r="N1267" s="1" t="s">
        <v>42</v>
      </c>
      <c r="O1267" s="1" t="s">
        <v>286</v>
      </c>
      <c r="P1267" s="1" t="s">
        <v>44</v>
      </c>
      <c r="Q1267" s="1" t="s">
        <v>132</v>
      </c>
      <c r="T1267" s="1" t="s">
        <v>76</v>
      </c>
      <c r="U1267" s="1" t="s">
        <v>92</v>
      </c>
      <c r="AB1267" s="1" t="s">
        <v>93</v>
      </c>
      <c r="AC1267" s="1">
        <v>1</v>
      </c>
      <c r="AI1267" s="1" t="s">
        <v>75</v>
      </c>
      <c r="AK1267" s="1" t="s">
        <v>61</v>
      </c>
      <c r="AL1267" s="1" t="s">
        <v>133</v>
      </c>
      <c r="AN1267" s="1">
        <v>1</v>
      </c>
      <c r="AO1267" s="1">
        <f t="shared" si="102"/>
        <v>1</v>
      </c>
    </row>
    <row r="1268" spans="1:41" x14ac:dyDescent="0.4">
      <c r="A1268" s="1">
        <v>1</v>
      </c>
      <c r="B1268" s="1" t="s">
        <v>1033</v>
      </c>
      <c r="C1268" s="1" t="s">
        <v>41</v>
      </c>
      <c r="D1268" s="2">
        <v>38933</v>
      </c>
      <c r="E1268" s="1">
        <v>216</v>
      </c>
      <c r="F1268" s="1">
        <v>8</v>
      </c>
      <c r="G1268" s="3">
        <v>0.5353472222222222</v>
      </c>
      <c r="H1268" s="3">
        <v>0.53614583333333332</v>
      </c>
      <c r="I1268" s="3">
        <v>7.9861111111112493E-4</v>
      </c>
      <c r="J1268" s="3">
        <v>7.9861111111112493E-4</v>
      </c>
      <c r="K1268" s="5">
        <f t="shared" si="101"/>
        <v>69</v>
      </c>
      <c r="L1268" s="3">
        <v>1.3263888888888853E-2</v>
      </c>
      <c r="N1268" s="1" t="s">
        <v>42</v>
      </c>
      <c r="O1268" s="1" t="s">
        <v>286</v>
      </c>
      <c r="P1268" s="1" t="s">
        <v>44</v>
      </c>
      <c r="Q1268" s="1" t="s">
        <v>132</v>
      </c>
      <c r="T1268" s="1" t="s">
        <v>76</v>
      </c>
      <c r="U1268" s="1" t="s">
        <v>92</v>
      </c>
      <c r="V1268" s="1" t="s">
        <v>49</v>
      </c>
      <c r="W1268" s="1" t="s">
        <v>383</v>
      </c>
      <c r="X1268" s="1" t="s">
        <v>1187</v>
      </c>
      <c r="Y1268" s="1" t="s">
        <v>528</v>
      </c>
      <c r="Z1268" s="1" t="s">
        <v>1188</v>
      </c>
      <c r="AA1268" s="1" t="s">
        <v>1189</v>
      </c>
      <c r="AB1268" s="1" t="s">
        <v>1190</v>
      </c>
      <c r="AC1268" s="1">
        <v>0</v>
      </c>
      <c r="AD1268" s="1" t="s">
        <v>56</v>
      </c>
      <c r="AE1268" s="1" t="s">
        <v>83</v>
      </c>
      <c r="AH1268" s="1" t="s">
        <v>59</v>
      </c>
      <c r="AI1268" s="1" t="s">
        <v>75</v>
      </c>
      <c r="AK1268" s="1" t="s">
        <v>86</v>
      </c>
      <c r="AL1268" s="1" t="s">
        <v>87</v>
      </c>
      <c r="AN1268" s="1">
        <v>1</v>
      </c>
      <c r="AO1268" s="1">
        <f t="shared" si="102"/>
        <v>1</v>
      </c>
    </row>
    <row r="1269" spans="1:41" x14ac:dyDescent="0.4">
      <c r="A1269" s="1">
        <v>1</v>
      </c>
      <c r="B1269" s="1" t="s">
        <v>1033</v>
      </c>
      <c r="C1269" s="1" t="s">
        <v>41</v>
      </c>
      <c r="D1269" s="2">
        <v>38933</v>
      </c>
      <c r="E1269" s="1">
        <v>216</v>
      </c>
      <c r="F1269" s="1">
        <v>8.1999999999999993</v>
      </c>
      <c r="G1269" s="3">
        <v>0.54940972222222217</v>
      </c>
      <c r="H1269" s="3">
        <v>0.54945601851851855</v>
      </c>
      <c r="I1269" s="3">
        <v>4.6296296296377548E-5</v>
      </c>
      <c r="J1269" s="3">
        <v>4.6296296296377548E-5</v>
      </c>
      <c r="K1269" s="5">
        <f t="shared" si="101"/>
        <v>4</v>
      </c>
      <c r="L1269" s="3">
        <v>9.0324074074074057E-2</v>
      </c>
      <c r="N1269" s="1" t="s">
        <v>42</v>
      </c>
      <c r="O1269" s="1" t="s">
        <v>286</v>
      </c>
      <c r="P1269" s="1" t="s">
        <v>44</v>
      </c>
      <c r="Q1269" s="1" t="s">
        <v>76</v>
      </c>
      <c r="T1269" s="1" t="s">
        <v>47</v>
      </c>
      <c r="U1269" s="1" t="s">
        <v>92</v>
      </c>
      <c r="AB1269" s="1" t="s">
        <v>93</v>
      </c>
      <c r="AC1269" s="1">
        <v>1</v>
      </c>
      <c r="AG1269" s="1" t="s">
        <v>1191</v>
      </c>
      <c r="AI1269" s="1" t="s">
        <v>75</v>
      </c>
      <c r="AK1269" s="1" t="s">
        <v>86</v>
      </c>
      <c r="AL1269" s="1" t="s">
        <v>133</v>
      </c>
      <c r="AM1269" s="1">
        <v>1</v>
      </c>
      <c r="AN1269" s="1">
        <v>0</v>
      </c>
      <c r="AO1269" s="1">
        <f t="shared" si="102"/>
        <v>1</v>
      </c>
    </row>
    <row r="1270" spans="1:41" x14ac:dyDescent="0.4">
      <c r="A1270" s="1">
        <v>1</v>
      </c>
      <c r="B1270" s="1" t="s">
        <v>1033</v>
      </c>
      <c r="C1270" s="1" t="s">
        <v>41</v>
      </c>
      <c r="D1270" s="2">
        <v>38933</v>
      </c>
      <c r="E1270" s="1">
        <v>216</v>
      </c>
      <c r="F1270" s="1">
        <v>8.5</v>
      </c>
      <c r="G1270" s="3">
        <v>0.63978009259259261</v>
      </c>
      <c r="H1270" s="3">
        <v>0.64175925925925925</v>
      </c>
      <c r="I1270" s="3">
        <v>1.979166666666643E-3</v>
      </c>
      <c r="J1270" s="3">
        <v>3.4722222222116628E-5</v>
      </c>
      <c r="K1270" s="5">
        <f t="shared" si="101"/>
        <v>3</v>
      </c>
      <c r="L1270" s="3">
        <v>2.2245370370370443E-2</v>
      </c>
      <c r="N1270" s="1" t="s">
        <v>251</v>
      </c>
      <c r="O1270" s="1" t="s">
        <v>286</v>
      </c>
      <c r="P1270" s="1" t="s">
        <v>44</v>
      </c>
      <c r="Q1270" s="1" t="s">
        <v>76</v>
      </c>
      <c r="S1270" s="1" t="s">
        <v>46</v>
      </c>
      <c r="T1270" s="1" t="s">
        <v>47</v>
      </c>
      <c r="U1270" s="1" t="s">
        <v>156</v>
      </c>
      <c r="AB1270" s="1" t="s">
        <v>93</v>
      </c>
      <c r="AC1270" s="1">
        <v>1</v>
      </c>
      <c r="AG1270" s="1" t="s">
        <v>1192</v>
      </c>
      <c r="AI1270" s="1" t="s">
        <v>255</v>
      </c>
      <c r="AK1270" s="1" t="s">
        <v>86</v>
      </c>
      <c r="AL1270" s="1" t="s">
        <v>133</v>
      </c>
      <c r="AM1270" s="1">
        <v>2</v>
      </c>
      <c r="AN1270" s="1">
        <v>0</v>
      </c>
      <c r="AO1270" s="1">
        <f t="shared" si="102"/>
        <v>2</v>
      </c>
    </row>
    <row r="1271" spans="1:41" x14ac:dyDescent="0.4">
      <c r="A1271" s="1">
        <v>1</v>
      </c>
      <c r="B1271" s="1" t="s">
        <v>1033</v>
      </c>
      <c r="C1271" s="1" t="s">
        <v>41</v>
      </c>
      <c r="D1271" s="2">
        <v>38933</v>
      </c>
      <c r="E1271" s="1">
        <v>216</v>
      </c>
      <c r="F1271" s="1">
        <v>9</v>
      </c>
      <c r="G1271" s="3">
        <v>0.66400462962962969</v>
      </c>
      <c r="H1271" s="3">
        <v>0.66517361111111117</v>
      </c>
      <c r="I1271" s="3">
        <v>1.1689814814814792E-3</v>
      </c>
      <c r="J1271" s="3">
        <v>1.1689814814814792E-3</v>
      </c>
      <c r="K1271" s="5">
        <f t="shared" si="101"/>
        <v>101</v>
      </c>
      <c r="L1271" s="3">
        <v>1.2731481481480511E-3</v>
      </c>
      <c r="N1271" s="1" t="s">
        <v>251</v>
      </c>
      <c r="O1271" s="1" t="s">
        <v>286</v>
      </c>
      <c r="P1271" s="1" t="s">
        <v>44</v>
      </c>
      <c r="Q1271" s="1" t="s">
        <v>76</v>
      </c>
      <c r="S1271" s="1" t="s">
        <v>46</v>
      </c>
      <c r="T1271" s="1" t="s">
        <v>47</v>
      </c>
      <c r="U1271" s="1" t="s">
        <v>66</v>
      </c>
      <c r="V1271" s="1" t="s">
        <v>67</v>
      </c>
      <c r="W1271" s="1" t="s">
        <v>68</v>
      </c>
      <c r="X1271" s="1" t="s">
        <v>96</v>
      </c>
      <c r="Y1271" s="1" t="s">
        <v>68</v>
      </c>
      <c r="AB1271" s="1" t="s">
        <v>69</v>
      </c>
      <c r="AC1271" s="1">
        <v>0</v>
      </c>
      <c r="AD1271" s="1" t="s">
        <v>68</v>
      </c>
      <c r="AE1271" s="1" t="s">
        <v>70</v>
      </c>
      <c r="AG1271" s="1" t="s">
        <v>1192</v>
      </c>
      <c r="AH1271" s="1" t="s">
        <v>157</v>
      </c>
      <c r="AI1271" s="1" t="s">
        <v>257</v>
      </c>
      <c r="AK1271" s="1" t="s">
        <v>86</v>
      </c>
      <c r="AL1271" s="1" t="s">
        <v>133</v>
      </c>
      <c r="AM1271" s="1">
        <v>2</v>
      </c>
      <c r="AN1271" s="1">
        <v>0</v>
      </c>
      <c r="AO1271" s="1">
        <f t="shared" si="102"/>
        <v>2</v>
      </c>
    </row>
    <row r="1272" spans="1:41" x14ac:dyDescent="0.4">
      <c r="A1272" s="1">
        <v>1</v>
      </c>
      <c r="B1272" s="1" t="s">
        <v>1033</v>
      </c>
      <c r="C1272" s="1" t="s">
        <v>41</v>
      </c>
      <c r="D1272" s="2">
        <v>38933</v>
      </c>
      <c r="E1272" s="1">
        <v>216</v>
      </c>
      <c r="F1272" s="1">
        <v>9.5</v>
      </c>
      <c r="G1272" s="3">
        <v>0.66644675925925922</v>
      </c>
      <c r="H1272" s="3">
        <v>0.66645833333333326</v>
      </c>
      <c r="I1272" s="3">
        <v>1.1574074074038876E-5</v>
      </c>
      <c r="J1272" s="3">
        <v>1.1574074074038876E-5</v>
      </c>
      <c r="K1272" s="5">
        <f t="shared" si="101"/>
        <v>1</v>
      </c>
      <c r="L1272" s="3">
        <v>7.8819444444444553E-3</v>
      </c>
      <c r="N1272" s="1" t="s">
        <v>251</v>
      </c>
      <c r="O1272" s="1" t="s">
        <v>286</v>
      </c>
      <c r="P1272" s="1" t="s">
        <v>44</v>
      </c>
      <c r="Q1272" s="1" t="s">
        <v>45</v>
      </c>
      <c r="S1272" s="1" t="s">
        <v>46</v>
      </c>
      <c r="AB1272" s="1" t="s">
        <v>93</v>
      </c>
      <c r="AC1272" s="1">
        <v>1</v>
      </c>
      <c r="AK1272" s="1" t="s">
        <v>61</v>
      </c>
      <c r="AL1272" s="1" t="s">
        <v>133</v>
      </c>
      <c r="AN1272" s="1">
        <v>1</v>
      </c>
      <c r="AO1272" s="1">
        <f t="shared" si="102"/>
        <v>1</v>
      </c>
    </row>
    <row r="1273" spans="1:41" x14ac:dyDescent="0.4">
      <c r="A1273" s="1">
        <v>1</v>
      </c>
      <c r="B1273" s="1" t="s">
        <v>1033</v>
      </c>
      <c r="C1273" s="1" t="s">
        <v>41</v>
      </c>
      <c r="D1273" s="2">
        <v>38933</v>
      </c>
      <c r="E1273" s="1">
        <v>216</v>
      </c>
      <c r="F1273" s="1">
        <v>11</v>
      </c>
      <c r="G1273" s="3">
        <v>0.67434027777777772</v>
      </c>
      <c r="H1273" s="3">
        <v>0.67952546296296301</v>
      </c>
      <c r="I1273" s="3">
        <v>5.1851851851852926E-3</v>
      </c>
      <c r="J1273" s="3">
        <v>5.1851851851852926E-3</v>
      </c>
      <c r="K1273" s="5">
        <f t="shared" si="101"/>
        <v>448</v>
      </c>
      <c r="L1273" s="3" t="s">
        <v>120</v>
      </c>
      <c r="N1273" s="1" t="s">
        <v>251</v>
      </c>
      <c r="O1273" s="1" t="s">
        <v>286</v>
      </c>
      <c r="P1273" s="1" t="s">
        <v>44</v>
      </c>
      <c r="Q1273" s="1" t="s">
        <v>76</v>
      </c>
      <c r="S1273" s="1" t="s">
        <v>46</v>
      </c>
      <c r="T1273" s="1" t="s">
        <v>124</v>
      </c>
      <c r="V1273" s="1" t="s">
        <v>49</v>
      </c>
      <c r="W1273" s="1" t="s">
        <v>77</v>
      </c>
      <c r="X1273" s="1" t="s">
        <v>375</v>
      </c>
      <c r="Y1273" s="1" t="s">
        <v>376</v>
      </c>
      <c r="Z1273" s="1">
        <v>2</v>
      </c>
      <c r="AB1273" s="1" t="s">
        <v>377</v>
      </c>
      <c r="AC1273" s="1">
        <v>0</v>
      </c>
      <c r="AD1273" s="1" t="s">
        <v>56</v>
      </c>
      <c r="AE1273" s="1" t="s">
        <v>83</v>
      </c>
      <c r="AF1273" s="1" t="s">
        <v>113</v>
      </c>
      <c r="AG1273" s="1" t="s">
        <v>1152</v>
      </c>
      <c r="AH1273" s="1" t="s">
        <v>59</v>
      </c>
      <c r="AK1273" s="1" t="s">
        <v>86</v>
      </c>
      <c r="AL1273" s="1" t="s">
        <v>86</v>
      </c>
      <c r="AM1273" s="1">
        <v>5</v>
      </c>
      <c r="AN1273" s="1">
        <v>0</v>
      </c>
      <c r="AO1273" s="1">
        <f t="shared" si="102"/>
        <v>5</v>
      </c>
    </row>
    <row r="1274" spans="1:41" x14ac:dyDescent="0.4">
      <c r="A1274" s="1">
        <v>1</v>
      </c>
      <c r="B1274" s="1" t="s">
        <v>1033</v>
      </c>
      <c r="C1274" s="1" t="s">
        <v>41</v>
      </c>
      <c r="D1274" s="2">
        <v>38937</v>
      </c>
      <c r="E1274" s="1">
        <v>220</v>
      </c>
      <c r="F1274" s="1">
        <v>1</v>
      </c>
      <c r="G1274" s="3">
        <v>0.31292824074074072</v>
      </c>
      <c r="H1274" s="3">
        <v>0.31369212962962961</v>
      </c>
      <c r="I1274" s="3">
        <v>7.6388888888889728E-4</v>
      </c>
      <c r="J1274" s="3">
        <v>5.3240740740739811E-4</v>
      </c>
      <c r="K1274" s="5">
        <f t="shared" si="101"/>
        <v>46</v>
      </c>
      <c r="L1274" s="3">
        <v>7.6736111111110894E-3</v>
      </c>
      <c r="N1274" s="1" t="s">
        <v>42</v>
      </c>
      <c r="O1274" s="1" t="s">
        <v>286</v>
      </c>
      <c r="P1274" s="1" t="s">
        <v>44</v>
      </c>
      <c r="Q1274" s="1" t="s">
        <v>191</v>
      </c>
      <c r="T1274" s="1" t="s">
        <v>45</v>
      </c>
      <c r="U1274" s="1" t="s">
        <v>92</v>
      </c>
      <c r="V1274" s="1" t="s">
        <v>102</v>
      </c>
      <c r="W1274" s="1" t="s">
        <v>231</v>
      </c>
      <c r="X1274" s="1" t="s">
        <v>96</v>
      </c>
      <c r="AB1274" s="1" t="s">
        <v>104</v>
      </c>
      <c r="AC1274" s="1">
        <v>0</v>
      </c>
      <c r="AD1274" s="1" t="s">
        <v>105</v>
      </c>
      <c r="AE1274" s="1" t="s">
        <v>70</v>
      </c>
      <c r="AG1274" s="1" t="s">
        <v>1193</v>
      </c>
      <c r="AH1274" s="1" t="s">
        <v>157</v>
      </c>
      <c r="AI1274" s="1" t="s">
        <v>75</v>
      </c>
      <c r="AK1274" s="1" t="s">
        <v>86</v>
      </c>
      <c r="AL1274" s="1" t="s">
        <v>87</v>
      </c>
      <c r="AM1274" s="1">
        <v>1</v>
      </c>
      <c r="AN1274" s="1">
        <v>0</v>
      </c>
      <c r="AO1274" s="1">
        <f t="shared" si="102"/>
        <v>1</v>
      </c>
    </row>
    <row r="1275" spans="1:41" x14ac:dyDescent="0.4">
      <c r="A1275" s="1">
        <v>1</v>
      </c>
      <c r="B1275" s="1" t="s">
        <v>1033</v>
      </c>
      <c r="C1275" s="1" t="s">
        <v>41</v>
      </c>
      <c r="D1275" s="2">
        <v>38937</v>
      </c>
      <c r="E1275" s="1">
        <v>220</v>
      </c>
      <c r="F1275" s="1">
        <v>2</v>
      </c>
      <c r="G1275" s="3">
        <v>0.3213657407407407</v>
      </c>
      <c r="H1275" s="3">
        <v>0.32179398148148147</v>
      </c>
      <c r="I1275" s="3">
        <v>4.2824074074077068E-4</v>
      </c>
      <c r="J1275" s="3">
        <v>4.2824074074077068E-4</v>
      </c>
      <c r="K1275" s="5">
        <f t="shared" si="101"/>
        <v>37</v>
      </c>
      <c r="L1275" s="3">
        <v>6.0069444444444398E-3</v>
      </c>
      <c r="N1275" s="1" t="s">
        <v>42</v>
      </c>
      <c r="O1275" s="1" t="s">
        <v>286</v>
      </c>
      <c r="P1275" s="1" t="s">
        <v>44</v>
      </c>
      <c r="Q1275" s="1" t="s">
        <v>76</v>
      </c>
      <c r="S1275" s="1" t="s">
        <v>46</v>
      </c>
      <c r="T1275" s="1" t="s">
        <v>47</v>
      </c>
      <c r="U1275" s="1" t="s">
        <v>66</v>
      </c>
      <c r="V1275" s="1" t="s">
        <v>102</v>
      </c>
      <c r="W1275" s="1" t="s">
        <v>433</v>
      </c>
      <c r="X1275" s="1" t="s">
        <v>96</v>
      </c>
      <c r="Y1275" s="1" t="s">
        <v>1095</v>
      </c>
      <c r="Z1275" s="1" t="s">
        <v>1096</v>
      </c>
      <c r="AA1275" s="1" t="s">
        <v>1097</v>
      </c>
      <c r="AB1275" s="1" t="s">
        <v>1098</v>
      </c>
      <c r="AC1275" s="1">
        <v>0</v>
      </c>
      <c r="AD1275" s="1" t="s">
        <v>1099</v>
      </c>
      <c r="AE1275" s="1" t="s">
        <v>70</v>
      </c>
      <c r="AG1275" s="1" t="s">
        <v>1194</v>
      </c>
      <c r="AI1275" s="1" t="s">
        <v>71</v>
      </c>
      <c r="AK1275" s="1" t="s">
        <v>61</v>
      </c>
      <c r="AL1275" s="1" t="s">
        <v>133</v>
      </c>
      <c r="AM1275" s="1">
        <v>1</v>
      </c>
      <c r="AN1275" s="1">
        <v>0</v>
      </c>
      <c r="AO1275" s="1">
        <f t="shared" si="102"/>
        <v>1</v>
      </c>
    </row>
    <row r="1276" spans="1:41" x14ac:dyDescent="0.4">
      <c r="A1276" s="1">
        <v>1</v>
      </c>
      <c r="B1276" s="1" t="s">
        <v>1033</v>
      </c>
      <c r="C1276" s="1" t="s">
        <v>41</v>
      </c>
      <c r="D1276" s="2">
        <v>38937</v>
      </c>
      <c r="E1276" s="1">
        <v>220</v>
      </c>
      <c r="F1276" s="1">
        <v>3</v>
      </c>
      <c r="G1276" s="3">
        <v>0.32780092592592591</v>
      </c>
      <c r="H1276" s="3">
        <v>0.33967592592592594</v>
      </c>
      <c r="I1276" s="3">
        <v>1.1875000000000024E-2</v>
      </c>
      <c r="J1276" s="3">
        <v>1.1875000000000024E-2</v>
      </c>
      <c r="K1276" s="5">
        <f t="shared" si="101"/>
        <v>1026</v>
      </c>
      <c r="L1276" s="3">
        <v>8.402777777777759E-3</v>
      </c>
      <c r="N1276" s="1" t="s">
        <v>42</v>
      </c>
      <c r="O1276" s="1" t="s">
        <v>286</v>
      </c>
      <c r="P1276" s="1" t="s">
        <v>44</v>
      </c>
      <c r="Q1276" s="1" t="s">
        <v>76</v>
      </c>
      <c r="S1276" s="1" t="s">
        <v>46</v>
      </c>
      <c r="T1276" s="1" t="s">
        <v>47</v>
      </c>
      <c r="U1276" s="1" t="s">
        <v>66</v>
      </c>
      <c r="V1276" s="1" t="s">
        <v>49</v>
      </c>
      <c r="W1276" s="1" t="s">
        <v>77</v>
      </c>
      <c r="X1276" s="1" t="s">
        <v>375</v>
      </c>
      <c r="Y1276" s="1" t="s">
        <v>376</v>
      </c>
      <c r="Z1276" s="1">
        <v>2</v>
      </c>
      <c r="AB1276" s="1" t="s">
        <v>377</v>
      </c>
      <c r="AC1276" s="1">
        <v>0</v>
      </c>
      <c r="AD1276" s="1" t="s">
        <v>56</v>
      </c>
      <c r="AE1276" s="1" t="s">
        <v>83</v>
      </c>
      <c r="AF1276" s="1" t="s">
        <v>113</v>
      </c>
      <c r="AG1276" s="1" t="s">
        <v>1147</v>
      </c>
      <c r="AH1276" s="1" t="s">
        <v>59</v>
      </c>
      <c r="AI1276" s="1" t="s">
        <v>71</v>
      </c>
      <c r="AK1276" s="1" t="s">
        <v>86</v>
      </c>
      <c r="AL1276" s="1" t="s">
        <v>133</v>
      </c>
      <c r="AM1276" s="1">
        <v>3</v>
      </c>
      <c r="AN1276" s="1">
        <v>0</v>
      </c>
      <c r="AO1276" s="1">
        <f t="shared" si="102"/>
        <v>3</v>
      </c>
    </row>
    <row r="1277" spans="1:41" x14ac:dyDescent="0.4">
      <c r="A1277" s="1">
        <v>1</v>
      </c>
      <c r="B1277" s="1" t="s">
        <v>1033</v>
      </c>
      <c r="C1277" s="1" t="s">
        <v>41</v>
      </c>
      <c r="D1277" s="2">
        <v>38937</v>
      </c>
      <c r="E1277" s="1">
        <v>220</v>
      </c>
      <c r="F1277" s="1">
        <v>3.2</v>
      </c>
      <c r="G1277" s="3">
        <v>0.3480787037037037</v>
      </c>
      <c r="H1277" s="3">
        <v>0.34841435185185188</v>
      </c>
      <c r="I1277" s="3">
        <v>3.3564814814818211E-4</v>
      </c>
      <c r="J1277" s="3">
        <v>3.3564814814818211E-4</v>
      </c>
      <c r="K1277" s="5">
        <f t="shared" si="101"/>
        <v>29</v>
      </c>
      <c r="L1277" s="3">
        <v>6.1342592592589229E-4</v>
      </c>
      <c r="N1277" s="1" t="s">
        <v>42</v>
      </c>
      <c r="O1277" s="1" t="s">
        <v>286</v>
      </c>
      <c r="P1277" s="1" t="s">
        <v>44</v>
      </c>
      <c r="Q1277" s="1" t="s">
        <v>76</v>
      </c>
      <c r="S1277" s="1" t="s">
        <v>46</v>
      </c>
      <c r="T1277" s="1" t="s">
        <v>45</v>
      </c>
      <c r="U1277" s="1" t="s">
        <v>66</v>
      </c>
      <c r="AB1277" s="1" t="s">
        <v>93</v>
      </c>
      <c r="AC1277" s="1">
        <v>1</v>
      </c>
      <c r="AG1277" s="1" t="s">
        <v>1077</v>
      </c>
      <c r="AI1277" s="1" t="s">
        <v>71</v>
      </c>
      <c r="AK1277" s="1" t="s">
        <v>86</v>
      </c>
      <c r="AL1277" s="1" t="s">
        <v>87</v>
      </c>
      <c r="AM1277" s="1">
        <v>4</v>
      </c>
      <c r="AN1277" s="1">
        <v>0</v>
      </c>
      <c r="AO1277" s="1">
        <f t="shared" si="102"/>
        <v>4</v>
      </c>
    </row>
    <row r="1278" spans="1:41" x14ac:dyDescent="0.4">
      <c r="A1278" s="1">
        <v>1</v>
      </c>
      <c r="B1278" s="1" t="s">
        <v>1033</v>
      </c>
      <c r="C1278" s="1" t="s">
        <v>41</v>
      </c>
      <c r="D1278" s="2">
        <v>38937</v>
      </c>
      <c r="E1278" s="1">
        <v>220</v>
      </c>
      <c r="F1278" s="1">
        <v>3.3</v>
      </c>
      <c r="G1278" s="3">
        <v>0.34902777777777777</v>
      </c>
      <c r="H1278" s="3">
        <v>0.34903935185185181</v>
      </c>
      <c r="I1278" s="3">
        <v>1.1574074074038876E-5</v>
      </c>
      <c r="J1278" s="3">
        <v>1.1574074074038876E-5</v>
      </c>
      <c r="K1278" s="5">
        <f t="shared" si="101"/>
        <v>1</v>
      </c>
      <c r="L1278" s="3">
        <v>1.1921296296296346E-2</v>
      </c>
      <c r="N1278" s="1" t="s">
        <v>42</v>
      </c>
      <c r="O1278" s="1" t="s">
        <v>286</v>
      </c>
      <c r="P1278" s="1" t="s">
        <v>44</v>
      </c>
      <c r="Q1278" s="1" t="s">
        <v>76</v>
      </c>
      <c r="S1278" s="1" t="s">
        <v>46</v>
      </c>
      <c r="T1278" s="1" t="s">
        <v>45</v>
      </c>
      <c r="U1278" s="1" t="s">
        <v>92</v>
      </c>
      <c r="AB1278" s="1" t="s">
        <v>93</v>
      </c>
      <c r="AC1278" s="1">
        <v>1</v>
      </c>
      <c r="AG1278" s="1" t="s">
        <v>1077</v>
      </c>
      <c r="AI1278" s="1" t="s">
        <v>75</v>
      </c>
      <c r="AK1278" s="1" t="s">
        <v>86</v>
      </c>
      <c r="AL1278" s="1" t="s">
        <v>133</v>
      </c>
      <c r="AM1278" s="1">
        <v>4</v>
      </c>
      <c r="AN1278" s="1">
        <v>0</v>
      </c>
      <c r="AO1278" s="1">
        <f t="shared" si="102"/>
        <v>4</v>
      </c>
    </row>
    <row r="1279" spans="1:41" x14ac:dyDescent="0.4">
      <c r="A1279" s="1">
        <v>1</v>
      </c>
      <c r="B1279" s="1" t="s">
        <v>1033</v>
      </c>
      <c r="C1279" s="1" t="s">
        <v>41</v>
      </c>
      <c r="D1279" s="2">
        <v>38937</v>
      </c>
      <c r="E1279" s="1">
        <v>220</v>
      </c>
      <c r="F1279" s="1">
        <v>3.5</v>
      </c>
      <c r="G1279" s="3">
        <v>0.36096064814814816</v>
      </c>
      <c r="H1279" s="3">
        <v>0.36222222222222222</v>
      </c>
      <c r="I1279" s="3">
        <v>1.2615740740740677E-3</v>
      </c>
      <c r="J1279" s="3">
        <v>1.7361111111102723E-4</v>
      </c>
      <c r="K1279" s="5">
        <f t="shared" si="101"/>
        <v>15</v>
      </c>
      <c r="L1279" s="3">
        <v>9.2592592592594114E-4</v>
      </c>
      <c r="N1279" s="1" t="s">
        <v>42</v>
      </c>
      <c r="O1279" s="1" t="s">
        <v>286</v>
      </c>
      <c r="P1279" s="1" t="s">
        <v>44</v>
      </c>
      <c r="Q1279" s="1" t="s">
        <v>191</v>
      </c>
      <c r="S1279" s="1" t="s">
        <v>46</v>
      </c>
      <c r="T1279" s="1" t="s">
        <v>47</v>
      </c>
      <c r="U1279" s="1" t="s">
        <v>66</v>
      </c>
      <c r="AB1279" s="1" t="s">
        <v>93</v>
      </c>
      <c r="AC1279" s="1">
        <v>1</v>
      </c>
      <c r="AG1279" s="1" t="s">
        <v>1135</v>
      </c>
      <c r="AI1279" s="1" t="s">
        <v>71</v>
      </c>
      <c r="AK1279" s="1" t="s">
        <v>61</v>
      </c>
      <c r="AL1279" s="1" t="s">
        <v>61</v>
      </c>
      <c r="AM1279" s="1">
        <v>4</v>
      </c>
      <c r="AN1279" s="1">
        <v>0</v>
      </c>
      <c r="AO1279" s="1">
        <f t="shared" si="102"/>
        <v>4</v>
      </c>
    </row>
    <row r="1280" spans="1:41" x14ac:dyDescent="0.4">
      <c r="A1280" s="1">
        <v>1</v>
      </c>
      <c r="B1280" s="1" t="s">
        <v>1033</v>
      </c>
      <c r="C1280" s="1" t="s">
        <v>41</v>
      </c>
      <c r="D1280" s="2">
        <v>38937</v>
      </c>
      <c r="E1280" s="1">
        <v>220</v>
      </c>
      <c r="F1280" s="1">
        <v>3.6</v>
      </c>
      <c r="G1280" s="3">
        <v>0.36314814814814816</v>
      </c>
      <c r="H1280" s="3">
        <v>0.36457175925925928</v>
      </c>
      <c r="I1280" s="3">
        <v>1.4236111111111116E-3</v>
      </c>
      <c r="J1280" s="3">
        <v>2.546296296295214E-4</v>
      </c>
      <c r="K1280" s="5">
        <f t="shared" si="101"/>
        <v>22</v>
      </c>
      <c r="L1280" s="3">
        <v>3.7268518518518423E-3</v>
      </c>
      <c r="N1280" s="1" t="s">
        <v>42</v>
      </c>
      <c r="O1280" s="1" t="s">
        <v>286</v>
      </c>
      <c r="P1280" s="1" t="s">
        <v>44</v>
      </c>
      <c r="Q1280" s="1" t="s">
        <v>45</v>
      </c>
      <c r="S1280" s="1" t="s">
        <v>46</v>
      </c>
      <c r="T1280" s="1" t="s">
        <v>45</v>
      </c>
      <c r="U1280" s="1" t="s">
        <v>92</v>
      </c>
      <c r="AB1280" s="1" t="s">
        <v>93</v>
      </c>
      <c r="AC1280" s="1">
        <v>1</v>
      </c>
      <c r="AG1280" s="1" t="s">
        <v>1135</v>
      </c>
      <c r="AI1280" s="1" t="s">
        <v>75</v>
      </c>
      <c r="AK1280" s="1" t="s">
        <v>86</v>
      </c>
      <c r="AL1280" s="1" t="s">
        <v>87</v>
      </c>
      <c r="AM1280" s="1">
        <v>4</v>
      </c>
      <c r="AN1280" s="1">
        <v>0</v>
      </c>
      <c r="AO1280" s="1">
        <f t="shared" si="102"/>
        <v>4</v>
      </c>
    </row>
    <row r="1281" spans="1:41" x14ac:dyDescent="0.4">
      <c r="A1281" s="1">
        <v>1</v>
      </c>
      <c r="B1281" s="1" t="s">
        <v>1033</v>
      </c>
      <c r="C1281" s="1" t="s">
        <v>41</v>
      </c>
      <c r="D1281" s="2">
        <v>38937</v>
      </c>
      <c r="E1281" s="1">
        <v>220</v>
      </c>
      <c r="F1281" s="1">
        <v>3.7</v>
      </c>
      <c r="G1281" s="3">
        <v>0.36829861111111112</v>
      </c>
      <c r="H1281" s="3">
        <v>0.36898148148148152</v>
      </c>
      <c r="I1281" s="3">
        <v>6.828703703704031E-4</v>
      </c>
      <c r="J1281" s="3">
        <v>3.472222222222765E-5</v>
      </c>
      <c r="K1281" s="5">
        <f t="shared" si="101"/>
        <v>3</v>
      </c>
      <c r="L1281" s="3">
        <v>4.5486111111111005E-3</v>
      </c>
      <c r="N1281" s="1" t="s">
        <v>42</v>
      </c>
      <c r="O1281" s="1" t="s">
        <v>286</v>
      </c>
      <c r="P1281" s="1" t="s">
        <v>44</v>
      </c>
      <c r="Q1281" s="1" t="s">
        <v>45</v>
      </c>
      <c r="S1281" s="1" t="s">
        <v>46</v>
      </c>
      <c r="T1281" s="1" t="s">
        <v>76</v>
      </c>
      <c r="U1281" s="1" t="s">
        <v>66</v>
      </c>
      <c r="AB1281" s="1" t="s">
        <v>93</v>
      </c>
      <c r="AC1281" s="1">
        <v>1</v>
      </c>
      <c r="AG1281" s="1" t="s">
        <v>1195</v>
      </c>
      <c r="AI1281" s="1" t="s">
        <v>71</v>
      </c>
      <c r="AK1281" s="1" t="s">
        <v>61</v>
      </c>
      <c r="AL1281" s="1" t="s">
        <v>61</v>
      </c>
      <c r="AM1281" s="1">
        <v>1</v>
      </c>
      <c r="AN1281" s="1">
        <v>0</v>
      </c>
      <c r="AO1281" s="1">
        <f t="shared" si="102"/>
        <v>1</v>
      </c>
    </row>
    <row r="1282" spans="1:41" x14ac:dyDescent="0.4">
      <c r="A1282" s="1">
        <v>1</v>
      </c>
      <c r="B1282" s="1" t="s">
        <v>1033</v>
      </c>
      <c r="C1282" s="1" t="s">
        <v>41</v>
      </c>
      <c r="D1282" s="2">
        <v>38937</v>
      </c>
      <c r="E1282" s="1">
        <v>220</v>
      </c>
      <c r="F1282" s="1">
        <v>4</v>
      </c>
      <c r="G1282" s="3">
        <v>0.37353009259259262</v>
      </c>
      <c r="H1282" s="3">
        <v>0.38376157407407407</v>
      </c>
      <c r="I1282" s="3">
        <v>1.0231481481481453E-2</v>
      </c>
      <c r="J1282" s="3">
        <v>1.0069444444443798E-3</v>
      </c>
      <c r="K1282" s="5">
        <f t="shared" ref="K1282:K1345" si="103">HOUR(J1282)*60*60+MINUTE(J1282)*60+SECOND(J1282)</f>
        <v>87</v>
      </c>
      <c r="L1282" s="3">
        <v>2.3611111111110916E-3</v>
      </c>
      <c r="N1282" s="1" t="s">
        <v>42</v>
      </c>
      <c r="O1282" s="1" t="s">
        <v>286</v>
      </c>
      <c r="P1282" s="1" t="s">
        <v>44</v>
      </c>
      <c r="Q1282" s="1" t="s">
        <v>45</v>
      </c>
      <c r="S1282" s="1" t="s">
        <v>46</v>
      </c>
      <c r="T1282" s="1" t="s">
        <v>45</v>
      </c>
      <c r="U1282" s="1" t="s">
        <v>92</v>
      </c>
      <c r="V1282" s="1" t="s">
        <v>102</v>
      </c>
      <c r="W1282" s="1" t="s">
        <v>103</v>
      </c>
      <c r="X1282" s="1" t="s">
        <v>96</v>
      </c>
      <c r="Y1282" s="1" t="s">
        <v>753</v>
      </c>
      <c r="Z1282" s="1">
        <v>2</v>
      </c>
      <c r="AB1282" s="1" t="s">
        <v>1196</v>
      </c>
      <c r="AC1282" s="1">
        <v>0</v>
      </c>
      <c r="AD1282" s="1" t="s">
        <v>105</v>
      </c>
      <c r="AE1282" s="1" t="s">
        <v>70</v>
      </c>
      <c r="AG1282" s="1" t="s">
        <v>1197</v>
      </c>
      <c r="AH1282" s="1" t="s">
        <v>157</v>
      </c>
      <c r="AI1282" s="1" t="s">
        <v>75</v>
      </c>
      <c r="AK1282" s="1" t="s">
        <v>86</v>
      </c>
      <c r="AL1282" s="1" t="s">
        <v>87</v>
      </c>
      <c r="AM1282" s="1">
        <v>1</v>
      </c>
      <c r="AN1282" s="1">
        <v>0</v>
      </c>
      <c r="AO1282" s="1">
        <f t="shared" si="102"/>
        <v>1</v>
      </c>
    </row>
    <row r="1283" spans="1:41" x14ac:dyDescent="0.4">
      <c r="A1283" s="1">
        <v>1</v>
      </c>
      <c r="B1283" s="1" t="s">
        <v>1033</v>
      </c>
      <c r="C1283" s="1" t="s">
        <v>41</v>
      </c>
      <c r="D1283" s="2">
        <v>38937</v>
      </c>
      <c r="E1283" s="1">
        <v>220</v>
      </c>
      <c r="F1283" s="1">
        <v>4.2</v>
      </c>
      <c r="G1283" s="3">
        <v>0.38612268518518517</v>
      </c>
      <c r="H1283" s="3">
        <v>0.38618055555555553</v>
      </c>
      <c r="I1283" s="3">
        <v>5.7870370370360913E-5</v>
      </c>
      <c r="J1283" s="3">
        <v>5.7870370370360913E-5</v>
      </c>
      <c r="K1283" s="5">
        <f t="shared" si="103"/>
        <v>5</v>
      </c>
      <c r="L1283" s="3">
        <v>2.8703703703703565E-3</v>
      </c>
      <c r="N1283" s="1" t="s">
        <v>42</v>
      </c>
      <c r="O1283" s="1" t="s">
        <v>286</v>
      </c>
      <c r="P1283" s="1" t="s">
        <v>44</v>
      </c>
      <c r="Q1283" s="1" t="s">
        <v>76</v>
      </c>
      <c r="S1283" s="1" t="s">
        <v>46</v>
      </c>
      <c r="T1283" s="1" t="s">
        <v>45</v>
      </c>
      <c r="U1283" s="1" t="s">
        <v>92</v>
      </c>
      <c r="AB1283" s="1" t="s">
        <v>93</v>
      </c>
      <c r="AC1283" s="1">
        <v>1</v>
      </c>
      <c r="AG1283" s="1" t="s">
        <v>1198</v>
      </c>
      <c r="AI1283" s="1" t="s">
        <v>75</v>
      </c>
      <c r="AK1283" s="1" t="s">
        <v>86</v>
      </c>
      <c r="AL1283" s="1" t="s">
        <v>87</v>
      </c>
      <c r="AM1283" s="1">
        <v>3</v>
      </c>
      <c r="AN1283" s="1">
        <v>0</v>
      </c>
      <c r="AO1283" s="1">
        <f t="shared" ref="AO1283:AO1346" si="104">SUM(AM1283:AN1283)</f>
        <v>3</v>
      </c>
    </row>
    <row r="1284" spans="1:41" x14ac:dyDescent="0.4">
      <c r="A1284" s="1">
        <v>1</v>
      </c>
      <c r="B1284" s="1" t="s">
        <v>1033</v>
      </c>
      <c r="C1284" s="1" t="s">
        <v>41</v>
      </c>
      <c r="D1284" s="2">
        <v>38937</v>
      </c>
      <c r="E1284" s="1">
        <v>220</v>
      </c>
      <c r="F1284" s="1">
        <v>4.4000000000000004</v>
      </c>
      <c r="G1284" s="3">
        <v>0.38905092592592588</v>
      </c>
      <c r="H1284" s="3">
        <v>0.38916666666666666</v>
      </c>
      <c r="I1284" s="3">
        <v>1.1574074074077734E-4</v>
      </c>
      <c r="J1284" s="3">
        <v>1.1574074074077734E-4</v>
      </c>
      <c r="K1284" s="5">
        <f t="shared" si="103"/>
        <v>10</v>
      </c>
      <c r="L1284" s="3">
        <v>9.9768518518518756E-3</v>
      </c>
      <c r="N1284" s="1" t="s">
        <v>42</v>
      </c>
      <c r="O1284" s="1" t="s">
        <v>286</v>
      </c>
      <c r="P1284" s="1" t="s">
        <v>44</v>
      </c>
      <c r="Q1284" s="1" t="s">
        <v>76</v>
      </c>
      <c r="S1284" s="1" t="s">
        <v>46</v>
      </c>
      <c r="T1284" s="1" t="s">
        <v>45</v>
      </c>
      <c r="U1284" s="1" t="s">
        <v>156</v>
      </c>
      <c r="AB1284" s="1" t="s">
        <v>93</v>
      </c>
      <c r="AC1284" s="1">
        <v>1</v>
      </c>
      <c r="AG1284" s="1" t="s">
        <v>1198</v>
      </c>
      <c r="AI1284" s="1" t="s">
        <v>75</v>
      </c>
      <c r="AK1284" s="1" t="s">
        <v>86</v>
      </c>
      <c r="AL1284" s="1" t="s">
        <v>87</v>
      </c>
      <c r="AM1284" s="1">
        <v>3</v>
      </c>
      <c r="AN1284" s="1">
        <v>0</v>
      </c>
      <c r="AO1284" s="1">
        <f t="shared" si="104"/>
        <v>3</v>
      </c>
    </row>
    <row r="1285" spans="1:41" x14ac:dyDescent="0.4">
      <c r="A1285" s="1">
        <v>1</v>
      </c>
      <c r="B1285" s="1" t="s">
        <v>1033</v>
      </c>
      <c r="C1285" s="1" t="s">
        <v>41</v>
      </c>
      <c r="D1285" s="2">
        <v>38937</v>
      </c>
      <c r="E1285" s="1">
        <v>220</v>
      </c>
      <c r="F1285" s="1">
        <v>4.5999999999999996</v>
      </c>
      <c r="G1285" s="3">
        <v>0.39914351851851854</v>
      </c>
      <c r="H1285" s="3">
        <v>0.40056712962962965</v>
      </c>
      <c r="I1285" s="3">
        <v>1.4236111111111116E-3</v>
      </c>
      <c r="J1285" s="3">
        <v>2.6620370370361579E-4</v>
      </c>
      <c r="K1285" s="5">
        <f t="shared" si="103"/>
        <v>23</v>
      </c>
      <c r="L1285" s="3">
        <v>1.782407407407427E-3</v>
      </c>
      <c r="N1285" s="1" t="s">
        <v>42</v>
      </c>
      <c r="O1285" s="1" t="s">
        <v>286</v>
      </c>
      <c r="P1285" s="1" t="s">
        <v>44</v>
      </c>
      <c r="Q1285" s="1" t="s">
        <v>76</v>
      </c>
      <c r="S1285" s="1" t="s">
        <v>46</v>
      </c>
      <c r="T1285" s="1" t="s">
        <v>45</v>
      </c>
      <c r="U1285" s="1" t="s">
        <v>156</v>
      </c>
      <c r="AB1285" s="1" t="s">
        <v>93</v>
      </c>
      <c r="AC1285" s="1">
        <v>1</v>
      </c>
      <c r="AG1285" s="1" t="s">
        <v>1198</v>
      </c>
      <c r="AI1285" s="1" t="s">
        <v>75</v>
      </c>
      <c r="AK1285" s="1" t="s">
        <v>86</v>
      </c>
      <c r="AL1285" s="1" t="s">
        <v>87</v>
      </c>
      <c r="AM1285" s="1">
        <v>3</v>
      </c>
      <c r="AN1285" s="1">
        <v>0</v>
      </c>
      <c r="AO1285" s="1">
        <f t="shared" si="104"/>
        <v>3</v>
      </c>
    </row>
    <row r="1286" spans="1:41" x14ac:dyDescent="0.4">
      <c r="A1286" s="1">
        <v>1</v>
      </c>
      <c r="B1286" s="1" t="s">
        <v>1033</v>
      </c>
      <c r="C1286" s="1" t="s">
        <v>41</v>
      </c>
      <c r="D1286" s="2">
        <v>38937</v>
      </c>
      <c r="E1286" s="1">
        <v>220</v>
      </c>
      <c r="F1286" s="1">
        <v>4.8</v>
      </c>
      <c r="G1286" s="3">
        <v>0.40234953703703707</v>
      </c>
      <c r="H1286" s="3">
        <v>0.40283564814814815</v>
      </c>
      <c r="I1286" s="3">
        <v>4.8611111111107608E-4</v>
      </c>
      <c r="J1286" s="3">
        <v>4.8611111111107608E-4</v>
      </c>
      <c r="K1286" s="5">
        <f t="shared" si="103"/>
        <v>42</v>
      </c>
      <c r="L1286" s="3">
        <v>1.8472222222222223E-2</v>
      </c>
      <c r="N1286" s="1" t="s">
        <v>42</v>
      </c>
      <c r="O1286" s="1" t="s">
        <v>286</v>
      </c>
      <c r="P1286" s="1" t="s">
        <v>44</v>
      </c>
      <c r="Q1286" s="1" t="s">
        <v>45</v>
      </c>
      <c r="S1286" s="1" t="s">
        <v>46</v>
      </c>
      <c r="T1286" s="1" t="s">
        <v>76</v>
      </c>
      <c r="U1286" s="1" t="s">
        <v>156</v>
      </c>
      <c r="AB1286" s="1" t="s">
        <v>93</v>
      </c>
      <c r="AC1286" s="1">
        <v>1</v>
      </c>
      <c r="AI1286" s="1" t="s">
        <v>75</v>
      </c>
      <c r="AK1286" s="1" t="s">
        <v>86</v>
      </c>
      <c r="AL1286" s="1" t="s">
        <v>87</v>
      </c>
      <c r="AN1286" s="1">
        <v>1</v>
      </c>
      <c r="AO1286" s="1">
        <f t="shared" si="104"/>
        <v>1</v>
      </c>
    </row>
    <row r="1287" spans="1:41" x14ac:dyDescent="0.4">
      <c r="A1287" s="1">
        <v>1</v>
      </c>
      <c r="B1287" s="1" t="s">
        <v>1033</v>
      </c>
      <c r="C1287" s="1" t="s">
        <v>41</v>
      </c>
      <c r="D1287" s="2">
        <v>38937</v>
      </c>
      <c r="E1287" s="1">
        <v>220</v>
      </c>
      <c r="F1287" s="1">
        <v>5</v>
      </c>
      <c r="G1287" s="3">
        <v>0.42130787037037037</v>
      </c>
      <c r="H1287" s="3">
        <v>0.42285879629629625</v>
      </c>
      <c r="I1287" s="3">
        <v>1.5509259259258723E-3</v>
      </c>
      <c r="J1287" s="3">
        <v>1.1458333333332904E-3</v>
      </c>
      <c r="K1287" s="5">
        <f t="shared" si="103"/>
        <v>99</v>
      </c>
      <c r="L1287" s="3">
        <v>5.3587962962963753E-3</v>
      </c>
      <c r="N1287" s="1" t="s">
        <v>42</v>
      </c>
      <c r="O1287" s="1" t="s">
        <v>286</v>
      </c>
      <c r="P1287" s="1" t="s">
        <v>44</v>
      </c>
      <c r="Q1287" s="1" t="s">
        <v>76</v>
      </c>
      <c r="S1287" s="1" t="s">
        <v>46</v>
      </c>
      <c r="T1287" s="1" t="s">
        <v>76</v>
      </c>
      <c r="U1287" s="1" t="s">
        <v>92</v>
      </c>
      <c r="V1287" s="1" t="s">
        <v>67</v>
      </c>
      <c r="W1287" s="1" t="s">
        <v>68</v>
      </c>
      <c r="X1287" s="1" t="s">
        <v>96</v>
      </c>
      <c r="Y1287" s="1" t="s">
        <v>421</v>
      </c>
      <c r="AB1287" s="1" t="s">
        <v>422</v>
      </c>
      <c r="AC1287" s="1">
        <v>0</v>
      </c>
      <c r="AD1287" s="1" t="s">
        <v>68</v>
      </c>
      <c r="AE1287" s="1" t="s">
        <v>70</v>
      </c>
      <c r="AH1287" s="1" t="s">
        <v>157</v>
      </c>
      <c r="AI1287" s="1" t="s">
        <v>75</v>
      </c>
      <c r="AK1287" s="1" t="s">
        <v>61</v>
      </c>
      <c r="AL1287" s="1" t="s">
        <v>72</v>
      </c>
      <c r="AN1287" s="1">
        <v>1</v>
      </c>
      <c r="AO1287" s="1">
        <f t="shared" si="104"/>
        <v>1</v>
      </c>
    </row>
    <row r="1288" spans="1:41" x14ac:dyDescent="0.4">
      <c r="A1288" s="1">
        <v>1</v>
      </c>
      <c r="B1288" s="1" t="s">
        <v>1033</v>
      </c>
      <c r="C1288" s="1" t="s">
        <v>41</v>
      </c>
      <c r="D1288" s="2">
        <v>38937</v>
      </c>
      <c r="E1288" s="1">
        <v>220</v>
      </c>
      <c r="F1288" s="1">
        <v>5.5</v>
      </c>
      <c r="G1288" s="3">
        <v>0.42821759259259262</v>
      </c>
      <c r="H1288" s="3">
        <v>0.42881944444444442</v>
      </c>
      <c r="I1288" s="3">
        <v>6.018518518517979E-4</v>
      </c>
      <c r="J1288" s="3">
        <v>3.2407407407403221E-4</v>
      </c>
      <c r="K1288" s="5">
        <f t="shared" si="103"/>
        <v>28</v>
      </c>
      <c r="L1288" s="3">
        <v>1.1770833333333341E-2</v>
      </c>
      <c r="N1288" s="1" t="s">
        <v>42</v>
      </c>
      <c r="O1288" s="1" t="s">
        <v>286</v>
      </c>
      <c r="P1288" s="1" t="s">
        <v>44</v>
      </c>
      <c r="Q1288" s="1" t="s">
        <v>76</v>
      </c>
      <c r="S1288" s="1" t="s">
        <v>46</v>
      </c>
      <c r="T1288" s="1" t="s">
        <v>76</v>
      </c>
      <c r="U1288" s="1" t="s">
        <v>156</v>
      </c>
      <c r="AB1288" s="1" t="s">
        <v>93</v>
      </c>
      <c r="AC1288" s="1">
        <v>1</v>
      </c>
      <c r="AI1288" s="1" t="s">
        <v>75</v>
      </c>
      <c r="AK1288" s="1" t="s">
        <v>86</v>
      </c>
      <c r="AL1288" s="1" t="s">
        <v>87</v>
      </c>
      <c r="AN1288" s="1">
        <v>1</v>
      </c>
      <c r="AO1288" s="1">
        <f t="shared" si="104"/>
        <v>1</v>
      </c>
    </row>
    <row r="1289" spans="1:41" x14ac:dyDescent="0.4">
      <c r="A1289" s="1">
        <v>1</v>
      </c>
      <c r="B1289" s="1" t="s">
        <v>1033</v>
      </c>
      <c r="C1289" s="1" t="s">
        <v>41</v>
      </c>
      <c r="D1289" s="2">
        <v>38937</v>
      </c>
      <c r="E1289" s="1">
        <v>220</v>
      </c>
      <c r="F1289" s="1">
        <v>6</v>
      </c>
      <c r="G1289" s="3">
        <v>0.44059027777777776</v>
      </c>
      <c r="H1289" s="3">
        <v>0.44282407407407409</v>
      </c>
      <c r="I1289" s="3">
        <v>2.2337962962963309E-3</v>
      </c>
      <c r="J1289" s="3">
        <v>1.4930555555555669E-3</v>
      </c>
      <c r="K1289" s="5">
        <f t="shared" si="103"/>
        <v>129</v>
      </c>
      <c r="L1289" s="3">
        <v>5.9374999999999845E-3</v>
      </c>
      <c r="N1289" s="1" t="s">
        <v>42</v>
      </c>
      <c r="O1289" s="1" t="s">
        <v>286</v>
      </c>
      <c r="P1289" s="1" t="s">
        <v>44</v>
      </c>
      <c r="Q1289" s="1" t="s">
        <v>76</v>
      </c>
      <c r="S1289" s="1" t="s">
        <v>46</v>
      </c>
      <c r="T1289" s="1" t="s">
        <v>47</v>
      </c>
      <c r="U1289" s="1" t="s">
        <v>156</v>
      </c>
      <c r="V1289" s="1" t="s">
        <v>67</v>
      </c>
      <c r="W1289" s="1" t="s">
        <v>68</v>
      </c>
      <c r="X1289" s="1" t="s">
        <v>614</v>
      </c>
      <c r="Y1289" s="1" t="s">
        <v>1199</v>
      </c>
      <c r="AB1289" s="1" t="s">
        <v>1200</v>
      </c>
      <c r="AC1289" s="1">
        <v>0</v>
      </c>
      <c r="AD1289" s="1" t="s">
        <v>68</v>
      </c>
      <c r="AE1289" s="1" t="s">
        <v>57</v>
      </c>
      <c r="AG1289" s="1" t="s">
        <v>1201</v>
      </c>
      <c r="AH1289" s="1" t="s">
        <v>157</v>
      </c>
      <c r="AI1289" s="1" t="s">
        <v>75</v>
      </c>
      <c r="AK1289" s="1" t="s">
        <v>86</v>
      </c>
      <c r="AL1289" s="1" t="s">
        <v>187</v>
      </c>
      <c r="AM1289" s="1">
        <v>1</v>
      </c>
      <c r="AN1289" s="1">
        <v>0</v>
      </c>
      <c r="AO1289" s="1">
        <f t="shared" si="104"/>
        <v>1</v>
      </c>
    </row>
    <row r="1290" spans="1:41" x14ac:dyDescent="0.4">
      <c r="A1290" s="1">
        <v>1</v>
      </c>
      <c r="B1290" s="1" t="s">
        <v>1033</v>
      </c>
      <c r="C1290" s="1" t="s">
        <v>41</v>
      </c>
      <c r="D1290" s="2">
        <v>38937</v>
      </c>
      <c r="E1290" s="1">
        <v>220</v>
      </c>
      <c r="F1290" s="1">
        <v>6.1</v>
      </c>
      <c r="G1290" s="3">
        <v>0.44876157407407408</v>
      </c>
      <c r="H1290" s="3">
        <v>0.44885416666666672</v>
      </c>
      <c r="I1290" s="3">
        <v>9.2592592592644074E-5</v>
      </c>
      <c r="J1290" s="3">
        <v>9.2592592592644074E-5</v>
      </c>
      <c r="K1290" s="5">
        <f t="shared" si="103"/>
        <v>8</v>
      </c>
      <c r="L1290" s="3">
        <v>7.1990740740739967E-3</v>
      </c>
      <c r="N1290" s="1" t="s">
        <v>42</v>
      </c>
      <c r="O1290" s="1" t="s">
        <v>286</v>
      </c>
      <c r="P1290" s="1" t="s">
        <v>44</v>
      </c>
      <c r="Q1290" s="1" t="s">
        <v>45</v>
      </c>
      <c r="S1290" s="1" t="s">
        <v>46</v>
      </c>
      <c r="T1290" s="1" t="s">
        <v>47</v>
      </c>
      <c r="U1290" s="1" t="s">
        <v>92</v>
      </c>
      <c r="AB1290" s="1" t="s">
        <v>93</v>
      </c>
      <c r="AC1290" s="1">
        <v>1</v>
      </c>
      <c r="AG1290" s="1" t="s">
        <v>1202</v>
      </c>
      <c r="AI1290" s="1" t="s">
        <v>75</v>
      </c>
      <c r="AK1290" s="1" t="s">
        <v>86</v>
      </c>
      <c r="AL1290" s="1" t="s">
        <v>133</v>
      </c>
      <c r="AM1290" s="1">
        <v>1</v>
      </c>
      <c r="AN1290" s="1">
        <v>0</v>
      </c>
      <c r="AO1290" s="1">
        <f t="shared" si="104"/>
        <v>1</v>
      </c>
    </row>
    <row r="1291" spans="1:41" x14ac:dyDescent="0.4">
      <c r="A1291" s="1">
        <v>1</v>
      </c>
      <c r="B1291" s="1" t="s">
        <v>1033</v>
      </c>
      <c r="C1291" s="1" t="s">
        <v>41</v>
      </c>
      <c r="D1291" s="2">
        <v>38937</v>
      </c>
      <c r="E1291" s="1">
        <v>220</v>
      </c>
      <c r="F1291" s="1">
        <v>6.2</v>
      </c>
      <c r="G1291" s="3">
        <v>0.45605324074074072</v>
      </c>
      <c r="H1291" s="3">
        <v>0.45618055555555559</v>
      </c>
      <c r="I1291" s="3">
        <v>1.2731481481487172E-4</v>
      </c>
      <c r="J1291" s="3">
        <v>1.2731481481487172E-4</v>
      </c>
      <c r="K1291" s="5">
        <f t="shared" si="103"/>
        <v>11</v>
      </c>
      <c r="L1291" s="3">
        <v>0.10577546296296292</v>
      </c>
      <c r="N1291" s="1" t="s">
        <v>251</v>
      </c>
      <c r="O1291" s="1" t="s">
        <v>286</v>
      </c>
      <c r="P1291" s="1" t="s">
        <v>44</v>
      </c>
      <c r="Q1291" s="1" t="s">
        <v>45</v>
      </c>
      <c r="S1291" s="1" t="s">
        <v>46</v>
      </c>
      <c r="T1291" s="1" t="s">
        <v>47</v>
      </c>
      <c r="U1291" s="1" t="s">
        <v>156</v>
      </c>
      <c r="AB1291" s="1" t="s">
        <v>93</v>
      </c>
      <c r="AC1291" s="1">
        <v>1</v>
      </c>
      <c r="AG1291" s="1" t="s">
        <v>1203</v>
      </c>
      <c r="AI1291" s="1" t="s">
        <v>255</v>
      </c>
      <c r="AK1291" s="1" t="s">
        <v>86</v>
      </c>
      <c r="AL1291" s="1" t="s">
        <v>133</v>
      </c>
      <c r="AM1291" s="1">
        <v>1</v>
      </c>
      <c r="AN1291" s="1">
        <v>0</v>
      </c>
      <c r="AO1291" s="1">
        <f t="shared" si="104"/>
        <v>1</v>
      </c>
    </row>
    <row r="1292" spans="1:41" x14ac:dyDescent="0.4">
      <c r="A1292" s="1">
        <v>1</v>
      </c>
      <c r="B1292" s="1" t="s">
        <v>1033</v>
      </c>
      <c r="C1292" s="1" t="s">
        <v>41</v>
      </c>
      <c r="D1292" s="2">
        <v>38937</v>
      </c>
      <c r="E1292" s="1">
        <v>220</v>
      </c>
      <c r="F1292" s="1">
        <v>6.3</v>
      </c>
      <c r="G1292" s="3">
        <v>0.56195601851851851</v>
      </c>
      <c r="H1292" s="3">
        <v>0.56761574074074073</v>
      </c>
      <c r="I1292" s="3">
        <v>5.6597222222222188E-3</v>
      </c>
      <c r="J1292" s="3">
        <v>4.6296296296266526E-5</v>
      </c>
      <c r="K1292" s="5">
        <f t="shared" si="103"/>
        <v>4</v>
      </c>
      <c r="L1292" s="3">
        <v>3.9351851851852082E-3</v>
      </c>
      <c r="N1292" s="1" t="s">
        <v>42</v>
      </c>
      <c r="O1292" s="1" t="s">
        <v>286</v>
      </c>
      <c r="P1292" s="1" t="s">
        <v>44</v>
      </c>
      <c r="Q1292" s="1" t="s">
        <v>45</v>
      </c>
      <c r="S1292" s="1" t="s">
        <v>46</v>
      </c>
      <c r="T1292" s="1" t="s">
        <v>47</v>
      </c>
      <c r="U1292" s="1" t="s">
        <v>156</v>
      </c>
      <c r="AB1292" s="1" t="s">
        <v>93</v>
      </c>
      <c r="AC1292" s="1">
        <v>1</v>
      </c>
      <c r="AG1292" s="1" t="s">
        <v>1204</v>
      </c>
      <c r="AI1292" s="1" t="s">
        <v>75</v>
      </c>
      <c r="AK1292" s="1" t="s">
        <v>86</v>
      </c>
      <c r="AL1292" s="1" t="s">
        <v>133</v>
      </c>
      <c r="AM1292" s="1">
        <v>1</v>
      </c>
      <c r="AN1292" s="1">
        <v>0</v>
      </c>
      <c r="AO1292" s="1">
        <f t="shared" si="104"/>
        <v>1</v>
      </c>
    </row>
    <row r="1293" spans="1:41" x14ac:dyDescent="0.4">
      <c r="A1293" s="1">
        <v>1</v>
      </c>
      <c r="B1293" s="1" t="s">
        <v>1033</v>
      </c>
      <c r="C1293" s="1" t="s">
        <v>41</v>
      </c>
      <c r="D1293" s="2">
        <v>38937</v>
      </c>
      <c r="E1293" s="1">
        <v>220</v>
      </c>
      <c r="F1293" s="1">
        <v>6.5</v>
      </c>
      <c r="G1293" s="3">
        <v>0.57155092592592593</v>
      </c>
      <c r="H1293" s="3">
        <v>0.57156249999999997</v>
      </c>
      <c r="I1293" s="3">
        <v>1.1574074074038876E-5</v>
      </c>
      <c r="J1293" s="3">
        <v>1.1574074074038876E-5</v>
      </c>
      <c r="K1293" s="5">
        <f t="shared" si="103"/>
        <v>1</v>
      </c>
      <c r="L1293" s="3">
        <v>4.6180555555556113E-3</v>
      </c>
      <c r="N1293" s="1" t="s">
        <v>42</v>
      </c>
      <c r="O1293" s="1" t="s">
        <v>286</v>
      </c>
      <c r="P1293" s="1" t="s">
        <v>44</v>
      </c>
      <c r="Q1293" s="1" t="s">
        <v>132</v>
      </c>
      <c r="S1293" s="1" t="s">
        <v>46</v>
      </c>
      <c r="T1293" s="1" t="s">
        <v>45</v>
      </c>
      <c r="U1293" s="1" t="s">
        <v>66</v>
      </c>
      <c r="AB1293" s="1" t="s">
        <v>93</v>
      </c>
      <c r="AC1293" s="1">
        <v>1</v>
      </c>
      <c r="AG1293" s="1" t="s">
        <v>1205</v>
      </c>
      <c r="AI1293" s="1" t="s">
        <v>71</v>
      </c>
      <c r="AK1293" s="1" t="s">
        <v>86</v>
      </c>
      <c r="AL1293" s="1" t="s">
        <v>133</v>
      </c>
      <c r="AM1293" s="1">
        <v>3</v>
      </c>
      <c r="AN1293" s="1">
        <v>0</v>
      </c>
      <c r="AO1293" s="1">
        <f t="shared" si="104"/>
        <v>3</v>
      </c>
    </row>
    <row r="1294" spans="1:41" x14ac:dyDescent="0.4">
      <c r="A1294" s="1">
        <v>1</v>
      </c>
      <c r="B1294" s="1" t="s">
        <v>1033</v>
      </c>
      <c r="C1294" s="1" t="s">
        <v>41</v>
      </c>
      <c r="D1294" s="2">
        <v>38937</v>
      </c>
      <c r="E1294" s="1">
        <v>220</v>
      </c>
      <c r="F1294" s="1">
        <v>6.6</v>
      </c>
      <c r="G1294" s="3">
        <v>0.57618055555555558</v>
      </c>
      <c r="H1294" s="3">
        <v>0.58912037037037035</v>
      </c>
      <c r="I1294" s="3">
        <v>1.2939814814814765E-2</v>
      </c>
      <c r="J1294" s="3">
        <v>4.6296296296299833E-4</v>
      </c>
      <c r="K1294" s="5">
        <f t="shared" si="103"/>
        <v>40</v>
      </c>
      <c r="L1294" s="3">
        <v>1.4583333333333393E-3</v>
      </c>
      <c r="N1294" s="1" t="s">
        <v>42</v>
      </c>
      <c r="O1294" s="1" t="s">
        <v>286</v>
      </c>
      <c r="P1294" s="1" t="s">
        <v>44</v>
      </c>
      <c r="Q1294" s="1" t="s">
        <v>132</v>
      </c>
      <c r="S1294" s="1" t="s">
        <v>46</v>
      </c>
      <c r="T1294" s="1" t="s">
        <v>45</v>
      </c>
      <c r="U1294" s="1" t="s">
        <v>156</v>
      </c>
      <c r="V1294" s="1" t="s">
        <v>67</v>
      </c>
      <c r="W1294" s="1" t="s">
        <v>68</v>
      </c>
      <c r="Y1294" s="1" t="s">
        <v>68</v>
      </c>
      <c r="AB1294" s="1" t="s">
        <v>69</v>
      </c>
      <c r="AC1294" s="1">
        <v>0</v>
      </c>
      <c r="AD1294" s="1" t="s">
        <v>68</v>
      </c>
      <c r="AE1294" s="1" t="s">
        <v>70</v>
      </c>
      <c r="AG1294" s="1" t="s">
        <v>1205</v>
      </c>
      <c r="AI1294" s="1" t="s">
        <v>75</v>
      </c>
      <c r="AK1294" s="1" t="s">
        <v>86</v>
      </c>
      <c r="AL1294" s="1" t="s">
        <v>133</v>
      </c>
      <c r="AM1294" s="1">
        <v>3</v>
      </c>
      <c r="AN1294" s="1">
        <v>0</v>
      </c>
      <c r="AO1294" s="1">
        <f t="shared" si="104"/>
        <v>3</v>
      </c>
    </row>
    <row r="1295" spans="1:41" x14ac:dyDescent="0.4">
      <c r="A1295" s="1">
        <v>1</v>
      </c>
      <c r="B1295" s="1" t="s">
        <v>1033</v>
      </c>
      <c r="C1295" s="1" t="s">
        <v>41</v>
      </c>
      <c r="D1295" s="2">
        <v>38937</v>
      </c>
      <c r="E1295" s="1">
        <v>220</v>
      </c>
      <c r="F1295" s="1">
        <v>6.7</v>
      </c>
      <c r="G1295" s="3">
        <v>0.59057870370370369</v>
      </c>
      <c r="H1295" s="3">
        <v>0.59069444444444441</v>
      </c>
      <c r="I1295" s="3">
        <v>1.1574074074072183E-4</v>
      </c>
      <c r="J1295" s="3">
        <v>1.1574074074072183E-4</v>
      </c>
      <c r="K1295" s="5">
        <f t="shared" si="103"/>
        <v>10</v>
      </c>
      <c r="L1295" s="3">
        <v>2.9282407407408284E-3</v>
      </c>
      <c r="N1295" s="1" t="s">
        <v>42</v>
      </c>
      <c r="O1295" s="1" t="s">
        <v>286</v>
      </c>
      <c r="P1295" s="1" t="s">
        <v>44</v>
      </c>
      <c r="Q1295" s="1" t="s">
        <v>132</v>
      </c>
      <c r="S1295" s="1" t="s">
        <v>46</v>
      </c>
      <c r="T1295" s="1" t="s">
        <v>76</v>
      </c>
      <c r="U1295" s="1" t="s">
        <v>156</v>
      </c>
      <c r="AB1295" s="1" t="s">
        <v>93</v>
      </c>
      <c r="AC1295" s="1">
        <v>1</v>
      </c>
      <c r="AG1295" s="1" t="s">
        <v>1205</v>
      </c>
      <c r="AI1295" s="1" t="s">
        <v>75</v>
      </c>
      <c r="AK1295" s="1" t="s">
        <v>86</v>
      </c>
      <c r="AL1295" s="1" t="s">
        <v>133</v>
      </c>
      <c r="AM1295" s="1">
        <v>3</v>
      </c>
      <c r="AN1295" s="1">
        <v>0</v>
      </c>
      <c r="AO1295" s="1">
        <f t="shared" si="104"/>
        <v>3</v>
      </c>
    </row>
    <row r="1296" spans="1:41" x14ac:dyDescent="0.4">
      <c r="A1296" s="1">
        <v>1</v>
      </c>
      <c r="B1296" s="1" t="s">
        <v>1033</v>
      </c>
      <c r="C1296" s="1" t="s">
        <v>41</v>
      </c>
      <c r="D1296" s="2">
        <v>38937</v>
      </c>
      <c r="E1296" s="1">
        <v>220</v>
      </c>
      <c r="F1296" s="1">
        <v>7</v>
      </c>
      <c r="G1296" s="3">
        <v>0.59362268518518524</v>
      </c>
      <c r="H1296" s="3">
        <v>0.59745370370370365</v>
      </c>
      <c r="I1296" s="3">
        <v>3.8310185185184142E-3</v>
      </c>
      <c r="J1296" s="3">
        <v>1.8634259259258101E-3</v>
      </c>
      <c r="K1296" s="5">
        <f t="shared" si="103"/>
        <v>161</v>
      </c>
      <c r="L1296" s="3">
        <v>1.4583333333333393E-3</v>
      </c>
      <c r="N1296" s="1" t="s">
        <v>42</v>
      </c>
      <c r="O1296" s="1" t="s">
        <v>286</v>
      </c>
      <c r="P1296" s="1" t="s">
        <v>44</v>
      </c>
      <c r="Q1296" s="1" t="s">
        <v>132</v>
      </c>
      <c r="S1296" s="1" t="s">
        <v>46</v>
      </c>
      <c r="T1296" s="1" t="s">
        <v>76</v>
      </c>
      <c r="U1296" s="1" t="s">
        <v>66</v>
      </c>
      <c r="V1296" s="1" t="s">
        <v>102</v>
      </c>
      <c r="W1296" s="1" t="s">
        <v>103</v>
      </c>
      <c r="X1296" s="1" t="s">
        <v>96</v>
      </c>
      <c r="AB1296" s="1" t="s">
        <v>104</v>
      </c>
      <c r="AC1296" s="1">
        <v>0</v>
      </c>
      <c r="AD1296" s="1" t="s">
        <v>105</v>
      </c>
      <c r="AE1296" s="1" t="s">
        <v>70</v>
      </c>
      <c r="AH1296" s="1" t="s">
        <v>157</v>
      </c>
      <c r="AI1296" s="1" t="s">
        <v>71</v>
      </c>
      <c r="AK1296" s="1" t="s">
        <v>86</v>
      </c>
      <c r="AL1296" s="1" t="s">
        <v>133</v>
      </c>
      <c r="AN1296" s="1">
        <v>1</v>
      </c>
      <c r="AO1296" s="1">
        <f t="shared" si="104"/>
        <v>1</v>
      </c>
    </row>
    <row r="1297" spans="1:41" x14ac:dyDescent="0.4">
      <c r="A1297" s="1">
        <v>1</v>
      </c>
      <c r="B1297" s="1" t="s">
        <v>1033</v>
      </c>
      <c r="C1297" s="1" t="s">
        <v>41</v>
      </c>
      <c r="D1297" s="2">
        <v>38937</v>
      </c>
      <c r="E1297" s="1">
        <v>220</v>
      </c>
      <c r="F1297" s="1">
        <v>7.1</v>
      </c>
      <c r="G1297" s="3">
        <v>0.59891203703703699</v>
      </c>
      <c r="H1297" s="3">
        <v>0.61611111111111116</v>
      </c>
      <c r="I1297" s="3">
        <v>1.7199074074074172E-2</v>
      </c>
      <c r="J1297" s="3">
        <v>1.3310185185186896E-3</v>
      </c>
      <c r="K1297" s="5">
        <f t="shared" si="103"/>
        <v>115</v>
      </c>
      <c r="L1297" s="3">
        <v>8.310185185185115E-3</v>
      </c>
      <c r="N1297" s="1" t="s">
        <v>42</v>
      </c>
      <c r="O1297" s="1" t="s">
        <v>286</v>
      </c>
      <c r="P1297" s="1" t="s">
        <v>44</v>
      </c>
      <c r="Q1297" s="1" t="s">
        <v>132</v>
      </c>
      <c r="S1297" s="1" t="s">
        <v>46</v>
      </c>
      <c r="T1297" s="1" t="s">
        <v>45</v>
      </c>
      <c r="U1297" s="1" t="s">
        <v>92</v>
      </c>
      <c r="V1297" s="1" t="s">
        <v>67</v>
      </c>
      <c r="W1297" s="1" t="s">
        <v>68</v>
      </c>
      <c r="Y1297" s="1" t="s">
        <v>68</v>
      </c>
      <c r="AB1297" s="1" t="s">
        <v>69</v>
      </c>
      <c r="AC1297" s="1">
        <v>0</v>
      </c>
      <c r="AD1297" s="1" t="s">
        <v>68</v>
      </c>
      <c r="AE1297" s="1" t="s">
        <v>70</v>
      </c>
      <c r="AG1297" s="1" t="s">
        <v>1107</v>
      </c>
      <c r="AI1297" s="1" t="s">
        <v>75</v>
      </c>
      <c r="AK1297" s="1" t="s">
        <v>86</v>
      </c>
      <c r="AL1297" s="1" t="s">
        <v>133</v>
      </c>
      <c r="AM1297" s="1">
        <v>2</v>
      </c>
      <c r="AN1297" s="1">
        <v>0</v>
      </c>
      <c r="AO1297" s="1">
        <f t="shared" si="104"/>
        <v>2</v>
      </c>
    </row>
    <row r="1298" spans="1:41" x14ac:dyDescent="0.4">
      <c r="A1298" s="1">
        <v>1</v>
      </c>
      <c r="B1298" s="1" t="s">
        <v>1033</v>
      </c>
      <c r="C1298" s="1" t="s">
        <v>41</v>
      </c>
      <c r="D1298" s="2">
        <v>38937</v>
      </c>
      <c r="E1298" s="1">
        <v>220</v>
      </c>
      <c r="F1298" s="1">
        <v>7.7</v>
      </c>
      <c r="G1298" s="3">
        <v>0.62442129629629628</v>
      </c>
      <c r="H1298" s="3">
        <v>0.62446759259259255</v>
      </c>
      <c r="I1298" s="3">
        <v>4.6296296296266526E-5</v>
      </c>
      <c r="J1298" s="3">
        <v>4.6296296296266526E-5</v>
      </c>
      <c r="K1298" s="5">
        <f t="shared" si="103"/>
        <v>4</v>
      </c>
      <c r="L1298" s="3">
        <v>1.3217592592592586E-2</v>
      </c>
      <c r="N1298" s="1" t="s">
        <v>42</v>
      </c>
      <c r="O1298" s="1" t="s">
        <v>286</v>
      </c>
      <c r="P1298" s="1" t="s">
        <v>44</v>
      </c>
      <c r="Q1298" s="1" t="s">
        <v>191</v>
      </c>
      <c r="S1298" s="1" t="s">
        <v>46</v>
      </c>
      <c r="T1298" s="1" t="s">
        <v>47</v>
      </c>
      <c r="U1298" s="1" t="s">
        <v>156</v>
      </c>
      <c r="AB1298" s="1" t="s">
        <v>93</v>
      </c>
      <c r="AC1298" s="1">
        <v>1</v>
      </c>
      <c r="AG1298" s="1" t="s">
        <v>1206</v>
      </c>
      <c r="AI1298" s="1" t="s">
        <v>75</v>
      </c>
      <c r="AK1298" s="1" t="s">
        <v>86</v>
      </c>
      <c r="AL1298" s="1" t="s">
        <v>87</v>
      </c>
      <c r="AM1298" s="1">
        <v>1</v>
      </c>
      <c r="AN1298" s="1">
        <v>0</v>
      </c>
      <c r="AO1298" s="1">
        <f t="shared" si="104"/>
        <v>1</v>
      </c>
    </row>
    <row r="1299" spans="1:41" x14ac:dyDescent="0.4">
      <c r="A1299" s="1">
        <v>1</v>
      </c>
      <c r="B1299" s="1" t="s">
        <v>1033</v>
      </c>
      <c r="C1299" s="1" t="s">
        <v>41</v>
      </c>
      <c r="D1299" s="2">
        <v>38937</v>
      </c>
      <c r="E1299" s="1">
        <v>220</v>
      </c>
      <c r="F1299" s="1">
        <v>7.9</v>
      </c>
      <c r="G1299" s="3">
        <v>0.63768518518518513</v>
      </c>
      <c r="H1299" s="3">
        <v>0.63773148148148151</v>
      </c>
      <c r="I1299" s="3">
        <v>4.6296296296377548E-5</v>
      </c>
      <c r="J1299" s="3">
        <v>4.6296296296377548E-5</v>
      </c>
      <c r="K1299" s="5">
        <f t="shared" si="103"/>
        <v>4</v>
      </c>
      <c r="L1299" s="3">
        <v>3.3969907407407351E-2</v>
      </c>
      <c r="N1299" s="1" t="s">
        <v>42</v>
      </c>
      <c r="O1299" s="1" t="s">
        <v>286</v>
      </c>
      <c r="P1299" s="1" t="s">
        <v>44</v>
      </c>
      <c r="Q1299" s="1" t="s">
        <v>91</v>
      </c>
      <c r="S1299" s="1" t="s">
        <v>46</v>
      </c>
      <c r="T1299" s="1" t="s">
        <v>47</v>
      </c>
      <c r="U1299" s="1" t="s">
        <v>92</v>
      </c>
      <c r="AB1299" s="1" t="s">
        <v>93</v>
      </c>
      <c r="AC1299" s="1">
        <v>1</v>
      </c>
      <c r="AG1299" s="1" t="s">
        <v>1207</v>
      </c>
      <c r="AI1299" s="1" t="s">
        <v>75</v>
      </c>
      <c r="AK1299" s="1" t="s">
        <v>86</v>
      </c>
      <c r="AL1299" s="1" t="s">
        <v>87</v>
      </c>
      <c r="AM1299" s="1">
        <v>1</v>
      </c>
      <c r="AN1299" s="1">
        <v>0</v>
      </c>
      <c r="AO1299" s="1">
        <f t="shared" si="104"/>
        <v>1</v>
      </c>
    </row>
    <row r="1300" spans="1:41" x14ac:dyDescent="0.4">
      <c r="A1300" s="1">
        <v>1</v>
      </c>
      <c r="B1300" s="1" t="s">
        <v>1033</v>
      </c>
      <c r="C1300" s="1" t="s">
        <v>41</v>
      </c>
      <c r="D1300" s="2">
        <v>38937</v>
      </c>
      <c r="E1300" s="1">
        <v>220</v>
      </c>
      <c r="F1300" s="1">
        <v>8</v>
      </c>
      <c r="G1300" s="3">
        <v>0.67170138888888886</v>
      </c>
      <c r="H1300" s="3">
        <v>0.68402777777777779</v>
      </c>
      <c r="I1300" s="3">
        <v>1.2326388888888928E-2</v>
      </c>
      <c r="J1300" s="3">
        <v>1.0694444444444562E-2</v>
      </c>
      <c r="K1300" s="5">
        <f t="shared" si="103"/>
        <v>924</v>
      </c>
      <c r="L1300" s="3">
        <v>7.2453703703703187E-3</v>
      </c>
      <c r="N1300" s="1" t="s">
        <v>42</v>
      </c>
      <c r="O1300" s="1" t="s">
        <v>286</v>
      </c>
      <c r="P1300" s="1" t="s">
        <v>44</v>
      </c>
      <c r="Q1300" s="1" t="s">
        <v>76</v>
      </c>
      <c r="S1300" s="1" t="s">
        <v>46</v>
      </c>
      <c r="T1300" s="1" t="s">
        <v>124</v>
      </c>
      <c r="U1300" s="1" t="s">
        <v>156</v>
      </c>
      <c r="V1300" s="1" t="s">
        <v>49</v>
      </c>
      <c r="W1300" s="1" t="s">
        <v>77</v>
      </c>
      <c r="X1300" s="1" t="s">
        <v>375</v>
      </c>
      <c r="Y1300" s="1" t="s">
        <v>376</v>
      </c>
      <c r="Z1300" s="1">
        <v>2</v>
      </c>
      <c r="AB1300" s="1" t="s">
        <v>377</v>
      </c>
      <c r="AC1300" s="1">
        <v>0</v>
      </c>
      <c r="AD1300" s="1" t="s">
        <v>56</v>
      </c>
      <c r="AE1300" s="1" t="s">
        <v>83</v>
      </c>
      <c r="AF1300" s="1" t="s">
        <v>84</v>
      </c>
      <c r="AG1300" s="1" t="s">
        <v>1152</v>
      </c>
      <c r="AH1300" s="1" t="s">
        <v>59</v>
      </c>
      <c r="AI1300" s="1" t="s">
        <v>75</v>
      </c>
      <c r="AK1300" s="1" t="s">
        <v>86</v>
      </c>
      <c r="AL1300" s="1" t="s">
        <v>187</v>
      </c>
      <c r="AM1300" s="1">
        <v>5</v>
      </c>
      <c r="AN1300" s="1">
        <v>0</v>
      </c>
      <c r="AO1300" s="1">
        <f t="shared" si="104"/>
        <v>5</v>
      </c>
    </row>
    <row r="1301" spans="1:41" x14ac:dyDescent="0.4">
      <c r="A1301" s="1">
        <v>1</v>
      </c>
      <c r="B1301" s="1" t="s">
        <v>1033</v>
      </c>
      <c r="C1301" s="1" t="s">
        <v>41</v>
      </c>
      <c r="D1301" s="2">
        <v>38937</v>
      </c>
      <c r="E1301" s="1">
        <v>220</v>
      </c>
      <c r="F1301" s="1">
        <v>9</v>
      </c>
      <c r="G1301" s="3">
        <v>0.69127314814814811</v>
      </c>
      <c r="H1301" s="3">
        <v>0.69236111111111109</v>
      </c>
      <c r="I1301" s="3">
        <v>1.087962962962985E-3</v>
      </c>
      <c r="J1301" s="3">
        <v>1.087962962962985E-3</v>
      </c>
      <c r="K1301" s="5">
        <f t="shared" si="103"/>
        <v>94</v>
      </c>
      <c r="L1301" s="3">
        <v>4.3865740740741677E-3</v>
      </c>
      <c r="N1301" s="1" t="s">
        <v>42</v>
      </c>
      <c r="O1301" s="1" t="s">
        <v>286</v>
      </c>
      <c r="P1301" s="1" t="s">
        <v>44</v>
      </c>
      <c r="Q1301" s="1" t="s">
        <v>76</v>
      </c>
      <c r="S1301" s="1" t="s">
        <v>46</v>
      </c>
      <c r="T1301" s="1" t="s">
        <v>76</v>
      </c>
      <c r="U1301" s="1" t="s">
        <v>66</v>
      </c>
      <c r="V1301" s="1" t="s">
        <v>102</v>
      </c>
      <c r="W1301" s="1" t="s">
        <v>103</v>
      </c>
      <c r="X1301" s="1" t="s">
        <v>659</v>
      </c>
      <c r="Y1301" s="1" t="s">
        <v>52</v>
      </c>
      <c r="AB1301" s="1" t="s">
        <v>225</v>
      </c>
      <c r="AC1301" s="1">
        <v>0</v>
      </c>
      <c r="AD1301" s="1" t="s">
        <v>56</v>
      </c>
      <c r="AE1301" s="1" t="s">
        <v>181</v>
      </c>
      <c r="AG1301" s="1" t="s">
        <v>1208</v>
      </c>
      <c r="AH1301" s="1" t="s">
        <v>157</v>
      </c>
      <c r="AI1301" s="1" t="s">
        <v>71</v>
      </c>
      <c r="AK1301" s="1" t="s">
        <v>61</v>
      </c>
      <c r="AL1301" s="1" t="s">
        <v>133</v>
      </c>
      <c r="AM1301" s="1">
        <v>1</v>
      </c>
      <c r="AN1301" s="1">
        <v>0</v>
      </c>
      <c r="AO1301" s="1">
        <f t="shared" si="104"/>
        <v>1</v>
      </c>
    </row>
    <row r="1302" spans="1:41" x14ac:dyDescent="0.4">
      <c r="A1302" s="1">
        <v>1</v>
      </c>
      <c r="B1302" s="1" t="s">
        <v>1033</v>
      </c>
      <c r="C1302" s="1" t="s">
        <v>41</v>
      </c>
      <c r="D1302" s="2">
        <v>38937</v>
      </c>
      <c r="E1302" s="1">
        <v>220</v>
      </c>
      <c r="F1302" s="1">
        <v>10</v>
      </c>
      <c r="G1302" s="3">
        <v>0.69674768518518526</v>
      </c>
      <c r="H1302" s="3">
        <v>0.69766203703703711</v>
      </c>
      <c r="I1302" s="3">
        <v>9.1435185185184675E-4</v>
      </c>
      <c r="J1302" s="3">
        <v>1.1574074074072183E-4</v>
      </c>
      <c r="K1302" s="5">
        <f t="shared" si="103"/>
        <v>10</v>
      </c>
      <c r="L1302" s="3">
        <v>7.8703703703701944E-3</v>
      </c>
      <c r="N1302" s="1" t="s">
        <v>42</v>
      </c>
      <c r="O1302" s="1" t="s">
        <v>286</v>
      </c>
      <c r="P1302" s="1" t="s">
        <v>44</v>
      </c>
      <c r="Q1302" s="1" t="s">
        <v>76</v>
      </c>
      <c r="S1302" s="1" t="s">
        <v>46</v>
      </c>
      <c r="T1302" s="1" t="s">
        <v>45</v>
      </c>
      <c r="U1302" s="1" t="s">
        <v>92</v>
      </c>
      <c r="AB1302" s="1" t="s">
        <v>93</v>
      </c>
      <c r="AC1302" s="1">
        <v>1</v>
      </c>
      <c r="AF1302" s="1" t="s">
        <v>153</v>
      </c>
      <c r="AG1302" s="1" t="s">
        <v>1174</v>
      </c>
      <c r="AI1302" s="1" t="s">
        <v>75</v>
      </c>
      <c r="AK1302" s="1" t="s">
        <v>116</v>
      </c>
      <c r="AL1302" s="1" t="s">
        <v>116</v>
      </c>
      <c r="AM1302" s="1">
        <v>3</v>
      </c>
      <c r="AN1302" s="1">
        <v>0</v>
      </c>
      <c r="AO1302" s="1">
        <f t="shared" si="104"/>
        <v>3</v>
      </c>
    </row>
    <row r="1303" spans="1:41" x14ac:dyDescent="0.4">
      <c r="A1303" s="1">
        <v>1</v>
      </c>
      <c r="B1303" s="1" t="s">
        <v>1033</v>
      </c>
      <c r="C1303" s="1" t="s">
        <v>41</v>
      </c>
      <c r="D1303" s="2">
        <v>38937</v>
      </c>
      <c r="E1303" s="1">
        <v>220</v>
      </c>
      <c r="F1303" s="1">
        <v>11</v>
      </c>
      <c r="G1303" s="3">
        <v>0.7055324074074073</v>
      </c>
      <c r="H1303" s="3">
        <v>0.70568287037037036</v>
      </c>
      <c r="I1303" s="3">
        <v>1.504629629630605E-4</v>
      </c>
      <c r="J1303" s="3">
        <v>1.504629629630605E-4</v>
      </c>
      <c r="K1303" s="5">
        <f t="shared" si="103"/>
        <v>13</v>
      </c>
      <c r="L1303" s="3" t="s">
        <v>120</v>
      </c>
      <c r="N1303" s="1" t="s">
        <v>42</v>
      </c>
      <c r="O1303" s="1" t="s">
        <v>286</v>
      </c>
      <c r="P1303" s="1" t="s">
        <v>44</v>
      </c>
      <c r="Q1303" s="1" t="s">
        <v>45</v>
      </c>
      <c r="S1303" s="1" t="s">
        <v>46</v>
      </c>
      <c r="T1303" s="1" t="s">
        <v>47</v>
      </c>
      <c r="U1303" s="1" t="s">
        <v>92</v>
      </c>
      <c r="AB1303" s="1" t="s">
        <v>93</v>
      </c>
      <c r="AC1303" s="1">
        <v>1</v>
      </c>
      <c r="AG1303" s="1" t="s">
        <v>1133</v>
      </c>
      <c r="AI1303" s="1" t="s">
        <v>75</v>
      </c>
      <c r="AK1303" s="1" t="s">
        <v>86</v>
      </c>
      <c r="AL1303" s="1" t="s">
        <v>87</v>
      </c>
      <c r="AM1303" s="1">
        <v>6</v>
      </c>
      <c r="AN1303" s="1">
        <v>0</v>
      </c>
      <c r="AO1303" s="1">
        <f t="shared" si="104"/>
        <v>6</v>
      </c>
    </row>
    <row r="1304" spans="1:41" x14ac:dyDescent="0.4">
      <c r="A1304" s="1">
        <v>1</v>
      </c>
      <c r="B1304" s="1" t="s">
        <v>1033</v>
      </c>
      <c r="C1304" s="1" t="s">
        <v>41</v>
      </c>
      <c r="D1304" s="2">
        <v>38959</v>
      </c>
      <c r="E1304" s="1">
        <v>242</v>
      </c>
      <c r="F1304" s="1">
        <v>0.5</v>
      </c>
      <c r="G1304" s="3">
        <v>0.29333333333333333</v>
      </c>
      <c r="H1304" s="3">
        <v>0.29335648148148147</v>
      </c>
      <c r="I1304" s="3">
        <v>2.3148148148133263E-5</v>
      </c>
      <c r="J1304" s="3">
        <v>2.3148148148133263E-5</v>
      </c>
      <c r="K1304" s="5">
        <f t="shared" si="103"/>
        <v>2</v>
      </c>
      <c r="L1304" s="3">
        <v>7.9050925925925886E-3</v>
      </c>
      <c r="N1304" s="1" t="s">
        <v>42</v>
      </c>
      <c r="O1304" s="1" t="s">
        <v>286</v>
      </c>
      <c r="P1304" s="1" t="s">
        <v>44</v>
      </c>
      <c r="Q1304" s="1" t="s">
        <v>76</v>
      </c>
      <c r="S1304" s="1" t="s">
        <v>46</v>
      </c>
      <c r="T1304" s="1" t="s">
        <v>124</v>
      </c>
      <c r="U1304" s="1" t="s">
        <v>156</v>
      </c>
      <c r="AB1304" s="1" t="s">
        <v>93</v>
      </c>
      <c r="AC1304" s="1">
        <v>1</v>
      </c>
      <c r="AG1304" s="1" t="s">
        <v>1209</v>
      </c>
      <c r="AI1304" s="1" t="s">
        <v>75</v>
      </c>
      <c r="AK1304" s="1" t="s">
        <v>86</v>
      </c>
      <c r="AL1304" s="1" t="s">
        <v>133</v>
      </c>
      <c r="AM1304" s="1">
        <v>1</v>
      </c>
      <c r="AN1304" s="1">
        <v>0</v>
      </c>
      <c r="AO1304" s="1">
        <f t="shared" si="104"/>
        <v>1</v>
      </c>
    </row>
    <row r="1305" spans="1:41" x14ac:dyDescent="0.4">
      <c r="A1305" s="1">
        <v>1</v>
      </c>
      <c r="B1305" s="1" t="s">
        <v>1033</v>
      </c>
      <c r="C1305" s="1" t="s">
        <v>41</v>
      </c>
      <c r="D1305" s="2">
        <v>38959</v>
      </c>
      <c r="E1305" s="1">
        <v>242</v>
      </c>
      <c r="F1305" s="1">
        <v>1</v>
      </c>
      <c r="G1305" s="3">
        <v>0.30126157407407406</v>
      </c>
      <c r="H1305" s="3">
        <v>0.30184027777777778</v>
      </c>
      <c r="I1305" s="3">
        <v>5.7870370370372015E-4</v>
      </c>
      <c r="J1305" s="3">
        <v>3.8194444444444864E-4</v>
      </c>
      <c r="K1305" s="5">
        <f t="shared" si="103"/>
        <v>33</v>
      </c>
      <c r="L1305" s="3">
        <v>1.3726851851851851E-2</v>
      </c>
      <c r="N1305" s="1" t="s">
        <v>42</v>
      </c>
      <c r="O1305" s="1" t="s">
        <v>286</v>
      </c>
      <c r="P1305" s="1" t="s">
        <v>44</v>
      </c>
      <c r="Q1305" s="1" t="s">
        <v>132</v>
      </c>
      <c r="S1305" s="1" t="s">
        <v>46</v>
      </c>
      <c r="T1305" s="1" t="s">
        <v>47</v>
      </c>
      <c r="U1305" s="1" t="s">
        <v>92</v>
      </c>
      <c r="V1305" s="1" t="s">
        <v>102</v>
      </c>
      <c r="W1305" s="1" t="s">
        <v>231</v>
      </c>
      <c r="X1305" s="1" t="s">
        <v>1210</v>
      </c>
      <c r="AB1305" s="1" t="s">
        <v>104</v>
      </c>
      <c r="AC1305" s="1">
        <v>0</v>
      </c>
      <c r="AD1305" s="1" t="s">
        <v>105</v>
      </c>
      <c r="AE1305" s="1" t="s">
        <v>70</v>
      </c>
      <c r="AH1305" s="1" t="s">
        <v>157</v>
      </c>
      <c r="AI1305" s="1" t="s">
        <v>75</v>
      </c>
      <c r="AK1305" s="1" t="s">
        <v>86</v>
      </c>
      <c r="AL1305" s="1" t="s">
        <v>133</v>
      </c>
      <c r="AN1305" s="1">
        <v>1</v>
      </c>
      <c r="AO1305" s="1">
        <f t="shared" si="104"/>
        <v>1</v>
      </c>
    </row>
    <row r="1306" spans="1:41" x14ac:dyDescent="0.4">
      <c r="A1306" s="1">
        <v>1</v>
      </c>
      <c r="B1306" s="1" t="s">
        <v>1033</v>
      </c>
      <c r="C1306" s="1" t="s">
        <v>41</v>
      </c>
      <c r="D1306" s="2">
        <v>38959</v>
      </c>
      <c r="E1306" s="1">
        <v>242</v>
      </c>
      <c r="F1306" s="1">
        <v>2</v>
      </c>
      <c r="G1306" s="3">
        <v>0.31556712962962963</v>
      </c>
      <c r="H1306" s="3">
        <v>0.31917824074074075</v>
      </c>
      <c r="I1306" s="3">
        <v>3.6111111111111205E-3</v>
      </c>
      <c r="J1306" s="3">
        <v>1.4583333333332837E-3</v>
      </c>
      <c r="K1306" s="5">
        <f t="shared" si="103"/>
        <v>126</v>
      </c>
      <c r="L1306" s="3">
        <v>3.1365740740740278E-3</v>
      </c>
      <c r="N1306" s="1" t="s">
        <v>42</v>
      </c>
      <c r="O1306" s="1" t="s">
        <v>286</v>
      </c>
      <c r="P1306" s="1" t="s">
        <v>44</v>
      </c>
      <c r="Q1306" s="1" t="s">
        <v>76</v>
      </c>
      <c r="S1306" s="1" t="s">
        <v>46</v>
      </c>
      <c r="T1306" s="1" t="s">
        <v>124</v>
      </c>
      <c r="U1306" s="1" t="s">
        <v>48</v>
      </c>
      <c r="V1306" s="1" t="s">
        <v>67</v>
      </c>
      <c r="W1306" s="1" t="s">
        <v>68</v>
      </c>
      <c r="X1306" s="1" t="s">
        <v>700</v>
      </c>
      <c r="Y1306" s="1" t="s">
        <v>883</v>
      </c>
      <c r="AB1306" s="1" t="s">
        <v>884</v>
      </c>
      <c r="AC1306" s="1">
        <v>0</v>
      </c>
      <c r="AD1306" s="1" t="s">
        <v>68</v>
      </c>
      <c r="AE1306" s="1" t="s">
        <v>181</v>
      </c>
      <c r="AG1306" s="1" t="s">
        <v>1136</v>
      </c>
      <c r="AH1306" s="1" t="s">
        <v>157</v>
      </c>
      <c r="AI1306" s="1" t="s">
        <v>60</v>
      </c>
      <c r="AK1306" s="1" t="s">
        <v>86</v>
      </c>
      <c r="AL1306" s="1" t="s">
        <v>133</v>
      </c>
      <c r="AM1306" s="1">
        <v>10</v>
      </c>
      <c r="AN1306" s="1">
        <v>0</v>
      </c>
      <c r="AO1306" s="1">
        <f t="shared" si="104"/>
        <v>10</v>
      </c>
    </row>
    <row r="1307" spans="1:41" x14ac:dyDescent="0.4">
      <c r="A1307" s="1">
        <v>1</v>
      </c>
      <c r="B1307" s="1" t="s">
        <v>1033</v>
      </c>
      <c r="C1307" s="1" t="s">
        <v>41</v>
      </c>
      <c r="D1307" s="2">
        <v>38959</v>
      </c>
      <c r="E1307" s="1">
        <v>242</v>
      </c>
      <c r="F1307" s="1">
        <v>2.5</v>
      </c>
      <c r="G1307" s="3">
        <v>0.32231481481481478</v>
      </c>
      <c r="H1307" s="3">
        <v>0.32269675925925928</v>
      </c>
      <c r="I1307" s="3">
        <v>3.8194444444450415E-4</v>
      </c>
      <c r="J1307" s="3">
        <v>1.9675925925932702E-4</v>
      </c>
      <c r="K1307" s="5">
        <f t="shared" si="103"/>
        <v>17</v>
      </c>
      <c r="L1307" s="3">
        <v>7.5578703703703676E-3</v>
      </c>
      <c r="N1307" s="1" t="s">
        <v>42</v>
      </c>
      <c r="O1307" s="1" t="s">
        <v>286</v>
      </c>
      <c r="P1307" s="1" t="s">
        <v>44</v>
      </c>
      <c r="Q1307" s="1" t="s">
        <v>45</v>
      </c>
      <c r="S1307" s="1" t="s">
        <v>46</v>
      </c>
      <c r="T1307" s="1" t="s">
        <v>124</v>
      </c>
      <c r="U1307" s="1" t="s">
        <v>48</v>
      </c>
      <c r="AB1307" s="1" t="s">
        <v>93</v>
      </c>
      <c r="AC1307" s="1">
        <v>1</v>
      </c>
      <c r="AI1307" s="1" t="s">
        <v>60</v>
      </c>
      <c r="AK1307" s="1" t="s">
        <v>86</v>
      </c>
      <c r="AL1307" s="1" t="s">
        <v>133</v>
      </c>
      <c r="AN1307" s="1">
        <v>1</v>
      </c>
      <c r="AO1307" s="1">
        <f t="shared" si="104"/>
        <v>1</v>
      </c>
    </row>
    <row r="1308" spans="1:41" x14ac:dyDescent="0.4">
      <c r="A1308" s="1">
        <v>1</v>
      </c>
      <c r="B1308" s="1" t="s">
        <v>1033</v>
      </c>
      <c r="C1308" s="1" t="s">
        <v>41</v>
      </c>
      <c r="D1308" s="2">
        <v>38959</v>
      </c>
      <c r="E1308" s="1">
        <v>242</v>
      </c>
      <c r="F1308" s="1">
        <v>3</v>
      </c>
      <c r="G1308" s="3">
        <v>0.33025462962962965</v>
      </c>
      <c r="H1308" s="3">
        <v>0.35450231481481481</v>
      </c>
      <c r="I1308" s="3">
        <v>2.4247685185185164E-2</v>
      </c>
      <c r="J1308" s="3">
        <v>2.4108796296296253E-2</v>
      </c>
      <c r="K1308" s="5">
        <f t="shared" si="103"/>
        <v>2083</v>
      </c>
      <c r="L1308" s="3">
        <v>5.138888888888915E-3</v>
      </c>
      <c r="N1308" s="1" t="s">
        <v>251</v>
      </c>
      <c r="O1308" s="1" t="s">
        <v>286</v>
      </c>
      <c r="P1308" s="1" t="s">
        <v>44</v>
      </c>
      <c r="Q1308" s="1" t="s">
        <v>76</v>
      </c>
      <c r="S1308" s="1" t="s">
        <v>46</v>
      </c>
      <c r="T1308" s="1" t="s">
        <v>47</v>
      </c>
      <c r="U1308" s="1" t="s">
        <v>66</v>
      </c>
      <c r="V1308" s="1" t="s">
        <v>49</v>
      </c>
      <c r="W1308" s="1" t="s">
        <v>50</v>
      </c>
      <c r="X1308" s="1" t="s">
        <v>96</v>
      </c>
      <c r="Y1308" s="1" t="s">
        <v>52</v>
      </c>
      <c r="Z1308" s="1" t="s">
        <v>53</v>
      </c>
      <c r="AA1308" s="1" t="s">
        <v>731</v>
      </c>
      <c r="AB1308" s="1" t="s">
        <v>732</v>
      </c>
      <c r="AC1308" s="1">
        <v>0</v>
      </c>
      <c r="AD1308" s="1" t="s">
        <v>56</v>
      </c>
      <c r="AE1308" s="1" t="s">
        <v>70</v>
      </c>
      <c r="AF1308" s="1" t="s">
        <v>84</v>
      </c>
      <c r="AG1308" s="1" t="s">
        <v>1211</v>
      </c>
      <c r="AH1308" s="1" t="s">
        <v>59</v>
      </c>
      <c r="AI1308" s="1" t="s">
        <v>257</v>
      </c>
      <c r="AK1308" s="1" t="s">
        <v>86</v>
      </c>
      <c r="AL1308" s="1" t="s">
        <v>87</v>
      </c>
      <c r="AM1308" s="1">
        <v>1</v>
      </c>
      <c r="AN1308" s="1">
        <v>0</v>
      </c>
      <c r="AO1308" s="1">
        <f t="shared" si="104"/>
        <v>1</v>
      </c>
    </row>
    <row r="1309" spans="1:41" x14ac:dyDescent="0.4">
      <c r="A1309" s="1">
        <v>1</v>
      </c>
      <c r="B1309" s="1" t="s">
        <v>1033</v>
      </c>
      <c r="C1309" s="1" t="s">
        <v>41</v>
      </c>
      <c r="D1309" s="2">
        <v>38959</v>
      </c>
      <c r="E1309" s="1">
        <v>242</v>
      </c>
      <c r="F1309" s="1">
        <v>3.5</v>
      </c>
      <c r="G1309" s="3">
        <v>0.35964120370370373</v>
      </c>
      <c r="H1309" s="3">
        <v>0.36687500000000001</v>
      </c>
      <c r="I1309" s="3">
        <v>7.2337962962962798E-3</v>
      </c>
      <c r="J1309" s="3">
        <v>9.7222222222220767E-4</v>
      </c>
      <c r="K1309" s="5">
        <f t="shared" si="103"/>
        <v>84</v>
      </c>
      <c r="L1309" s="3">
        <v>4.9537037037037379E-3</v>
      </c>
      <c r="N1309" s="1" t="s">
        <v>251</v>
      </c>
      <c r="O1309" s="1" t="s">
        <v>286</v>
      </c>
      <c r="P1309" s="1" t="s">
        <v>44</v>
      </c>
      <c r="Q1309" s="1" t="s">
        <v>76</v>
      </c>
      <c r="S1309" s="1" t="s">
        <v>46</v>
      </c>
      <c r="T1309" s="1" t="s">
        <v>45</v>
      </c>
      <c r="U1309" s="1" t="s">
        <v>156</v>
      </c>
      <c r="V1309" s="1" t="s">
        <v>67</v>
      </c>
      <c r="W1309" s="1" t="s">
        <v>68</v>
      </c>
      <c r="Y1309" s="1" t="s">
        <v>68</v>
      </c>
      <c r="AB1309" s="1" t="s">
        <v>69</v>
      </c>
      <c r="AC1309" s="1">
        <v>0</v>
      </c>
      <c r="AD1309" s="1" t="s">
        <v>68</v>
      </c>
      <c r="AE1309" s="1" t="s">
        <v>70</v>
      </c>
      <c r="AG1309" s="1" t="s">
        <v>1064</v>
      </c>
      <c r="AI1309" s="1" t="s">
        <v>255</v>
      </c>
      <c r="AK1309" s="1" t="s">
        <v>86</v>
      </c>
      <c r="AL1309" s="1" t="s">
        <v>87</v>
      </c>
      <c r="AM1309" s="1">
        <v>4</v>
      </c>
      <c r="AN1309" s="1">
        <v>0</v>
      </c>
      <c r="AO1309" s="1">
        <f t="shared" si="104"/>
        <v>4</v>
      </c>
    </row>
    <row r="1310" spans="1:41" x14ac:dyDescent="0.4">
      <c r="A1310" s="1">
        <v>1</v>
      </c>
      <c r="B1310" s="1" t="s">
        <v>1033</v>
      </c>
      <c r="C1310" s="1" t="s">
        <v>41</v>
      </c>
      <c r="D1310" s="2">
        <v>38959</v>
      </c>
      <c r="E1310" s="1">
        <v>242</v>
      </c>
      <c r="F1310" s="1">
        <v>5</v>
      </c>
      <c r="G1310" s="3">
        <v>0.37182870370370374</v>
      </c>
      <c r="H1310" s="3">
        <v>0.38586805555555559</v>
      </c>
      <c r="I1310" s="3">
        <v>1.4039351851851845E-2</v>
      </c>
      <c r="J1310" s="3">
        <v>1.2696759259259283E-2</v>
      </c>
      <c r="K1310" s="5">
        <f t="shared" si="103"/>
        <v>1097</v>
      </c>
      <c r="L1310" s="3">
        <v>9.8958333333332704E-3</v>
      </c>
      <c r="N1310" s="1" t="s">
        <v>251</v>
      </c>
      <c r="O1310" s="1" t="s">
        <v>286</v>
      </c>
      <c r="P1310" s="1" t="s">
        <v>44</v>
      </c>
      <c r="Q1310" s="1" t="s">
        <v>76</v>
      </c>
      <c r="S1310" s="1" t="s">
        <v>46</v>
      </c>
      <c r="T1310" s="1" t="s">
        <v>124</v>
      </c>
      <c r="U1310" s="1" t="s">
        <v>48</v>
      </c>
      <c r="V1310" s="1" t="s">
        <v>49</v>
      </c>
      <c r="W1310" s="1" t="s">
        <v>77</v>
      </c>
      <c r="X1310" s="1" t="s">
        <v>375</v>
      </c>
      <c r="Y1310" s="1" t="s">
        <v>376</v>
      </c>
      <c r="Z1310" s="1">
        <v>2</v>
      </c>
      <c r="AB1310" s="1" t="s">
        <v>377</v>
      </c>
      <c r="AC1310" s="1">
        <v>0</v>
      </c>
      <c r="AD1310" s="1" t="s">
        <v>56</v>
      </c>
      <c r="AE1310" s="1" t="s">
        <v>83</v>
      </c>
      <c r="AF1310" s="1" t="s">
        <v>113</v>
      </c>
      <c r="AG1310" s="1" t="s">
        <v>1212</v>
      </c>
      <c r="AH1310" s="1" t="s">
        <v>59</v>
      </c>
      <c r="AI1310" s="1" t="s">
        <v>379</v>
      </c>
      <c r="AK1310" s="1" t="s">
        <v>116</v>
      </c>
      <c r="AL1310" s="1" t="s">
        <v>117</v>
      </c>
      <c r="AM1310" s="1">
        <v>2</v>
      </c>
      <c r="AN1310" s="1">
        <v>0</v>
      </c>
      <c r="AO1310" s="1">
        <f t="shared" si="104"/>
        <v>2</v>
      </c>
    </row>
    <row r="1311" spans="1:41" x14ac:dyDescent="0.4">
      <c r="A1311" s="1">
        <v>1</v>
      </c>
      <c r="B1311" s="1" t="s">
        <v>1033</v>
      </c>
      <c r="C1311" s="1" t="s">
        <v>41</v>
      </c>
      <c r="D1311" s="2">
        <v>38959</v>
      </c>
      <c r="E1311" s="1">
        <v>242</v>
      </c>
      <c r="F1311" s="1">
        <v>5.2</v>
      </c>
      <c r="G1311" s="3">
        <v>0.39576388888888886</v>
      </c>
      <c r="H1311" s="3">
        <v>0.3982175925925926</v>
      </c>
      <c r="I1311" s="3">
        <v>2.4537037037037357E-3</v>
      </c>
      <c r="J1311" s="3">
        <v>2.4305555555537151E-4</v>
      </c>
      <c r="K1311" s="5">
        <f t="shared" si="103"/>
        <v>21</v>
      </c>
      <c r="L1311" s="3">
        <v>4.0324074074074068E-2</v>
      </c>
      <c r="N1311" s="1" t="s">
        <v>251</v>
      </c>
      <c r="O1311" s="1" t="s">
        <v>286</v>
      </c>
      <c r="P1311" s="1" t="s">
        <v>44</v>
      </c>
      <c r="Q1311" s="1" t="s">
        <v>132</v>
      </c>
      <c r="S1311" s="1" t="s">
        <v>46</v>
      </c>
      <c r="T1311" s="1" t="s">
        <v>45</v>
      </c>
      <c r="U1311" s="1" t="s">
        <v>156</v>
      </c>
      <c r="AB1311" s="1" t="s">
        <v>93</v>
      </c>
      <c r="AC1311" s="1">
        <v>1</v>
      </c>
      <c r="AI1311" s="1" t="s">
        <v>255</v>
      </c>
      <c r="AK1311" s="1" t="s">
        <v>61</v>
      </c>
      <c r="AL1311" s="1" t="s">
        <v>61</v>
      </c>
      <c r="AN1311" s="1">
        <v>1</v>
      </c>
      <c r="AO1311" s="1">
        <f t="shared" si="104"/>
        <v>1</v>
      </c>
    </row>
    <row r="1312" spans="1:41" x14ac:dyDescent="0.4">
      <c r="A1312" s="1">
        <v>1</v>
      </c>
      <c r="B1312" s="1" t="s">
        <v>1033</v>
      </c>
      <c r="C1312" s="1" t="s">
        <v>41</v>
      </c>
      <c r="D1312" s="2">
        <v>38959</v>
      </c>
      <c r="E1312" s="1">
        <v>242</v>
      </c>
      <c r="F1312" s="1">
        <v>5.3</v>
      </c>
      <c r="G1312" s="3">
        <v>0.43854166666666666</v>
      </c>
      <c r="H1312" s="3">
        <v>0.45697916666666666</v>
      </c>
      <c r="I1312" s="3">
        <v>1.8437499999999996E-2</v>
      </c>
      <c r="J1312" s="3">
        <v>1.3888888888885509E-4</v>
      </c>
      <c r="K1312" s="5">
        <f t="shared" si="103"/>
        <v>12</v>
      </c>
      <c r="L1312" s="3">
        <v>2.7106481481481481E-2</v>
      </c>
      <c r="N1312" s="1" t="s">
        <v>251</v>
      </c>
      <c r="O1312" s="1" t="s">
        <v>286</v>
      </c>
      <c r="P1312" s="1" t="s">
        <v>44</v>
      </c>
      <c r="Q1312" s="1" t="s">
        <v>76</v>
      </c>
      <c r="R1312" s="1" t="s">
        <v>76</v>
      </c>
      <c r="S1312" s="1" t="s">
        <v>46</v>
      </c>
      <c r="T1312" s="1" t="s">
        <v>47</v>
      </c>
      <c r="U1312" s="1" t="s">
        <v>66</v>
      </c>
      <c r="V1312" s="1" t="s">
        <v>67</v>
      </c>
      <c r="W1312" s="1" t="s">
        <v>68</v>
      </c>
      <c r="Y1312" s="1" t="s">
        <v>68</v>
      </c>
      <c r="AB1312" s="1" t="s">
        <v>69</v>
      </c>
      <c r="AC1312" s="1">
        <v>0</v>
      </c>
      <c r="AD1312" s="1" t="s">
        <v>68</v>
      </c>
      <c r="AE1312" s="1" t="s">
        <v>70</v>
      </c>
      <c r="AG1312" s="1" t="s">
        <v>1065</v>
      </c>
      <c r="AI1312" s="1" t="s">
        <v>257</v>
      </c>
      <c r="AK1312" s="1" t="s">
        <v>86</v>
      </c>
      <c r="AL1312" s="1" t="s">
        <v>133</v>
      </c>
      <c r="AM1312" s="1">
        <v>6</v>
      </c>
      <c r="AN1312" s="1">
        <v>0</v>
      </c>
      <c r="AO1312" s="1">
        <f t="shared" si="104"/>
        <v>6</v>
      </c>
    </row>
    <row r="1313" spans="1:41" x14ac:dyDescent="0.4">
      <c r="A1313" s="1">
        <v>1</v>
      </c>
      <c r="B1313" s="1" t="s">
        <v>1033</v>
      </c>
      <c r="C1313" s="1" t="s">
        <v>41</v>
      </c>
      <c r="D1313" s="2">
        <v>38959</v>
      </c>
      <c r="E1313" s="1">
        <v>242</v>
      </c>
      <c r="F1313" s="1">
        <v>5.5</v>
      </c>
      <c r="G1313" s="3">
        <v>0.48408564814814814</v>
      </c>
      <c r="H1313" s="3">
        <v>0.48479166666666668</v>
      </c>
      <c r="I1313" s="3">
        <v>7.0601851851853636E-4</v>
      </c>
      <c r="J1313" s="3">
        <v>2.1990740740746029E-4</v>
      </c>
      <c r="K1313" s="5">
        <f t="shared" si="103"/>
        <v>19</v>
      </c>
      <c r="L1313" s="3">
        <v>9.143518518518523E-3</v>
      </c>
      <c r="N1313" s="1" t="s">
        <v>42</v>
      </c>
      <c r="O1313" s="1" t="s">
        <v>286</v>
      </c>
      <c r="P1313" s="1" t="s">
        <v>44</v>
      </c>
      <c r="Q1313" s="1" t="s">
        <v>76</v>
      </c>
      <c r="R1313" s="1" t="s">
        <v>76</v>
      </c>
      <c r="S1313" s="1" t="s">
        <v>46</v>
      </c>
      <c r="T1313" s="1" t="s">
        <v>47</v>
      </c>
      <c r="U1313" s="1" t="s">
        <v>156</v>
      </c>
      <c r="AB1313" s="1" t="s">
        <v>93</v>
      </c>
      <c r="AC1313" s="1">
        <v>1</v>
      </c>
      <c r="AG1313" s="1" t="s">
        <v>1065</v>
      </c>
      <c r="AI1313" s="1" t="s">
        <v>75</v>
      </c>
      <c r="AK1313" s="1" t="s">
        <v>86</v>
      </c>
      <c r="AL1313" s="1" t="s">
        <v>87</v>
      </c>
      <c r="AM1313" s="1">
        <v>6</v>
      </c>
      <c r="AN1313" s="1">
        <v>0</v>
      </c>
      <c r="AO1313" s="1">
        <f t="shared" si="104"/>
        <v>6</v>
      </c>
    </row>
    <row r="1314" spans="1:41" x14ac:dyDescent="0.4">
      <c r="A1314" s="1">
        <v>1</v>
      </c>
      <c r="B1314" s="1" t="s">
        <v>1033</v>
      </c>
      <c r="C1314" s="1" t="s">
        <v>41</v>
      </c>
      <c r="D1314" s="2">
        <v>38959</v>
      </c>
      <c r="E1314" s="1">
        <v>242</v>
      </c>
      <c r="F1314" s="1">
        <v>5.6</v>
      </c>
      <c r="G1314" s="3">
        <v>0.4939351851851852</v>
      </c>
      <c r="H1314" s="3">
        <v>0.49394675925925924</v>
      </c>
      <c r="I1314" s="3">
        <v>1.1574074074038876E-5</v>
      </c>
      <c r="J1314" s="3">
        <v>1.1574074074038876E-5</v>
      </c>
      <c r="K1314" s="5">
        <f t="shared" si="103"/>
        <v>1</v>
      </c>
      <c r="L1314" s="3">
        <v>2.8125000000000511E-3</v>
      </c>
      <c r="N1314" s="1" t="s">
        <v>42</v>
      </c>
      <c r="O1314" s="1" t="s">
        <v>286</v>
      </c>
      <c r="P1314" s="1" t="s">
        <v>44</v>
      </c>
      <c r="Q1314" s="1" t="s">
        <v>132</v>
      </c>
      <c r="R1314" s="1" t="s">
        <v>76</v>
      </c>
      <c r="S1314" s="1" t="s">
        <v>46</v>
      </c>
      <c r="T1314" s="1" t="s">
        <v>45</v>
      </c>
      <c r="U1314" s="1" t="s">
        <v>156</v>
      </c>
      <c r="AB1314" s="1" t="s">
        <v>93</v>
      </c>
      <c r="AC1314" s="1">
        <v>1</v>
      </c>
      <c r="AI1314" s="1" t="s">
        <v>75</v>
      </c>
      <c r="AK1314" s="1" t="s">
        <v>86</v>
      </c>
      <c r="AL1314" s="1" t="s">
        <v>87</v>
      </c>
      <c r="AN1314" s="1">
        <v>1</v>
      </c>
      <c r="AO1314" s="1">
        <f t="shared" si="104"/>
        <v>1</v>
      </c>
    </row>
    <row r="1315" spans="1:41" x14ac:dyDescent="0.4">
      <c r="A1315" s="1">
        <v>1</v>
      </c>
      <c r="B1315" s="1" t="s">
        <v>1033</v>
      </c>
      <c r="C1315" s="1" t="s">
        <v>41</v>
      </c>
      <c r="D1315" s="2">
        <v>38959</v>
      </c>
      <c r="E1315" s="1">
        <v>242</v>
      </c>
      <c r="F1315" s="1">
        <v>5.65</v>
      </c>
      <c r="G1315" s="3">
        <v>0.49675925925925929</v>
      </c>
      <c r="H1315" s="3">
        <v>0.49732638888888886</v>
      </c>
      <c r="I1315" s="3">
        <v>5.6712962962957025E-4</v>
      </c>
      <c r="J1315" s="3">
        <v>5.7870370370305402E-5</v>
      </c>
      <c r="K1315" s="5">
        <f t="shared" si="103"/>
        <v>5</v>
      </c>
      <c r="L1315" s="3">
        <v>0.10923611111111114</v>
      </c>
      <c r="N1315" s="1" t="s">
        <v>42</v>
      </c>
      <c r="O1315" s="1" t="s">
        <v>286</v>
      </c>
      <c r="P1315" s="1" t="s">
        <v>44</v>
      </c>
      <c r="Q1315" s="1" t="s">
        <v>132</v>
      </c>
      <c r="R1315" s="1" t="s">
        <v>76</v>
      </c>
      <c r="S1315" s="1" t="s">
        <v>46</v>
      </c>
      <c r="T1315" s="1" t="s">
        <v>45</v>
      </c>
      <c r="U1315" s="1" t="s">
        <v>156</v>
      </c>
      <c r="AB1315" s="1" t="s">
        <v>93</v>
      </c>
      <c r="AC1315" s="1">
        <v>1</v>
      </c>
      <c r="AI1315" s="1" t="s">
        <v>75</v>
      </c>
      <c r="AK1315" s="1" t="s">
        <v>86</v>
      </c>
      <c r="AL1315" s="1" t="s">
        <v>87</v>
      </c>
      <c r="AN1315" s="1">
        <v>1</v>
      </c>
      <c r="AO1315" s="1">
        <f t="shared" si="104"/>
        <v>1</v>
      </c>
    </row>
    <row r="1316" spans="1:41" x14ac:dyDescent="0.4">
      <c r="A1316" s="1">
        <v>1</v>
      </c>
      <c r="B1316" s="1" t="s">
        <v>1033</v>
      </c>
      <c r="C1316" s="1" t="s">
        <v>41</v>
      </c>
      <c r="D1316" s="2">
        <v>38959</v>
      </c>
      <c r="E1316" s="1">
        <v>242</v>
      </c>
      <c r="F1316" s="1">
        <v>10</v>
      </c>
      <c r="G1316" s="3">
        <v>0.6065625</v>
      </c>
      <c r="H1316" s="3">
        <v>0.61084490740740738</v>
      </c>
      <c r="I1316" s="3">
        <v>4.2824074074073737E-3</v>
      </c>
      <c r="J1316" s="3">
        <v>1.6319444444445885E-3</v>
      </c>
      <c r="K1316" s="5">
        <f t="shared" si="103"/>
        <v>141</v>
      </c>
      <c r="L1316" s="3">
        <v>5.6712962962968128E-4</v>
      </c>
      <c r="N1316" s="1" t="s">
        <v>42</v>
      </c>
      <c r="O1316" s="1" t="s">
        <v>286</v>
      </c>
      <c r="P1316" s="1" t="s">
        <v>44</v>
      </c>
      <c r="Q1316" s="1" t="s">
        <v>45</v>
      </c>
      <c r="R1316" s="1" t="s">
        <v>76</v>
      </c>
      <c r="S1316" s="1" t="s">
        <v>46</v>
      </c>
      <c r="T1316" s="1" t="s">
        <v>47</v>
      </c>
      <c r="U1316" s="1" t="s">
        <v>48</v>
      </c>
      <c r="V1316" s="1" t="s">
        <v>102</v>
      </c>
      <c r="W1316" s="1" t="s">
        <v>231</v>
      </c>
      <c r="X1316" s="1" t="s">
        <v>96</v>
      </c>
      <c r="AB1316" s="1" t="s">
        <v>104</v>
      </c>
      <c r="AC1316" s="1">
        <v>0</v>
      </c>
      <c r="AD1316" s="1" t="s">
        <v>105</v>
      </c>
      <c r="AE1316" s="1" t="s">
        <v>70</v>
      </c>
      <c r="AH1316" s="1" t="s">
        <v>157</v>
      </c>
      <c r="AI1316" s="1" t="s">
        <v>60</v>
      </c>
      <c r="AK1316" s="1" t="s">
        <v>61</v>
      </c>
      <c r="AL1316" s="1" t="s">
        <v>61</v>
      </c>
      <c r="AN1316" s="1">
        <v>1</v>
      </c>
      <c r="AO1316" s="1">
        <f t="shared" si="104"/>
        <v>1</v>
      </c>
    </row>
    <row r="1317" spans="1:41" x14ac:dyDescent="0.4">
      <c r="A1317" s="1">
        <v>1</v>
      </c>
      <c r="B1317" s="1" t="s">
        <v>1033</v>
      </c>
      <c r="C1317" s="1" t="s">
        <v>41</v>
      </c>
      <c r="D1317" s="2">
        <v>38959</v>
      </c>
      <c r="E1317" s="1">
        <v>242</v>
      </c>
      <c r="F1317" s="1">
        <v>11</v>
      </c>
      <c r="G1317" s="3">
        <v>0.61141203703703706</v>
      </c>
      <c r="H1317" s="3">
        <v>0.61457175925925933</v>
      </c>
      <c r="I1317" s="3">
        <v>3.1597222222222721E-3</v>
      </c>
      <c r="J1317" s="3">
        <v>9.8379629629630205E-4</v>
      </c>
      <c r="K1317" s="5">
        <f t="shared" si="103"/>
        <v>85</v>
      </c>
      <c r="L1317" s="3">
        <v>4.0277777777777413E-3</v>
      </c>
      <c r="N1317" s="1" t="s">
        <v>42</v>
      </c>
      <c r="O1317" s="1" t="s">
        <v>286</v>
      </c>
      <c r="P1317" s="1" t="s">
        <v>44</v>
      </c>
      <c r="Q1317" s="1" t="s">
        <v>132</v>
      </c>
      <c r="R1317" s="1" t="s">
        <v>76</v>
      </c>
      <c r="S1317" s="1" t="s">
        <v>46</v>
      </c>
      <c r="T1317" s="1" t="s">
        <v>47</v>
      </c>
      <c r="U1317" s="1" t="s">
        <v>156</v>
      </c>
      <c r="V1317" s="1" t="s">
        <v>102</v>
      </c>
      <c r="W1317" s="1" t="s">
        <v>103</v>
      </c>
      <c r="X1317" s="1" t="s">
        <v>96</v>
      </c>
      <c r="AB1317" s="1" t="s">
        <v>104</v>
      </c>
      <c r="AC1317" s="1">
        <v>0</v>
      </c>
      <c r="AD1317" s="1" t="s">
        <v>105</v>
      </c>
      <c r="AE1317" s="1" t="s">
        <v>70</v>
      </c>
      <c r="AH1317" s="1" t="s">
        <v>157</v>
      </c>
      <c r="AI1317" s="1" t="s">
        <v>75</v>
      </c>
      <c r="AK1317" s="1" t="s">
        <v>86</v>
      </c>
      <c r="AL1317" s="1" t="s">
        <v>187</v>
      </c>
      <c r="AN1317" s="1">
        <v>1</v>
      </c>
      <c r="AO1317" s="1">
        <f t="shared" si="104"/>
        <v>1</v>
      </c>
    </row>
    <row r="1318" spans="1:41" x14ac:dyDescent="0.4">
      <c r="A1318" s="1">
        <v>1</v>
      </c>
      <c r="B1318" s="1" t="s">
        <v>1033</v>
      </c>
      <c r="C1318" s="1" t="s">
        <v>41</v>
      </c>
      <c r="D1318" s="2">
        <v>38959</v>
      </c>
      <c r="E1318" s="1">
        <v>242</v>
      </c>
      <c r="F1318" s="1">
        <v>12</v>
      </c>
      <c r="G1318" s="3">
        <v>0.61859953703703707</v>
      </c>
      <c r="H1318" s="3">
        <v>0.63189814814814815</v>
      </c>
      <c r="I1318" s="3">
        <v>1.3298611111111081E-2</v>
      </c>
      <c r="J1318" s="3">
        <v>1.318287037037047E-2</v>
      </c>
      <c r="K1318" s="5">
        <f t="shared" si="103"/>
        <v>1139</v>
      </c>
      <c r="L1318" s="3">
        <v>3.6863425925925952E-2</v>
      </c>
      <c r="N1318" s="1" t="s">
        <v>42</v>
      </c>
      <c r="O1318" s="1" t="s">
        <v>286</v>
      </c>
      <c r="P1318" s="1" t="s">
        <v>44</v>
      </c>
      <c r="Q1318" s="1" t="s">
        <v>76</v>
      </c>
      <c r="R1318" s="1" t="s">
        <v>76</v>
      </c>
      <c r="S1318" s="1" t="s">
        <v>46</v>
      </c>
      <c r="T1318" s="1" t="s">
        <v>45</v>
      </c>
      <c r="U1318" s="1" t="s">
        <v>48</v>
      </c>
      <c r="V1318" s="1" t="s">
        <v>49</v>
      </c>
      <c r="W1318" s="1" t="s">
        <v>77</v>
      </c>
      <c r="X1318" s="1" t="s">
        <v>375</v>
      </c>
      <c r="Y1318" s="1" t="s">
        <v>376</v>
      </c>
      <c r="Z1318" s="1">
        <v>2</v>
      </c>
      <c r="AB1318" s="1" t="s">
        <v>377</v>
      </c>
      <c r="AC1318" s="1">
        <v>0</v>
      </c>
      <c r="AD1318" s="1" t="s">
        <v>56</v>
      </c>
      <c r="AE1318" s="1" t="s">
        <v>83</v>
      </c>
      <c r="AF1318" s="1" t="s">
        <v>153</v>
      </c>
      <c r="AG1318" s="1" t="s">
        <v>1212</v>
      </c>
      <c r="AH1318" s="1" t="s">
        <v>59</v>
      </c>
      <c r="AI1318" s="1" t="s">
        <v>60</v>
      </c>
      <c r="AK1318" s="1" t="s">
        <v>116</v>
      </c>
      <c r="AL1318" s="1" t="s">
        <v>117</v>
      </c>
      <c r="AM1318" s="1">
        <v>2</v>
      </c>
      <c r="AN1318" s="1">
        <v>0</v>
      </c>
      <c r="AO1318" s="1">
        <f t="shared" si="104"/>
        <v>2</v>
      </c>
    </row>
    <row r="1319" spans="1:41" x14ac:dyDescent="0.4">
      <c r="A1319" s="1">
        <v>1</v>
      </c>
      <c r="B1319" s="1" t="s">
        <v>1033</v>
      </c>
      <c r="C1319" s="1" t="s">
        <v>41</v>
      </c>
      <c r="D1319" s="2">
        <v>38959</v>
      </c>
      <c r="E1319" s="1">
        <v>242</v>
      </c>
      <c r="F1319" s="1">
        <v>13</v>
      </c>
      <c r="G1319" s="3">
        <v>0.66876157407407411</v>
      </c>
      <c r="H1319" s="3">
        <v>0.66942129629629632</v>
      </c>
      <c r="I1319" s="3">
        <v>6.5972222222221433E-4</v>
      </c>
      <c r="J1319" s="3">
        <v>6.5972222222221433E-4</v>
      </c>
      <c r="K1319" s="5">
        <f t="shared" si="103"/>
        <v>57</v>
      </c>
      <c r="L1319" s="3">
        <v>5.9143518518518512E-3</v>
      </c>
      <c r="N1319" s="1" t="s">
        <v>75</v>
      </c>
      <c r="O1319" s="1" t="s">
        <v>286</v>
      </c>
      <c r="P1319" s="1" t="s">
        <v>44</v>
      </c>
      <c r="Q1319" s="1" t="s">
        <v>76</v>
      </c>
      <c r="S1319" s="1" t="s">
        <v>46</v>
      </c>
      <c r="T1319" s="1" t="s">
        <v>124</v>
      </c>
      <c r="U1319" s="1" t="s">
        <v>48</v>
      </c>
      <c r="V1319" s="1" t="s">
        <v>49</v>
      </c>
      <c r="W1319" s="1" t="s">
        <v>77</v>
      </c>
      <c r="X1319" s="1" t="s">
        <v>405</v>
      </c>
      <c r="Y1319" s="1" t="s">
        <v>126</v>
      </c>
      <c r="Z1319" s="1" t="s">
        <v>127</v>
      </c>
      <c r="AA1319" s="1" t="s">
        <v>576</v>
      </c>
      <c r="AB1319" s="1" t="s">
        <v>577</v>
      </c>
      <c r="AC1319" s="1">
        <v>0</v>
      </c>
      <c r="AD1319" s="1" t="s">
        <v>56</v>
      </c>
      <c r="AE1319" s="1" t="s">
        <v>181</v>
      </c>
      <c r="AF1319" s="1" t="s">
        <v>153</v>
      </c>
      <c r="AG1319" s="1" t="s">
        <v>1183</v>
      </c>
      <c r="AH1319" s="1" t="s">
        <v>59</v>
      </c>
      <c r="AI1319" s="1" t="s">
        <v>75</v>
      </c>
      <c r="AK1319" s="1" t="s">
        <v>86</v>
      </c>
      <c r="AL1319" s="1" t="s">
        <v>87</v>
      </c>
      <c r="AM1319" s="1">
        <v>2</v>
      </c>
      <c r="AN1319" s="1">
        <v>0</v>
      </c>
      <c r="AO1319" s="1">
        <f t="shared" si="104"/>
        <v>2</v>
      </c>
    </row>
    <row r="1320" spans="1:41" x14ac:dyDescent="0.4">
      <c r="A1320" s="1">
        <v>1</v>
      </c>
      <c r="B1320" s="1" t="s">
        <v>1033</v>
      </c>
      <c r="C1320" s="1" t="s">
        <v>41</v>
      </c>
      <c r="D1320" s="2">
        <v>38959</v>
      </c>
      <c r="E1320" s="1">
        <v>242</v>
      </c>
      <c r="F1320" s="1">
        <v>14</v>
      </c>
      <c r="G1320" s="3">
        <v>0.67533564814814817</v>
      </c>
      <c r="H1320" s="3">
        <v>0.67574074074074064</v>
      </c>
      <c r="I1320" s="3">
        <v>4.0509259259247088E-4</v>
      </c>
      <c r="J1320" s="3">
        <v>4.0509259259247088E-4</v>
      </c>
      <c r="K1320" s="5">
        <f t="shared" si="103"/>
        <v>35</v>
      </c>
      <c r="L1320" s="3">
        <v>2.0254629629631316E-3</v>
      </c>
      <c r="N1320" s="1" t="s">
        <v>75</v>
      </c>
      <c r="O1320" s="1" t="s">
        <v>286</v>
      </c>
      <c r="P1320" s="1" t="s">
        <v>44</v>
      </c>
      <c r="Q1320" s="1" t="s">
        <v>76</v>
      </c>
      <c r="S1320" s="1" t="s">
        <v>46</v>
      </c>
      <c r="T1320" s="1" t="s">
        <v>45</v>
      </c>
      <c r="U1320" s="1" t="s">
        <v>66</v>
      </c>
      <c r="V1320" s="1" t="s">
        <v>102</v>
      </c>
      <c r="W1320" s="1" t="s">
        <v>103</v>
      </c>
      <c r="X1320" s="1" t="s">
        <v>96</v>
      </c>
      <c r="AB1320" s="1" t="s">
        <v>104</v>
      </c>
      <c r="AC1320" s="1">
        <v>0</v>
      </c>
      <c r="AD1320" s="1" t="s">
        <v>105</v>
      </c>
      <c r="AE1320" s="1" t="s">
        <v>70</v>
      </c>
      <c r="AH1320" s="1" t="s">
        <v>157</v>
      </c>
      <c r="AI1320" s="1" t="s">
        <v>75</v>
      </c>
      <c r="AK1320" s="1" t="s">
        <v>86</v>
      </c>
      <c r="AL1320" s="1" t="s">
        <v>86</v>
      </c>
      <c r="AN1320" s="1">
        <v>1</v>
      </c>
      <c r="AO1320" s="1">
        <f t="shared" si="104"/>
        <v>1</v>
      </c>
    </row>
    <row r="1321" spans="1:41" x14ac:dyDescent="0.4">
      <c r="A1321" s="1">
        <v>1</v>
      </c>
      <c r="B1321" s="1" t="s">
        <v>1033</v>
      </c>
      <c r="C1321" s="1" t="s">
        <v>41</v>
      </c>
      <c r="D1321" s="2">
        <v>38959</v>
      </c>
      <c r="E1321" s="1">
        <v>242</v>
      </c>
      <c r="F1321" s="1">
        <v>14.5</v>
      </c>
      <c r="G1321" s="3">
        <v>0.67776620370370377</v>
      </c>
      <c r="H1321" s="3">
        <v>0.6778819444444445</v>
      </c>
      <c r="I1321" s="3">
        <v>1.1574074074072183E-4</v>
      </c>
      <c r="J1321" s="3">
        <v>1.1574074074072183E-4</v>
      </c>
      <c r="K1321" s="5">
        <f t="shared" si="103"/>
        <v>10</v>
      </c>
      <c r="L1321" s="3">
        <v>3.8194444444439313E-4</v>
      </c>
      <c r="N1321" s="1" t="s">
        <v>75</v>
      </c>
      <c r="O1321" s="1" t="s">
        <v>286</v>
      </c>
      <c r="P1321" s="1" t="s">
        <v>44</v>
      </c>
      <c r="Q1321" s="1" t="s">
        <v>76</v>
      </c>
      <c r="S1321" s="1" t="s">
        <v>46</v>
      </c>
      <c r="T1321" s="1" t="s">
        <v>45</v>
      </c>
      <c r="U1321" s="1" t="s">
        <v>66</v>
      </c>
      <c r="AB1321" s="1" t="s">
        <v>93</v>
      </c>
      <c r="AC1321" s="1">
        <v>1</v>
      </c>
      <c r="AI1321" s="1" t="s">
        <v>75</v>
      </c>
      <c r="AK1321" s="1" t="s">
        <v>86</v>
      </c>
      <c r="AL1321" s="1" t="s">
        <v>87</v>
      </c>
      <c r="AN1321" s="1">
        <v>1</v>
      </c>
      <c r="AO1321" s="1">
        <f t="shared" si="104"/>
        <v>1</v>
      </c>
    </row>
    <row r="1322" spans="1:41" x14ac:dyDescent="0.4">
      <c r="A1322" s="1">
        <v>1</v>
      </c>
      <c r="B1322" s="1" t="s">
        <v>1033</v>
      </c>
      <c r="C1322" s="1" t="s">
        <v>41</v>
      </c>
      <c r="D1322" s="2">
        <v>38959</v>
      </c>
      <c r="E1322" s="1">
        <v>242</v>
      </c>
      <c r="F1322" s="1">
        <v>14.6</v>
      </c>
      <c r="G1322" s="3">
        <v>0.67826388888888889</v>
      </c>
      <c r="H1322" s="3">
        <v>0.68021990740740745</v>
      </c>
      <c r="I1322" s="3">
        <v>1.9560185185185652E-3</v>
      </c>
      <c r="J1322" s="3">
        <v>4.5138888888895945E-4</v>
      </c>
      <c r="K1322" s="5">
        <f t="shared" si="103"/>
        <v>39</v>
      </c>
      <c r="L1322" s="3">
        <v>4.1435185185184631E-3</v>
      </c>
      <c r="N1322" s="1" t="s">
        <v>75</v>
      </c>
      <c r="O1322" s="1" t="s">
        <v>286</v>
      </c>
      <c r="P1322" s="1" t="s">
        <v>44</v>
      </c>
      <c r="Q1322" s="1" t="s">
        <v>76</v>
      </c>
      <c r="S1322" s="1" t="s">
        <v>46</v>
      </c>
      <c r="T1322" s="1" t="s">
        <v>76</v>
      </c>
      <c r="U1322" s="1" t="s">
        <v>66</v>
      </c>
      <c r="AB1322" s="1" t="s">
        <v>93</v>
      </c>
      <c r="AC1322" s="1">
        <v>1</v>
      </c>
      <c r="AI1322" s="1" t="s">
        <v>75</v>
      </c>
      <c r="AK1322" s="1" t="s">
        <v>61</v>
      </c>
      <c r="AL1322" s="1" t="s">
        <v>61</v>
      </c>
      <c r="AN1322" s="1">
        <v>1</v>
      </c>
      <c r="AO1322" s="1">
        <f t="shared" si="104"/>
        <v>1</v>
      </c>
    </row>
    <row r="1323" spans="1:41" x14ac:dyDescent="0.4">
      <c r="A1323" s="1">
        <v>1</v>
      </c>
      <c r="B1323" s="1" t="s">
        <v>1033</v>
      </c>
      <c r="C1323" s="1" t="s">
        <v>41</v>
      </c>
      <c r="D1323" s="2">
        <v>38959</v>
      </c>
      <c r="E1323" s="1">
        <v>242</v>
      </c>
      <c r="F1323" s="1">
        <v>15</v>
      </c>
      <c r="G1323" s="3">
        <v>0.68436342592592592</v>
      </c>
      <c r="H1323" s="3">
        <v>0.68862268518518521</v>
      </c>
      <c r="I1323" s="3">
        <v>4.2592592592592959E-3</v>
      </c>
      <c r="J1323" s="3">
        <v>4.2592592592592959E-3</v>
      </c>
      <c r="K1323" s="5">
        <f t="shared" si="103"/>
        <v>368</v>
      </c>
      <c r="L1323" s="3">
        <v>1.9444444444445264E-3</v>
      </c>
      <c r="N1323" s="1" t="s">
        <v>75</v>
      </c>
      <c r="O1323" s="1" t="s">
        <v>286</v>
      </c>
      <c r="P1323" s="1" t="s">
        <v>44</v>
      </c>
      <c r="Q1323" s="1" t="s">
        <v>132</v>
      </c>
      <c r="S1323" s="1" t="s">
        <v>46</v>
      </c>
      <c r="T1323" s="1" t="s">
        <v>45</v>
      </c>
      <c r="U1323" s="1" t="s">
        <v>66</v>
      </c>
      <c r="V1323" s="1" t="s">
        <v>49</v>
      </c>
      <c r="W1323" s="1" t="s">
        <v>383</v>
      </c>
      <c r="X1323" s="1" t="s">
        <v>1184</v>
      </c>
      <c r="Y1323" s="1" t="s">
        <v>600</v>
      </c>
      <c r="Z1323" s="1" t="s">
        <v>601</v>
      </c>
      <c r="AA1323" s="1" t="s">
        <v>1185</v>
      </c>
      <c r="AB1323" s="1" t="s">
        <v>1186</v>
      </c>
      <c r="AC1323" s="1">
        <v>0</v>
      </c>
      <c r="AD1323" s="1" t="s">
        <v>56</v>
      </c>
      <c r="AE1323" s="1" t="s">
        <v>83</v>
      </c>
      <c r="AG1323" s="1" t="s">
        <v>1213</v>
      </c>
      <c r="AH1323" s="1" t="s">
        <v>59</v>
      </c>
      <c r="AI1323" s="1" t="s">
        <v>75</v>
      </c>
      <c r="AK1323" s="1" t="s">
        <v>86</v>
      </c>
      <c r="AL1323" s="1" t="s">
        <v>87</v>
      </c>
      <c r="AM1323" s="1">
        <v>1</v>
      </c>
      <c r="AN1323" s="1">
        <v>0</v>
      </c>
      <c r="AO1323" s="1">
        <f t="shared" si="104"/>
        <v>1</v>
      </c>
    </row>
    <row r="1324" spans="1:41" x14ac:dyDescent="0.4">
      <c r="A1324" s="1">
        <v>1</v>
      </c>
      <c r="B1324" s="1" t="s">
        <v>1033</v>
      </c>
      <c r="C1324" s="1" t="s">
        <v>41</v>
      </c>
      <c r="D1324" s="2">
        <v>38959</v>
      </c>
      <c r="E1324" s="1">
        <v>242</v>
      </c>
      <c r="F1324" s="1">
        <v>16</v>
      </c>
      <c r="G1324" s="3">
        <v>0.69056712962962974</v>
      </c>
      <c r="H1324" s="3">
        <v>0.69062500000000004</v>
      </c>
      <c r="I1324" s="3">
        <v>5.7870370370305402E-5</v>
      </c>
      <c r="J1324" s="3">
        <v>5.7870370370305402E-5</v>
      </c>
      <c r="K1324" s="5">
        <f t="shared" si="103"/>
        <v>5</v>
      </c>
      <c r="L1324" s="3" t="s">
        <v>120</v>
      </c>
      <c r="N1324" s="1" t="s">
        <v>75</v>
      </c>
      <c r="O1324" s="1" t="s">
        <v>286</v>
      </c>
      <c r="P1324" s="1" t="s">
        <v>44</v>
      </c>
      <c r="Q1324" s="1" t="s">
        <v>45</v>
      </c>
      <c r="S1324" s="1" t="s">
        <v>46</v>
      </c>
      <c r="T1324" s="1" t="s">
        <v>45</v>
      </c>
      <c r="U1324" s="1" t="s">
        <v>66</v>
      </c>
      <c r="AB1324" s="1" t="s">
        <v>93</v>
      </c>
      <c r="AC1324" s="1">
        <v>1</v>
      </c>
      <c r="AI1324" s="1" t="s">
        <v>75</v>
      </c>
      <c r="AK1324" s="1" t="s">
        <v>86</v>
      </c>
      <c r="AL1324" s="1" t="s">
        <v>133</v>
      </c>
      <c r="AN1324" s="1">
        <v>1</v>
      </c>
      <c r="AO1324" s="1">
        <f t="shared" si="104"/>
        <v>1</v>
      </c>
    </row>
    <row r="1325" spans="1:41" x14ac:dyDescent="0.4">
      <c r="A1325" s="1">
        <v>1</v>
      </c>
      <c r="B1325" s="1" t="s">
        <v>1033</v>
      </c>
      <c r="C1325" s="1" t="s">
        <v>41</v>
      </c>
      <c r="D1325" s="2">
        <v>38979</v>
      </c>
      <c r="E1325" s="1">
        <v>262</v>
      </c>
      <c r="F1325" s="1">
        <v>1</v>
      </c>
      <c r="G1325" s="3">
        <v>0.27254629629629629</v>
      </c>
      <c r="H1325" s="3">
        <v>0.27858796296296295</v>
      </c>
      <c r="I1325" s="3">
        <v>6.0416666666666674E-3</v>
      </c>
      <c r="J1325" s="3">
        <v>5.787037037037035E-3</v>
      </c>
      <c r="K1325" s="5">
        <f t="shared" si="103"/>
        <v>500</v>
      </c>
      <c r="L1325" s="3">
        <v>3.9236111111111138E-2</v>
      </c>
      <c r="N1325" s="1" t="s">
        <v>75</v>
      </c>
      <c r="O1325" s="1" t="s">
        <v>286</v>
      </c>
      <c r="P1325" s="1" t="s">
        <v>44</v>
      </c>
      <c r="Q1325" s="1" t="s">
        <v>76</v>
      </c>
      <c r="S1325" s="1" t="s">
        <v>46</v>
      </c>
      <c r="T1325" s="1" t="s">
        <v>47</v>
      </c>
      <c r="U1325" s="1" t="s">
        <v>48</v>
      </c>
      <c r="V1325" s="1" t="s">
        <v>49</v>
      </c>
      <c r="W1325" s="1" t="s">
        <v>77</v>
      </c>
      <c r="X1325" s="1" t="s">
        <v>375</v>
      </c>
      <c r="Y1325" s="1" t="s">
        <v>376</v>
      </c>
      <c r="Z1325" s="1">
        <v>2</v>
      </c>
      <c r="AB1325" s="1" t="s">
        <v>377</v>
      </c>
      <c r="AC1325" s="1">
        <v>0</v>
      </c>
      <c r="AD1325" s="1" t="s">
        <v>56</v>
      </c>
      <c r="AE1325" s="1" t="s">
        <v>83</v>
      </c>
      <c r="AF1325" s="1" t="s">
        <v>113</v>
      </c>
      <c r="AG1325" s="1" t="s">
        <v>1214</v>
      </c>
      <c r="AH1325" s="1" t="s">
        <v>59</v>
      </c>
      <c r="AI1325" s="1" t="s">
        <v>75</v>
      </c>
      <c r="AJ1325" s="1" t="s">
        <v>147</v>
      </c>
      <c r="AK1325" s="1" t="s">
        <v>116</v>
      </c>
      <c r="AL1325" s="1" t="s">
        <v>174</v>
      </c>
      <c r="AM1325" s="1">
        <v>2</v>
      </c>
      <c r="AN1325" s="1">
        <v>0</v>
      </c>
      <c r="AO1325" s="1">
        <f t="shared" si="104"/>
        <v>2</v>
      </c>
    </row>
    <row r="1326" spans="1:41" x14ac:dyDescent="0.4">
      <c r="A1326" s="1">
        <v>1</v>
      </c>
      <c r="B1326" s="1" t="s">
        <v>1033</v>
      </c>
      <c r="C1326" s="1" t="s">
        <v>41</v>
      </c>
      <c r="D1326" s="2">
        <v>38979</v>
      </c>
      <c r="E1326" s="1">
        <v>262</v>
      </c>
      <c r="F1326" s="1">
        <v>2</v>
      </c>
      <c r="G1326" s="3">
        <v>0.31782407407407409</v>
      </c>
      <c r="H1326" s="3">
        <v>0.31829861111111107</v>
      </c>
      <c r="I1326" s="3">
        <v>4.7453703703698169E-4</v>
      </c>
      <c r="J1326" s="3">
        <v>4.7453703703698169E-4</v>
      </c>
      <c r="K1326" s="5">
        <f t="shared" si="103"/>
        <v>41</v>
      </c>
      <c r="L1326" s="3">
        <v>2.1180555555555536E-3</v>
      </c>
      <c r="N1326" s="1" t="s">
        <v>75</v>
      </c>
      <c r="O1326" s="1" t="s">
        <v>286</v>
      </c>
      <c r="P1326" s="1" t="s">
        <v>44</v>
      </c>
      <c r="Q1326" s="1" t="s">
        <v>45</v>
      </c>
      <c r="S1326" s="1" t="s">
        <v>46</v>
      </c>
      <c r="T1326" s="1" t="s">
        <v>47</v>
      </c>
      <c r="U1326" s="1" t="s">
        <v>48</v>
      </c>
      <c r="V1326" s="1" t="s">
        <v>102</v>
      </c>
      <c r="W1326" s="1" t="s">
        <v>184</v>
      </c>
      <c r="X1326" s="1" t="s">
        <v>96</v>
      </c>
      <c r="Y1326" s="1" t="s">
        <v>415</v>
      </c>
      <c r="Z1326" s="1" t="s">
        <v>416</v>
      </c>
      <c r="AA1326" s="1">
        <v>44</v>
      </c>
      <c r="AB1326" s="1" t="s">
        <v>417</v>
      </c>
      <c r="AC1326" s="1">
        <v>0</v>
      </c>
      <c r="AD1326" s="1" t="s">
        <v>105</v>
      </c>
      <c r="AE1326" s="1" t="s">
        <v>70</v>
      </c>
      <c r="AG1326" s="1" t="s">
        <v>1055</v>
      </c>
      <c r="AH1326" s="1" t="s">
        <v>157</v>
      </c>
      <c r="AI1326" s="1" t="s">
        <v>75</v>
      </c>
      <c r="AK1326" s="1" t="s">
        <v>86</v>
      </c>
      <c r="AL1326" s="1" t="s">
        <v>87</v>
      </c>
      <c r="AM1326" s="1">
        <v>5</v>
      </c>
      <c r="AN1326" s="1">
        <v>0</v>
      </c>
      <c r="AO1326" s="1">
        <f t="shared" si="104"/>
        <v>5</v>
      </c>
    </row>
    <row r="1327" spans="1:41" x14ac:dyDescent="0.4">
      <c r="A1327" s="1">
        <v>1</v>
      </c>
      <c r="B1327" s="1" t="s">
        <v>1033</v>
      </c>
      <c r="C1327" s="1" t="s">
        <v>41</v>
      </c>
      <c r="D1327" s="2">
        <v>38979</v>
      </c>
      <c r="E1327" s="1">
        <v>262</v>
      </c>
      <c r="F1327" s="1">
        <v>2.5</v>
      </c>
      <c r="G1327" s="3">
        <v>0.32041666666666663</v>
      </c>
      <c r="H1327" s="3">
        <v>0.32045138888888891</v>
      </c>
      <c r="I1327" s="3">
        <v>3.4722222222283161E-5</v>
      </c>
      <c r="J1327" s="3">
        <v>3.4722222222283161E-5</v>
      </c>
      <c r="K1327" s="5">
        <f t="shared" si="103"/>
        <v>3</v>
      </c>
      <c r="L1327" s="3">
        <v>2.5405092592592604E-2</v>
      </c>
      <c r="N1327" s="1" t="s">
        <v>75</v>
      </c>
      <c r="O1327" s="1" t="s">
        <v>286</v>
      </c>
      <c r="P1327" s="1" t="s">
        <v>44</v>
      </c>
      <c r="Q1327" s="1" t="s">
        <v>76</v>
      </c>
      <c r="S1327" s="1" t="s">
        <v>46</v>
      </c>
      <c r="T1327" s="1" t="s">
        <v>47</v>
      </c>
      <c r="U1327" s="1" t="s">
        <v>66</v>
      </c>
      <c r="AB1327" s="1" t="s">
        <v>93</v>
      </c>
      <c r="AC1327" s="1">
        <v>1</v>
      </c>
      <c r="AG1327" s="1" t="s">
        <v>1115</v>
      </c>
      <c r="AI1327" s="1" t="s">
        <v>75</v>
      </c>
      <c r="AK1327" s="1" t="s">
        <v>61</v>
      </c>
      <c r="AL1327" s="1" t="s">
        <v>133</v>
      </c>
      <c r="AM1327" s="1">
        <v>6</v>
      </c>
      <c r="AN1327" s="1">
        <v>0</v>
      </c>
      <c r="AO1327" s="1">
        <f t="shared" si="104"/>
        <v>6</v>
      </c>
    </row>
    <row r="1328" spans="1:41" x14ac:dyDescent="0.4">
      <c r="A1328" s="1">
        <v>1</v>
      </c>
      <c r="B1328" s="1" t="s">
        <v>1033</v>
      </c>
      <c r="C1328" s="1" t="s">
        <v>41</v>
      </c>
      <c r="D1328" s="2">
        <v>38979</v>
      </c>
      <c r="E1328" s="1">
        <v>262</v>
      </c>
      <c r="F1328" s="1">
        <v>3</v>
      </c>
      <c r="G1328" s="3">
        <v>0.34585648148148151</v>
      </c>
      <c r="H1328" s="3">
        <v>0.34843750000000001</v>
      </c>
      <c r="I1328" s="3">
        <v>2.5810185185184964E-3</v>
      </c>
      <c r="J1328" s="3">
        <v>2.5810185185184964E-3</v>
      </c>
      <c r="K1328" s="5">
        <f t="shared" si="103"/>
        <v>223</v>
      </c>
      <c r="L1328" s="3">
        <v>1.1192129629629566E-2</v>
      </c>
      <c r="N1328" s="1" t="s">
        <v>42</v>
      </c>
      <c r="O1328" s="1" t="s">
        <v>286</v>
      </c>
      <c r="P1328" s="1" t="s">
        <v>44</v>
      </c>
      <c r="Q1328" s="1" t="s">
        <v>132</v>
      </c>
      <c r="S1328" s="1" t="s">
        <v>46</v>
      </c>
      <c r="T1328" s="1" t="s">
        <v>47</v>
      </c>
      <c r="U1328" s="1" t="s">
        <v>156</v>
      </c>
      <c r="V1328" s="1" t="s">
        <v>49</v>
      </c>
      <c r="W1328" s="1" t="s">
        <v>77</v>
      </c>
      <c r="X1328" s="1" t="s">
        <v>596</v>
      </c>
      <c r="Y1328" s="1" t="s">
        <v>126</v>
      </c>
      <c r="Z1328" s="1" t="s">
        <v>618</v>
      </c>
      <c r="AA1328" s="1" t="s">
        <v>619</v>
      </c>
      <c r="AB1328" s="1" t="s">
        <v>620</v>
      </c>
      <c r="AC1328" s="1">
        <v>0</v>
      </c>
      <c r="AD1328" s="1" t="s">
        <v>56</v>
      </c>
      <c r="AE1328" s="1" t="s">
        <v>83</v>
      </c>
      <c r="AG1328" s="1" t="s">
        <v>1215</v>
      </c>
      <c r="AI1328" s="1" t="s">
        <v>75</v>
      </c>
      <c r="AK1328" s="1" t="s">
        <v>86</v>
      </c>
      <c r="AL1328" s="1" t="s">
        <v>133</v>
      </c>
      <c r="AM1328" s="1">
        <v>1</v>
      </c>
      <c r="AN1328" s="1">
        <v>0</v>
      </c>
      <c r="AO1328" s="1">
        <f t="shared" si="104"/>
        <v>1</v>
      </c>
    </row>
    <row r="1329" spans="1:41" x14ac:dyDescent="0.4">
      <c r="A1329" s="1">
        <v>1</v>
      </c>
      <c r="B1329" s="1" t="s">
        <v>1033</v>
      </c>
      <c r="C1329" s="1" t="s">
        <v>41</v>
      </c>
      <c r="D1329" s="2">
        <v>38979</v>
      </c>
      <c r="E1329" s="1">
        <v>262</v>
      </c>
      <c r="F1329" s="1">
        <v>4</v>
      </c>
      <c r="G1329" s="3">
        <v>0.35962962962962958</v>
      </c>
      <c r="H1329" s="3">
        <v>0.3633912037037037</v>
      </c>
      <c r="I1329" s="3">
        <v>3.7615740740741255E-3</v>
      </c>
      <c r="J1329" s="3">
        <v>3.7615740740741255E-3</v>
      </c>
      <c r="K1329" s="5">
        <f t="shared" si="103"/>
        <v>325</v>
      </c>
      <c r="L1329" s="3">
        <v>1.7928240740740786E-2</v>
      </c>
      <c r="N1329" s="1" t="s">
        <v>75</v>
      </c>
      <c r="O1329" s="1" t="s">
        <v>286</v>
      </c>
      <c r="P1329" s="1" t="s">
        <v>44</v>
      </c>
      <c r="S1329" s="1" t="s">
        <v>46</v>
      </c>
      <c r="T1329" s="1" t="s">
        <v>47</v>
      </c>
      <c r="U1329" s="1" t="s">
        <v>92</v>
      </c>
      <c r="V1329" s="1" t="s">
        <v>49</v>
      </c>
      <c r="W1329" s="1" t="s">
        <v>140</v>
      </c>
      <c r="X1329" s="1" t="s">
        <v>96</v>
      </c>
      <c r="Y1329" s="1">
        <v>65</v>
      </c>
      <c r="AB1329" s="1" t="s">
        <v>1216</v>
      </c>
      <c r="AC1329" s="1">
        <v>0</v>
      </c>
      <c r="AD1329" s="1" t="s">
        <v>56</v>
      </c>
      <c r="AE1329" s="1" t="s">
        <v>70</v>
      </c>
      <c r="AG1329" s="1" t="s">
        <v>1217</v>
      </c>
      <c r="AI1329" s="1" t="s">
        <v>75</v>
      </c>
      <c r="AK1329" s="1" t="s">
        <v>86</v>
      </c>
      <c r="AL1329" s="1" t="s">
        <v>133</v>
      </c>
      <c r="AM1329" s="1">
        <v>1</v>
      </c>
      <c r="AN1329" s="1">
        <v>0</v>
      </c>
      <c r="AO1329" s="1">
        <f t="shared" si="104"/>
        <v>1</v>
      </c>
    </row>
    <row r="1330" spans="1:41" x14ac:dyDescent="0.4">
      <c r="A1330" s="1">
        <v>1</v>
      </c>
      <c r="B1330" s="1" t="s">
        <v>1033</v>
      </c>
      <c r="C1330" s="1" t="s">
        <v>41</v>
      </c>
      <c r="D1330" s="2">
        <v>38979</v>
      </c>
      <c r="E1330" s="1">
        <v>262</v>
      </c>
      <c r="F1330" s="1">
        <v>6</v>
      </c>
      <c r="G1330" s="3">
        <v>0.38131944444444449</v>
      </c>
      <c r="H1330" s="3">
        <v>0.38768518518518519</v>
      </c>
      <c r="I1330" s="3">
        <v>6.3657407407406996E-3</v>
      </c>
      <c r="J1330" s="3">
        <v>4.8611111111110383E-3</v>
      </c>
      <c r="K1330" s="5">
        <f t="shared" si="103"/>
        <v>420</v>
      </c>
      <c r="L1330" s="3">
        <v>3.8240740740740686E-2</v>
      </c>
      <c r="N1330" s="1" t="s">
        <v>42</v>
      </c>
      <c r="O1330" s="1" t="s">
        <v>286</v>
      </c>
      <c r="P1330" s="1" t="s">
        <v>44</v>
      </c>
      <c r="Q1330" s="1" t="s">
        <v>76</v>
      </c>
      <c r="S1330" s="1" t="s">
        <v>46</v>
      </c>
      <c r="T1330" s="1" t="s">
        <v>47</v>
      </c>
      <c r="U1330" s="1" t="s">
        <v>156</v>
      </c>
      <c r="V1330" s="1" t="s">
        <v>102</v>
      </c>
      <c r="W1330" s="1" t="s">
        <v>103</v>
      </c>
      <c r="X1330" s="1" t="s">
        <v>96</v>
      </c>
      <c r="AB1330" s="1" t="s">
        <v>104</v>
      </c>
      <c r="AC1330" s="1">
        <v>0</v>
      </c>
      <c r="AD1330" s="1" t="s">
        <v>105</v>
      </c>
      <c r="AE1330" s="1" t="s">
        <v>70</v>
      </c>
      <c r="AF1330" s="1" t="s">
        <v>113</v>
      </c>
      <c r="AG1330" s="1" t="s">
        <v>1158</v>
      </c>
      <c r="AH1330" s="1" t="s">
        <v>157</v>
      </c>
      <c r="AI1330" s="1" t="s">
        <v>75</v>
      </c>
      <c r="AK1330" s="1" t="s">
        <v>86</v>
      </c>
      <c r="AL1330" s="1" t="s">
        <v>133</v>
      </c>
      <c r="AM1330" s="1">
        <v>6</v>
      </c>
      <c r="AN1330" s="1">
        <v>0</v>
      </c>
      <c r="AO1330" s="1">
        <f t="shared" si="104"/>
        <v>6</v>
      </c>
    </row>
    <row r="1331" spans="1:41" x14ac:dyDescent="0.4">
      <c r="A1331" s="1">
        <v>1</v>
      </c>
      <c r="B1331" s="1" t="s">
        <v>1033</v>
      </c>
      <c r="C1331" s="1" t="s">
        <v>41</v>
      </c>
      <c r="D1331" s="2">
        <v>38979</v>
      </c>
      <c r="E1331" s="1">
        <v>262</v>
      </c>
      <c r="F1331" s="1">
        <v>6.5</v>
      </c>
      <c r="G1331" s="3">
        <v>0.42592592592592587</v>
      </c>
      <c r="H1331" s="3">
        <v>0.42634259259259261</v>
      </c>
      <c r="I1331" s="3">
        <v>4.166666666667318E-4</v>
      </c>
      <c r="J1331" s="3">
        <v>6.94444444444553E-5</v>
      </c>
      <c r="K1331" s="5">
        <f t="shared" si="103"/>
        <v>6</v>
      </c>
      <c r="L1331" s="3">
        <v>2.1643518518518756E-3</v>
      </c>
      <c r="N1331" s="1" t="s">
        <v>42</v>
      </c>
      <c r="O1331" s="1" t="s">
        <v>286</v>
      </c>
      <c r="P1331" s="1" t="s">
        <v>44</v>
      </c>
      <c r="Q1331" s="1" t="s">
        <v>76</v>
      </c>
      <c r="S1331" s="1" t="s">
        <v>46</v>
      </c>
      <c r="T1331" s="1" t="s">
        <v>47</v>
      </c>
      <c r="U1331" s="1" t="s">
        <v>48</v>
      </c>
      <c r="V1331" s="1" t="s">
        <v>67</v>
      </c>
      <c r="W1331" s="1" t="s">
        <v>68</v>
      </c>
      <c r="Y1331" s="1" t="s">
        <v>68</v>
      </c>
      <c r="AB1331" s="1" t="s">
        <v>69</v>
      </c>
      <c r="AC1331" s="1">
        <v>0</v>
      </c>
      <c r="AD1331" s="1" t="s">
        <v>68</v>
      </c>
      <c r="AE1331" s="1" t="s">
        <v>70</v>
      </c>
      <c r="AG1331" s="1" t="s">
        <v>1158</v>
      </c>
      <c r="AI1331" s="1" t="s">
        <v>60</v>
      </c>
      <c r="AK1331" s="1" t="s">
        <v>86</v>
      </c>
      <c r="AL1331" s="1" t="s">
        <v>87</v>
      </c>
      <c r="AM1331" s="1">
        <v>6</v>
      </c>
      <c r="AN1331" s="1">
        <v>0</v>
      </c>
      <c r="AO1331" s="1">
        <f t="shared" si="104"/>
        <v>6</v>
      </c>
    </row>
    <row r="1332" spans="1:41" x14ac:dyDescent="0.4">
      <c r="A1332" s="1">
        <v>1</v>
      </c>
      <c r="B1332" s="1" t="s">
        <v>1033</v>
      </c>
      <c r="C1332" s="1" t="s">
        <v>41</v>
      </c>
      <c r="D1332" s="2">
        <v>38979</v>
      </c>
      <c r="E1332" s="1">
        <v>262</v>
      </c>
      <c r="F1332" s="1">
        <v>7</v>
      </c>
      <c r="G1332" s="3">
        <v>0.42850694444444448</v>
      </c>
      <c r="H1332" s="3">
        <v>0.43170138888888893</v>
      </c>
      <c r="I1332" s="3">
        <v>3.1944444444444442E-3</v>
      </c>
      <c r="J1332" s="3">
        <v>5.9027777777775903E-4</v>
      </c>
      <c r="K1332" s="5">
        <f t="shared" si="103"/>
        <v>51</v>
      </c>
      <c r="L1332" s="3">
        <v>4.5254629629629672E-3</v>
      </c>
      <c r="N1332" s="1" t="s">
        <v>42</v>
      </c>
      <c r="O1332" s="1" t="s">
        <v>286</v>
      </c>
      <c r="P1332" s="1" t="s">
        <v>44</v>
      </c>
      <c r="Q1332" s="1" t="s">
        <v>76</v>
      </c>
      <c r="S1332" s="1" t="s">
        <v>46</v>
      </c>
      <c r="T1332" s="1" t="s">
        <v>47</v>
      </c>
      <c r="U1332" s="1" t="s">
        <v>48</v>
      </c>
      <c r="V1332" s="1" t="s">
        <v>102</v>
      </c>
      <c r="W1332" s="1" t="s">
        <v>103</v>
      </c>
      <c r="X1332" s="1" t="s">
        <v>96</v>
      </c>
      <c r="AB1332" s="1" t="s">
        <v>104</v>
      </c>
      <c r="AC1332" s="1">
        <v>0</v>
      </c>
      <c r="AD1332" s="1" t="s">
        <v>105</v>
      </c>
      <c r="AE1332" s="1" t="s">
        <v>70</v>
      </c>
      <c r="AF1332" s="1" t="s">
        <v>84</v>
      </c>
      <c r="AG1332" s="1" t="s">
        <v>1115</v>
      </c>
      <c r="AH1332" s="1" t="s">
        <v>157</v>
      </c>
      <c r="AI1332" s="1" t="s">
        <v>60</v>
      </c>
      <c r="AK1332" s="1" t="s">
        <v>86</v>
      </c>
      <c r="AL1332" s="1" t="s">
        <v>86</v>
      </c>
      <c r="AM1332" s="1">
        <v>6</v>
      </c>
      <c r="AN1332" s="1">
        <v>0</v>
      </c>
      <c r="AO1332" s="1">
        <f t="shared" si="104"/>
        <v>6</v>
      </c>
    </row>
    <row r="1333" spans="1:41" x14ac:dyDescent="0.4">
      <c r="A1333" s="1">
        <v>1</v>
      </c>
      <c r="B1333" s="1" t="s">
        <v>1033</v>
      </c>
      <c r="C1333" s="1" t="s">
        <v>41</v>
      </c>
      <c r="D1333" s="2">
        <v>38979</v>
      </c>
      <c r="E1333" s="1">
        <v>262</v>
      </c>
      <c r="F1333" s="1">
        <v>8</v>
      </c>
      <c r="G1333" s="3">
        <v>0.43622685185185189</v>
      </c>
      <c r="H1333" s="3">
        <v>0.45015046296296296</v>
      </c>
      <c r="I1333" s="3">
        <v>1.3923611111111067E-2</v>
      </c>
      <c r="J1333" s="3">
        <v>1.193287037037033E-2</v>
      </c>
      <c r="K1333" s="5">
        <f t="shared" si="103"/>
        <v>1031</v>
      </c>
      <c r="L1333" s="3">
        <v>1.5405092592592595E-2</v>
      </c>
      <c r="N1333" s="1" t="s">
        <v>42</v>
      </c>
      <c r="O1333" s="1" t="s">
        <v>286</v>
      </c>
      <c r="P1333" s="1" t="s">
        <v>44</v>
      </c>
      <c r="Q1333" s="1" t="s">
        <v>132</v>
      </c>
      <c r="S1333" s="1" t="s">
        <v>46</v>
      </c>
      <c r="T1333" s="1" t="s">
        <v>47</v>
      </c>
      <c r="U1333" s="1" t="s">
        <v>156</v>
      </c>
      <c r="V1333" s="1" t="s">
        <v>49</v>
      </c>
      <c r="W1333" s="1" t="s">
        <v>77</v>
      </c>
      <c r="X1333" s="1" t="s">
        <v>375</v>
      </c>
      <c r="Y1333" s="1" t="s">
        <v>376</v>
      </c>
      <c r="Z1333" s="1">
        <v>2</v>
      </c>
      <c r="AB1333" s="1" t="s">
        <v>377</v>
      </c>
      <c r="AC1333" s="1">
        <v>0</v>
      </c>
      <c r="AD1333" s="1" t="s">
        <v>56</v>
      </c>
      <c r="AE1333" s="1" t="s">
        <v>83</v>
      </c>
      <c r="AF1333" s="1" t="s">
        <v>84</v>
      </c>
      <c r="AG1333" s="1" t="s">
        <v>1214</v>
      </c>
      <c r="AH1333" s="1" t="s">
        <v>59</v>
      </c>
      <c r="AI1333" s="1" t="s">
        <v>75</v>
      </c>
      <c r="AK1333" s="1" t="s">
        <v>86</v>
      </c>
      <c r="AL1333" s="1" t="s">
        <v>187</v>
      </c>
      <c r="AM1333" s="1">
        <v>2</v>
      </c>
      <c r="AN1333" s="1">
        <v>0</v>
      </c>
      <c r="AO1333" s="1">
        <f t="shared" si="104"/>
        <v>2</v>
      </c>
    </row>
    <row r="1334" spans="1:41" x14ac:dyDescent="0.4">
      <c r="A1334" s="1">
        <v>1</v>
      </c>
      <c r="B1334" s="1" t="s">
        <v>1033</v>
      </c>
      <c r="C1334" s="1" t="s">
        <v>41</v>
      </c>
      <c r="D1334" s="2">
        <v>38979</v>
      </c>
      <c r="E1334" s="1">
        <v>262</v>
      </c>
      <c r="F1334" s="1">
        <v>8.1999999999999993</v>
      </c>
      <c r="G1334" s="3">
        <v>0.46555555555555556</v>
      </c>
      <c r="H1334" s="3">
        <v>0.46559027777777778</v>
      </c>
      <c r="I1334" s="3">
        <v>3.472222222222765E-5</v>
      </c>
      <c r="J1334" s="3">
        <v>3.472222222222765E-5</v>
      </c>
      <c r="K1334" s="5">
        <f t="shared" si="103"/>
        <v>3</v>
      </c>
      <c r="L1334" s="3">
        <v>5.1504629629629539E-3</v>
      </c>
      <c r="N1334" s="1" t="s">
        <v>42</v>
      </c>
      <c r="O1334" s="1" t="s">
        <v>286</v>
      </c>
      <c r="P1334" s="1" t="s">
        <v>44</v>
      </c>
      <c r="Q1334" s="1" t="s">
        <v>76</v>
      </c>
      <c r="S1334" s="1" t="s">
        <v>46</v>
      </c>
      <c r="T1334" s="1" t="s">
        <v>76</v>
      </c>
      <c r="U1334" s="1" t="s">
        <v>156</v>
      </c>
      <c r="AB1334" s="1" t="s">
        <v>93</v>
      </c>
      <c r="AC1334" s="1">
        <v>1</v>
      </c>
      <c r="AG1334" s="1" t="s">
        <v>1135</v>
      </c>
      <c r="AI1334" s="1" t="s">
        <v>75</v>
      </c>
      <c r="AK1334" s="1" t="s">
        <v>86</v>
      </c>
      <c r="AL1334" s="1" t="s">
        <v>87</v>
      </c>
      <c r="AM1334" s="1">
        <v>4</v>
      </c>
      <c r="AN1334" s="1">
        <v>0</v>
      </c>
      <c r="AO1334" s="1">
        <f t="shared" si="104"/>
        <v>4</v>
      </c>
    </row>
    <row r="1335" spans="1:41" x14ac:dyDescent="0.4">
      <c r="A1335" s="1">
        <v>1</v>
      </c>
      <c r="B1335" s="1" t="s">
        <v>1033</v>
      </c>
      <c r="C1335" s="1" t="s">
        <v>41</v>
      </c>
      <c r="D1335" s="2">
        <v>38979</v>
      </c>
      <c r="E1335" s="1">
        <v>262</v>
      </c>
      <c r="F1335" s="1">
        <v>8.3000000000000007</v>
      </c>
      <c r="G1335" s="3">
        <v>0.47074074074074074</v>
      </c>
      <c r="H1335" s="3">
        <v>0.47371527777777778</v>
      </c>
      <c r="I1335" s="3">
        <v>2.9745370370370394E-3</v>
      </c>
      <c r="J1335" s="3">
        <v>3.3564814814818211E-4</v>
      </c>
      <c r="K1335" s="5">
        <f t="shared" si="103"/>
        <v>29</v>
      </c>
      <c r="L1335" s="3">
        <v>1.8171296296296546E-3</v>
      </c>
      <c r="N1335" s="1" t="s">
        <v>42</v>
      </c>
      <c r="O1335" s="1" t="s">
        <v>286</v>
      </c>
      <c r="P1335" s="1" t="s">
        <v>44</v>
      </c>
      <c r="Q1335" s="1" t="s">
        <v>191</v>
      </c>
      <c r="S1335" s="1" t="s">
        <v>46</v>
      </c>
      <c r="T1335" s="1" t="s">
        <v>45</v>
      </c>
      <c r="U1335" s="1" t="s">
        <v>92</v>
      </c>
      <c r="V1335" s="1" t="s">
        <v>67</v>
      </c>
      <c r="W1335" s="1" t="s">
        <v>68</v>
      </c>
      <c r="Y1335" s="1" t="s">
        <v>68</v>
      </c>
      <c r="AB1335" s="1" t="s">
        <v>69</v>
      </c>
      <c r="AC1335" s="1">
        <v>0</v>
      </c>
      <c r="AD1335" s="1" t="s">
        <v>68</v>
      </c>
      <c r="AE1335" s="1" t="s">
        <v>70</v>
      </c>
      <c r="AG1335" s="1" t="s">
        <v>1139</v>
      </c>
      <c r="AI1335" s="1" t="s">
        <v>75</v>
      </c>
      <c r="AK1335" s="1" t="s">
        <v>86</v>
      </c>
      <c r="AL1335" s="1" t="s">
        <v>187</v>
      </c>
      <c r="AM1335" s="1">
        <v>2</v>
      </c>
      <c r="AN1335" s="1">
        <v>0</v>
      </c>
      <c r="AO1335" s="1">
        <f t="shared" si="104"/>
        <v>2</v>
      </c>
    </row>
    <row r="1336" spans="1:41" x14ac:dyDescent="0.4">
      <c r="A1336" s="1">
        <v>1</v>
      </c>
      <c r="B1336" s="1" t="s">
        <v>1033</v>
      </c>
      <c r="C1336" s="1" t="s">
        <v>41</v>
      </c>
      <c r="D1336" s="2">
        <v>38979</v>
      </c>
      <c r="E1336" s="1">
        <v>262</v>
      </c>
      <c r="F1336" s="1">
        <v>8.5</v>
      </c>
      <c r="G1336" s="3">
        <v>0.47553240740740743</v>
      </c>
      <c r="H1336" s="3">
        <v>0.47886574074074079</v>
      </c>
      <c r="I1336" s="3">
        <v>3.3333333333333548E-3</v>
      </c>
      <c r="J1336" s="3">
        <v>4.2824074074071516E-4</v>
      </c>
      <c r="K1336" s="5">
        <f t="shared" si="103"/>
        <v>37</v>
      </c>
      <c r="L1336" s="3">
        <v>4.1666666666666519E-3</v>
      </c>
      <c r="N1336" s="1" t="s">
        <v>42</v>
      </c>
      <c r="O1336" s="1" t="s">
        <v>286</v>
      </c>
      <c r="P1336" s="1" t="s">
        <v>44</v>
      </c>
      <c r="Q1336" s="1" t="s">
        <v>191</v>
      </c>
      <c r="S1336" s="1" t="s">
        <v>46</v>
      </c>
      <c r="T1336" s="1" t="s">
        <v>45</v>
      </c>
      <c r="U1336" s="1" t="s">
        <v>66</v>
      </c>
      <c r="V1336" s="1" t="s">
        <v>67</v>
      </c>
      <c r="W1336" s="1" t="s">
        <v>68</v>
      </c>
      <c r="Y1336" s="1" t="s">
        <v>68</v>
      </c>
      <c r="AB1336" s="1" t="s">
        <v>69</v>
      </c>
      <c r="AC1336" s="1">
        <v>0</v>
      </c>
      <c r="AD1336" s="1" t="s">
        <v>68</v>
      </c>
      <c r="AE1336" s="1" t="s">
        <v>70</v>
      </c>
      <c r="AG1336" s="1" t="s">
        <v>1131</v>
      </c>
      <c r="AI1336" s="1" t="s">
        <v>71</v>
      </c>
      <c r="AK1336" s="1" t="s">
        <v>86</v>
      </c>
      <c r="AL1336" s="1" t="s">
        <v>87</v>
      </c>
      <c r="AM1336" s="1">
        <v>6</v>
      </c>
      <c r="AN1336" s="1">
        <v>0</v>
      </c>
      <c r="AO1336" s="1">
        <f t="shared" si="104"/>
        <v>6</v>
      </c>
    </row>
    <row r="1337" spans="1:41" x14ac:dyDescent="0.4">
      <c r="A1337" s="1">
        <v>1</v>
      </c>
      <c r="B1337" s="1" t="s">
        <v>1033</v>
      </c>
      <c r="C1337" s="1" t="s">
        <v>41</v>
      </c>
      <c r="D1337" s="2">
        <v>38979</v>
      </c>
      <c r="E1337" s="1">
        <v>262</v>
      </c>
      <c r="F1337" s="1">
        <v>10.199999999999999</v>
      </c>
      <c r="G1337" s="3">
        <v>0.48303240740740744</v>
      </c>
      <c r="H1337" s="3">
        <v>0.48306712962962961</v>
      </c>
      <c r="I1337" s="3">
        <v>3.4722222222172139E-5</v>
      </c>
      <c r="J1337" s="3">
        <v>3.4722222222172139E-5</v>
      </c>
      <c r="K1337" s="5">
        <f t="shared" si="103"/>
        <v>3</v>
      </c>
      <c r="L1337" s="3">
        <v>1.6435185185185719E-3</v>
      </c>
      <c r="N1337" s="1" t="s">
        <v>42</v>
      </c>
      <c r="O1337" s="1" t="s">
        <v>286</v>
      </c>
      <c r="P1337" s="1" t="s">
        <v>44</v>
      </c>
      <c r="Q1337" s="1" t="s">
        <v>76</v>
      </c>
      <c r="S1337" s="1" t="s">
        <v>46</v>
      </c>
      <c r="T1337" s="1" t="s">
        <v>45</v>
      </c>
      <c r="U1337" s="1" t="s">
        <v>48</v>
      </c>
      <c r="AB1337" s="1" t="s">
        <v>93</v>
      </c>
      <c r="AC1337" s="1">
        <v>1</v>
      </c>
      <c r="AG1337" s="1" t="s">
        <v>1136</v>
      </c>
      <c r="AI1337" s="1" t="s">
        <v>60</v>
      </c>
      <c r="AK1337" s="1" t="s">
        <v>86</v>
      </c>
      <c r="AL1337" s="1" t="s">
        <v>187</v>
      </c>
      <c r="AM1337" s="1">
        <v>10</v>
      </c>
      <c r="AN1337" s="1">
        <v>0</v>
      </c>
      <c r="AO1337" s="1">
        <f t="shared" si="104"/>
        <v>10</v>
      </c>
    </row>
    <row r="1338" spans="1:41" x14ac:dyDescent="0.4">
      <c r="A1338" s="1">
        <v>1</v>
      </c>
      <c r="B1338" s="1" t="s">
        <v>1033</v>
      </c>
      <c r="C1338" s="1" t="s">
        <v>41</v>
      </c>
      <c r="D1338" s="2">
        <v>38979</v>
      </c>
      <c r="E1338" s="1">
        <v>262</v>
      </c>
      <c r="F1338" s="1">
        <v>10.3</v>
      </c>
      <c r="G1338" s="3">
        <v>0.48471064814814818</v>
      </c>
      <c r="H1338" s="3">
        <v>0.48476851851851849</v>
      </c>
      <c r="I1338" s="3">
        <v>5.7870370370305402E-5</v>
      </c>
      <c r="J1338" s="3">
        <v>5.7870370370305402E-5</v>
      </c>
      <c r="K1338" s="5">
        <f t="shared" si="103"/>
        <v>5</v>
      </c>
      <c r="L1338" s="3">
        <v>1.435185185185206E-3</v>
      </c>
      <c r="N1338" s="1" t="s">
        <v>42</v>
      </c>
      <c r="O1338" s="1" t="s">
        <v>286</v>
      </c>
      <c r="P1338" s="1" t="s">
        <v>44</v>
      </c>
      <c r="Q1338" s="1" t="s">
        <v>76</v>
      </c>
      <c r="S1338" s="1" t="s">
        <v>46</v>
      </c>
      <c r="T1338" s="1" t="s">
        <v>45</v>
      </c>
      <c r="U1338" s="1" t="s">
        <v>66</v>
      </c>
      <c r="AB1338" s="1" t="s">
        <v>93</v>
      </c>
      <c r="AC1338" s="1">
        <v>1</v>
      </c>
      <c r="AI1338" s="1" t="s">
        <v>71</v>
      </c>
      <c r="AK1338" s="1" t="s">
        <v>61</v>
      </c>
      <c r="AL1338" s="1" t="s">
        <v>133</v>
      </c>
      <c r="AN1338" s="1">
        <v>1</v>
      </c>
      <c r="AO1338" s="1">
        <f t="shared" si="104"/>
        <v>1</v>
      </c>
    </row>
    <row r="1339" spans="1:41" x14ac:dyDescent="0.4">
      <c r="A1339" s="1">
        <v>1</v>
      </c>
      <c r="B1339" s="1" t="s">
        <v>1033</v>
      </c>
      <c r="C1339" s="1" t="s">
        <v>41</v>
      </c>
      <c r="D1339" s="2">
        <v>38979</v>
      </c>
      <c r="E1339" s="1">
        <v>262</v>
      </c>
      <c r="F1339" s="1">
        <v>10.35</v>
      </c>
      <c r="G1339" s="3">
        <v>0.48620370370370369</v>
      </c>
      <c r="H1339" s="3">
        <v>0.48674768518518513</v>
      </c>
      <c r="I1339" s="3">
        <v>5.4398148148143699E-4</v>
      </c>
      <c r="J1339" s="3">
        <v>5.4398148148143699E-4</v>
      </c>
      <c r="K1339" s="5">
        <f t="shared" si="103"/>
        <v>47</v>
      </c>
      <c r="L1339" s="3">
        <v>4.8032407407407884E-3</v>
      </c>
      <c r="N1339" s="1" t="s">
        <v>42</v>
      </c>
      <c r="O1339" s="1" t="s">
        <v>286</v>
      </c>
      <c r="P1339" s="1" t="s">
        <v>44</v>
      </c>
      <c r="Q1339" s="1" t="s">
        <v>76</v>
      </c>
      <c r="S1339" s="1" t="s">
        <v>46</v>
      </c>
      <c r="T1339" s="1" t="s">
        <v>45</v>
      </c>
      <c r="U1339" s="1" t="s">
        <v>156</v>
      </c>
      <c r="AB1339" s="1" t="s">
        <v>93</v>
      </c>
      <c r="AC1339" s="1">
        <v>1</v>
      </c>
      <c r="AG1339" s="1" t="s">
        <v>1136</v>
      </c>
      <c r="AI1339" s="1" t="s">
        <v>75</v>
      </c>
      <c r="AK1339" s="1" t="s">
        <v>86</v>
      </c>
      <c r="AL1339" s="1" t="s">
        <v>187</v>
      </c>
      <c r="AM1339" s="1">
        <v>10</v>
      </c>
      <c r="AN1339" s="1">
        <v>0</v>
      </c>
      <c r="AO1339" s="1">
        <f t="shared" si="104"/>
        <v>10</v>
      </c>
    </row>
    <row r="1340" spans="1:41" x14ac:dyDescent="0.4">
      <c r="A1340" s="1">
        <v>1</v>
      </c>
      <c r="B1340" s="1" t="s">
        <v>1033</v>
      </c>
      <c r="C1340" s="1" t="s">
        <v>41</v>
      </c>
      <c r="D1340" s="2">
        <v>38979</v>
      </c>
      <c r="E1340" s="1">
        <v>262</v>
      </c>
      <c r="F1340" s="1">
        <v>10.37</v>
      </c>
      <c r="G1340" s="3">
        <v>0.49155092592592592</v>
      </c>
      <c r="H1340" s="3">
        <v>0.49160879629629628</v>
      </c>
      <c r="I1340" s="3">
        <v>5.7870370370360913E-5</v>
      </c>
      <c r="J1340" s="3">
        <v>5.7870370370360913E-5</v>
      </c>
      <c r="K1340" s="5">
        <f t="shared" si="103"/>
        <v>5</v>
      </c>
      <c r="L1340" s="3">
        <v>3.6226851851852149E-3</v>
      </c>
      <c r="N1340" s="1" t="s">
        <v>42</v>
      </c>
      <c r="O1340" s="1" t="s">
        <v>286</v>
      </c>
      <c r="P1340" s="1" t="s">
        <v>44</v>
      </c>
      <c r="Q1340" s="1" t="s">
        <v>45</v>
      </c>
      <c r="S1340" s="1" t="s">
        <v>46</v>
      </c>
      <c r="T1340" s="1" t="s">
        <v>45</v>
      </c>
      <c r="U1340" s="1" t="s">
        <v>156</v>
      </c>
      <c r="AB1340" s="1" t="s">
        <v>93</v>
      </c>
      <c r="AC1340" s="1">
        <v>1</v>
      </c>
      <c r="AG1340" s="1" t="s">
        <v>1136</v>
      </c>
      <c r="AI1340" s="1" t="s">
        <v>75</v>
      </c>
      <c r="AK1340" s="1" t="s">
        <v>86</v>
      </c>
      <c r="AL1340" s="1" t="s">
        <v>187</v>
      </c>
      <c r="AM1340" s="1">
        <v>10</v>
      </c>
      <c r="AN1340" s="1">
        <v>0</v>
      </c>
      <c r="AO1340" s="1">
        <f t="shared" si="104"/>
        <v>10</v>
      </c>
    </row>
    <row r="1341" spans="1:41" x14ac:dyDescent="0.4">
      <c r="A1341" s="1">
        <v>1</v>
      </c>
      <c r="B1341" s="1" t="s">
        <v>1033</v>
      </c>
      <c r="C1341" s="1" t="s">
        <v>41</v>
      </c>
      <c r="D1341" s="2">
        <v>38979</v>
      </c>
      <c r="E1341" s="1">
        <v>262</v>
      </c>
      <c r="F1341" s="1">
        <v>10.4</v>
      </c>
      <c r="G1341" s="3">
        <v>0.49523148148148149</v>
      </c>
      <c r="H1341" s="3">
        <v>0.49539351851851854</v>
      </c>
      <c r="I1341" s="3">
        <v>1.6203703703704386E-4</v>
      </c>
      <c r="J1341" s="3">
        <v>1.6203703703704386E-4</v>
      </c>
      <c r="K1341" s="5">
        <f t="shared" si="103"/>
        <v>14</v>
      </c>
      <c r="L1341" s="3">
        <v>6.1574074074074447E-3</v>
      </c>
      <c r="N1341" s="1" t="s">
        <v>42</v>
      </c>
      <c r="O1341" s="1" t="s">
        <v>286</v>
      </c>
      <c r="P1341" s="1" t="s">
        <v>44</v>
      </c>
      <c r="Q1341" s="1" t="s">
        <v>45</v>
      </c>
      <c r="S1341" s="1" t="s">
        <v>46</v>
      </c>
      <c r="T1341" s="1" t="s">
        <v>45</v>
      </c>
      <c r="U1341" s="1" t="s">
        <v>156</v>
      </c>
      <c r="V1341" s="1" t="s">
        <v>67</v>
      </c>
      <c r="W1341" s="1" t="s">
        <v>68</v>
      </c>
      <c r="Y1341" s="1" t="s">
        <v>68</v>
      </c>
      <c r="AB1341" s="1" t="s">
        <v>69</v>
      </c>
      <c r="AC1341" s="1">
        <v>0</v>
      </c>
      <c r="AD1341" s="1" t="s">
        <v>68</v>
      </c>
      <c r="AE1341" s="1" t="s">
        <v>70</v>
      </c>
      <c r="AI1341" s="1" t="s">
        <v>75</v>
      </c>
      <c r="AK1341" s="1" t="s">
        <v>86</v>
      </c>
      <c r="AL1341" s="1" t="s">
        <v>187</v>
      </c>
      <c r="AN1341" s="1">
        <v>1</v>
      </c>
      <c r="AO1341" s="1">
        <f t="shared" si="104"/>
        <v>1</v>
      </c>
    </row>
    <row r="1342" spans="1:41" x14ac:dyDescent="0.4">
      <c r="A1342" s="1">
        <v>1</v>
      </c>
      <c r="B1342" s="1" t="s">
        <v>1033</v>
      </c>
      <c r="C1342" s="1" t="s">
        <v>41</v>
      </c>
      <c r="D1342" s="2">
        <v>38979</v>
      </c>
      <c r="E1342" s="1">
        <v>262</v>
      </c>
      <c r="F1342" s="1">
        <v>10.6</v>
      </c>
      <c r="G1342" s="3">
        <v>0.50155092592592598</v>
      </c>
      <c r="H1342" s="3">
        <v>0.50491898148148151</v>
      </c>
      <c r="I1342" s="3">
        <v>3.3680555555555269E-3</v>
      </c>
      <c r="J1342" s="3">
        <v>6.134259259259478E-4</v>
      </c>
      <c r="K1342" s="5">
        <f t="shared" si="103"/>
        <v>53</v>
      </c>
      <c r="L1342" s="3">
        <v>1.6203703703703276E-3</v>
      </c>
      <c r="N1342" s="1" t="s">
        <v>42</v>
      </c>
      <c r="O1342" s="1" t="s">
        <v>286</v>
      </c>
      <c r="P1342" s="1" t="s">
        <v>44</v>
      </c>
      <c r="Q1342" s="1" t="s">
        <v>76</v>
      </c>
      <c r="S1342" s="1" t="s">
        <v>46</v>
      </c>
      <c r="T1342" s="1" t="s">
        <v>45</v>
      </c>
      <c r="U1342" s="1" t="s">
        <v>156</v>
      </c>
      <c r="V1342" s="1" t="s">
        <v>67</v>
      </c>
      <c r="W1342" s="1" t="s">
        <v>68</v>
      </c>
      <c r="Y1342" s="1" t="s">
        <v>68</v>
      </c>
      <c r="AB1342" s="1" t="s">
        <v>69</v>
      </c>
      <c r="AC1342" s="1">
        <v>0</v>
      </c>
      <c r="AD1342" s="1" t="s">
        <v>68</v>
      </c>
      <c r="AE1342" s="1" t="s">
        <v>70</v>
      </c>
      <c r="AI1342" s="1" t="s">
        <v>75</v>
      </c>
      <c r="AK1342" s="1" t="s">
        <v>86</v>
      </c>
      <c r="AL1342" s="1" t="s">
        <v>87</v>
      </c>
      <c r="AN1342" s="1">
        <v>1</v>
      </c>
      <c r="AO1342" s="1">
        <f t="shared" si="104"/>
        <v>1</v>
      </c>
    </row>
    <row r="1343" spans="1:41" x14ac:dyDescent="0.4">
      <c r="A1343" s="1">
        <v>1</v>
      </c>
      <c r="B1343" s="1" t="s">
        <v>1033</v>
      </c>
      <c r="C1343" s="1" t="s">
        <v>41</v>
      </c>
      <c r="D1343" s="2">
        <v>38979</v>
      </c>
      <c r="E1343" s="1">
        <v>262</v>
      </c>
      <c r="F1343" s="1">
        <v>11</v>
      </c>
      <c r="G1343" s="3">
        <v>0.50653935185185184</v>
      </c>
      <c r="H1343" s="3">
        <v>0.52307870370370368</v>
      </c>
      <c r="I1343" s="3">
        <v>1.6539351851851847E-2</v>
      </c>
      <c r="J1343" s="3">
        <v>1.8171296296296546E-3</v>
      </c>
      <c r="K1343" s="5">
        <f t="shared" si="103"/>
        <v>157</v>
      </c>
      <c r="L1343" s="3">
        <v>5.1736111111111427E-3</v>
      </c>
      <c r="N1343" s="1" t="s">
        <v>42</v>
      </c>
      <c r="O1343" s="1" t="s">
        <v>286</v>
      </c>
      <c r="P1343" s="1" t="s">
        <v>44</v>
      </c>
      <c r="Q1343" s="1" t="s">
        <v>191</v>
      </c>
      <c r="S1343" s="1" t="s">
        <v>46</v>
      </c>
      <c r="T1343" s="1" t="s">
        <v>45</v>
      </c>
      <c r="U1343" s="1" t="s">
        <v>156</v>
      </c>
      <c r="V1343" s="1" t="s">
        <v>67</v>
      </c>
      <c r="W1343" s="1" t="s">
        <v>68</v>
      </c>
      <c r="X1343" s="1" t="s">
        <v>434</v>
      </c>
      <c r="Y1343" s="1" t="s">
        <v>68</v>
      </c>
      <c r="AB1343" s="1" t="s">
        <v>69</v>
      </c>
      <c r="AC1343" s="1">
        <v>0</v>
      </c>
      <c r="AD1343" s="1" t="s">
        <v>68</v>
      </c>
      <c r="AE1343" s="1" t="s">
        <v>70</v>
      </c>
      <c r="AG1343" s="1" t="s">
        <v>1136</v>
      </c>
      <c r="AH1343" s="1" t="s">
        <v>157</v>
      </c>
      <c r="AI1343" s="1" t="s">
        <v>75</v>
      </c>
      <c r="AK1343" s="1" t="s">
        <v>86</v>
      </c>
      <c r="AL1343" s="1" t="s">
        <v>87</v>
      </c>
      <c r="AM1343" s="1">
        <v>10</v>
      </c>
      <c r="AN1343" s="1">
        <v>0</v>
      </c>
      <c r="AO1343" s="1">
        <f t="shared" si="104"/>
        <v>10</v>
      </c>
    </row>
    <row r="1344" spans="1:41" x14ac:dyDescent="0.4">
      <c r="A1344" s="1">
        <v>1</v>
      </c>
      <c r="B1344" s="1" t="s">
        <v>1033</v>
      </c>
      <c r="C1344" s="1" t="s">
        <v>41</v>
      </c>
      <c r="D1344" s="2">
        <v>38979</v>
      </c>
      <c r="E1344" s="1">
        <v>262</v>
      </c>
      <c r="F1344" s="1">
        <v>11.5</v>
      </c>
      <c r="G1344" s="3">
        <v>0.52825231481481483</v>
      </c>
      <c r="H1344" s="3">
        <v>0.52854166666666669</v>
      </c>
      <c r="I1344" s="3">
        <v>2.8935185185186008E-4</v>
      </c>
      <c r="J1344" s="3">
        <v>2.8935185185186008E-4</v>
      </c>
      <c r="K1344" s="5">
        <f t="shared" si="103"/>
        <v>25</v>
      </c>
      <c r="L1344" s="3">
        <v>6.3078703703703942E-3</v>
      </c>
      <c r="N1344" s="1" t="s">
        <v>42</v>
      </c>
      <c r="O1344" s="1" t="s">
        <v>286</v>
      </c>
      <c r="P1344" s="1" t="s">
        <v>44</v>
      </c>
      <c r="Q1344" s="1" t="s">
        <v>45</v>
      </c>
      <c r="S1344" s="1" t="s">
        <v>46</v>
      </c>
      <c r="T1344" s="1" t="s">
        <v>47</v>
      </c>
      <c r="U1344" s="1" t="s">
        <v>156</v>
      </c>
      <c r="AB1344" s="1" t="s">
        <v>93</v>
      </c>
      <c r="AC1344" s="1">
        <v>1</v>
      </c>
      <c r="AG1344" s="1" t="s">
        <v>1136</v>
      </c>
      <c r="AI1344" s="1" t="s">
        <v>75</v>
      </c>
      <c r="AK1344" s="1" t="s">
        <v>86</v>
      </c>
      <c r="AL1344" s="1" t="s">
        <v>87</v>
      </c>
      <c r="AM1344" s="1">
        <v>10</v>
      </c>
      <c r="AN1344" s="1">
        <v>0</v>
      </c>
      <c r="AO1344" s="1">
        <f t="shared" si="104"/>
        <v>10</v>
      </c>
    </row>
    <row r="1345" spans="1:41" x14ac:dyDescent="0.4">
      <c r="A1345" s="1">
        <v>1</v>
      </c>
      <c r="B1345" s="1" t="s">
        <v>1033</v>
      </c>
      <c r="C1345" s="1" t="s">
        <v>41</v>
      </c>
      <c r="D1345" s="2">
        <v>38979</v>
      </c>
      <c r="E1345" s="1">
        <v>262</v>
      </c>
      <c r="F1345" s="1">
        <v>12</v>
      </c>
      <c r="G1345" s="3">
        <v>0.53484953703703708</v>
      </c>
      <c r="H1345" s="3">
        <v>0.53897569444444438</v>
      </c>
      <c r="I1345" s="3">
        <v>4.1261574074072938E-3</v>
      </c>
      <c r="J1345" s="3">
        <v>4.1261574074072938E-3</v>
      </c>
      <c r="K1345" s="5">
        <f t="shared" si="103"/>
        <v>356</v>
      </c>
      <c r="L1345" s="3">
        <v>4.1359953703703822E-2</v>
      </c>
      <c r="N1345" s="1" t="s">
        <v>42</v>
      </c>
      <c r="O1345" s="1" t="s">
        <v>286</v>
      </c>
      <c r="P1345" s="1" t="s">
        <v>44</v>
      </c>
      <c r="Q1345" s="1" t="s">
        <v>132</v>
      </c>
      <c r="S1345" s="1" t="s">
        <v>46</v>
      </c>
      <c r="T1345" s="1" t="s">
        <v>124</v>
      </c>
      <c r="U1345" s="1" t="s">
        <v>48</v>
      </c>
      <c r="V1345" s="1" t="s">
        <v>49</v>
      </c>
      <c r="W1345" s="1" t="s">
        <v>77</v>
      </c>
      <c r="X1345" s="1" t="s">
        <v>309</v>
      </c>
      <c r="Y1345" s="1" t="s">
        <v>79</v>
      </c>
      <c r="Z1345" s="1" t="s">
        <v>656</v>
      </c>
      <c r="AA1345" s="1" t="s">
        <v>657</v>
      </c>
      <c r="AB1345" s="1" t="s">
        <v>658</v>
      </c>
      <c r="AC1345" s="1">
        <v>0</v>
      </c>
      <c r="AD1345" s="1" t="s">
        <v>56</v>
      </c>
      <c r="AE1345" s="1" t="s">
        <v>83</v>
      </c>
      <c r="AG1345" s="1" t="s">
        <v>1218</v>
      </c>
      <c r="AH1345" s="1" t="s">
        <v>115</v>
      </c>
      <c r="AI1345" s="1" t="s">
        <v>60</v>
      </c>
      <c r="AK1345" s="1" t="s">
        <v>86</v>
      </c>
      <c r="AL1345" s="1" t="s">
        <v>133</v>
      </c>
      <c r="AM1345" s="1">
        <v>1</v>
      </c>
      <c r="AN1345" s="1">
        <v>0</v>
      </c>
      <c r="AO1345" s="1">
        <f t="shared" si="104"/>
        <v>1</v>
      </c>
    </row>
    <row r="1346" spans="1:41" x14ac:dyDescent="0.4">
      <c r="A1346" s="1">
        <v>1</v>
      </c>
      <c r="B1346" s="1" t="s">
        <v>1033</v>
      </c>
      <c r="C1346" s="1" t="s">
        <v>41</v>
      </c>
      <c r="D1346" s="2">
        <v>38979</v>
      </c>
      <c r="E1346" s="1">
        <v>262</v>
      </c>
      <c r="F1346" s="1">
        <v>14</v>
      </c>
      <c r="G1346" s="3">
        <v>0.5803356481481482</v>
      </c>
      <c r="H1346" s="3">
        <v>0.58037037037037031</v>
      </c>
      <c r="I1346" s="3">
        <v>3.4722222222116628E-5</v>
      </c>
      <c r="J1346" s="3">
        <v>3.4722222222116628E-5</v>
      </c>
      <c r="K1346" s="5">
        <f t="shared" ref="K1346:K1409" si="105">HOUR(J1346)*60*60+MINUTE(J1346)*60+SECOND(J1346)</f>
        <v>3</v>
      </c>
      <c r="L1346" s="3">
        <v>3.958333333333397E-3</v>
      </c>
      <c r="N1346" s="1" t="s">
        <v>42</v>
      </c>
      <c r="O1346" s="1" t="s">
        <v>286</v>
      </c>
      <c r="P1346" s="1" t="s">
        <v>44</v>
      </c>
      <c r="Q1346" s="1" t="s">
        <v>45</v>
      </c>
      <c r="S1346" s="1" t="s">
        <v>46</v>
      </c>
      <c r="T1346" s="1" t="s">
        <v>45</v>
      </c>
      <c r="U1346" s="1" t="s">
        <v>156</v>
      </c>
      <c r="V1346" s="1" t="s">
        <v>102</v>
      </c>
      <c r="W1346" s="1" t="s">
        <v>103</v>
      </c>
      <c r="X1346" s="1" t="s">
        <v>96</v>
      </c>
      <c r="AB1346" s="1" t="s">
        <v>104</v>
      </c>
      <c r="AC1346" s="1">
        <v>0</v>
      </c>
      <c r="AD1346" s="1" t="s">
        <v>105</v>
      </c>
      <c r="AE1346" s="1" t="s">
        <v>70</v>
      </c>
      <c r="AF1346" s="1" t="s">
        <v>113</v>
      </c>
      <c r="AG1346" s="1" t="s">
        <v>1065</v>
      </c>
      <c r="AH1346" s="1" t="s">
        <v>157</v>
      </c>
      <c r="AI1346" s="1" t="s">
        <v>75</v>
      </c>
      <c r="AK1346" s="1" t="s">
        <v>116</v>
      </c>
      <c r="AL1346" s="1" t="s">
        <v>117</v>
      </c>
      <c r="AM1346" s="1">
        <v>6</v>
      </c>
      <c r="AN1346" s="1">
        <v>0</v>
      </c>
      <c r="AO1346" s="1">
        <f t="shared" si="104"/>
        <v>6</v>
      </c>
    </row>
    <row r="1347" spans="1:41" x14ac:dyDescent="0.4">
      <c r="A1347" s="1">
        <v>1</v>
      </c>
      <c r="B1347" s="1" t="s">
        <v>1033</v>
      </c>
      <c r="C1347" s="1" t="s">
        <v>41</v>
      </c>
      <c r="D1347" s="2">
        <v>38979</v>
      </c>
      <c r="E1347" s="1">
        <v>262</v>
      </c>
      <c r="F1347" s="1">
        <v>15</v>
      </c>
      <c r="G1347" s="3">
        <v>0.58432870370370371</v>
      </c>
      <c r="H1347" s="3">
        <v>0.6063425925925926</v>
      </c>
      <c r="I1347" s="3">
        <v>2.2013888888888888E-2</v>
      </c>
      <c r="J1347" s="3">
        <v>4.8842592592591716E-3</v>
      </c>
      <c r="K1347" s="5">
        <f t="shared" si="105"/>
        <v>422</v>
      </c>
      <c r="L1347" s="3">
        <v>1.4351851851851505E-3</v>
      </c>
      <c r="N1347" s="1" t="s">
        <v>42</v>
      </c>
      <c r="O1347" s="1" t="s">
        <v>286</v>
      </c>
      <c r="P1347" s="1" t="s">
        <v>44</v>
      </c>
      <c r="Q1347" s="1" t="s">
        <v>132</v>
      </c>
      <c r="S1347" s="1" t="s">
        <v>46</v>
      </c>
      <c r="T1347" s="1" t="s">
        <v>45</v>
      </c>
      <c r="U1347" s="1" t="s">
        <v>156</v>
      </c>
      <c r="V1347" s="1" t="s">
        <v>49</v>
      </c>
      <c r="W1347" s="1" t="s">
        <v>50</v>
      </c>
      <c r="X1347" s="1" t="s">
        <v>96</v>
      </c>
      <c r="Y1347" s="1" t="s">
        <v>52</v>
      </c>
      <c r="Z1347" s="1" t="s">
        <v>53</v>
      </c>
      <c r="AA1347" s="1" t="s">
        <v>731</v>
      </c>
      <c r="AB1347" s="1" t="s">
        <v>732</v>
      </c>
      <c r="AC1347" s="1">
        <v>0</v>
      </c>
      <c r="AD1347" s="1" t="s">
        <v>56</v>
      </c>
      <c r="AE1347" s="1" t="s">
        <v>70</v>
      </c>
      <c r="AG1347" s="1" t="s">
        <v>1064</v>
      </c>
      <c r="AH1347" s="1" t="s">
        <v>59</v>
      </c>
      <c r="AI1347" s="1" t="s">
        <v>75</v>
      </c>
      <c r="AK1347" s="1" t="s">
        <v>86</v>
      </c>
      <c r="AL1347" s="1" t="s">
        <v>187</v>
      </c>
      <c r="AM1347" s="1">
        <v>4</v>
      </c>
      <c r="AN1347" s="1">
        <v>0</v>
      </c>
      <c r="AO1347" s="1">
        <f t="shared" ref="AO1347:AO1410" si="106">SUM(AM1347:AN1347)</f>
        <v>4</v>
      </c>
    </row>
    <row r="1348" spans="1:41" x14ac:dyDescent="0.4">
      <c r="A1348" s="1">
        <v>1</v>
      </c>
      <c r="B1348" s="1" t="s">
        <v>1033</v>
      </c>
      <c r="C1348" s="1" t="s">
        <v>41</v>
      </c>
      <c r="D1348" s="2">
        <v>38979</v>
      </c>
      <c r="E1348" s="1">
        <v>262</v>
      </c>
      <c r="F1348" s="1">
        <v>15.1</v>
      </c>
      <c r="G1348" s="3">
        <v>0.60777777777777775</v>
      </c>
      <c r="H1348" s="3">
        <v>0.60782407407407402</v>
      </c>
      <c r="I1348" s="3">
        <v>4.6296296296266526E-5</v>
      </c>
      <c r="J1348" s="3">
        <v>4.6296296296266526E-5</v>
      </c>
      <c r="K1348" s="5">
        <f t="shared" si="105"/>
        <v>4</v>
      </c>
      <c r="L1348" s="3">
        <v>7.0138888888888751E-3</v>
      </c>
      <c r="N1348" s="1" t="s">
        <v>42</v>
      </c>
      <c r="O1348" s="1" t="s">
        <v>286</v>
      </c>
      <c r="P1348" s="1" t="s">
        <v>44</v>
      </c>
      <c r="Q1348" s="1" t="s">
        <v>132</v>
      </c>
      <c r="S1348" s="1" t="s">
        <v>46</v>
      </c>
      <c r="T1348" s="1" t="s">
        <v>45</v>
      </c>
      <c r="U1348" s="1" t="s">
        <v>66</v>
      </c>
      <c r="AB1348" s="1" t="s">
        <v>93</v>
      </c>
      <c r="AC1348" s="1">
        <v>1</v>
      </c>
      <c r="AG1348" s="1" t="s">
        <v>1092</v>
      </c>
      <c r="AI1348" s="1" t="s">
        <v>71</v>
      </c>
      <c r="AK1348" s="1" t="s">
        <v>86</v>
      </c>
      <c r="AL1348" s="1" t="s">
        <v>187</v>
      </c>
      <c r="AM1348" s="1">
        <v>2</v>
      </c>
      <c r="AN1348" s="1">
        <v>0</v>
      </c>
      <c r="AO1348" s="1">
        <f t="shared" si="106"/>
        <v>2</v>
      </c>
    </row>
    <row r="1349" spans="1:41" x14ac:dyDescent="0.4">
      <c r="A1349" s="1">
        <v>1</v>
      </c>
      <c r="B1349" s="1" t="s">
        <v>1033</v>
      </c>
      <c r="C1349" s="1" t="s">
        <v>41</v>
      </c>
      <c r="D1349" s="2">
        <v>38979</v>
      </c>
      <c r="E1349" s="1">
        <v>262</v>
      </c>
      <c r="F1349" s="1">
        <v>15.2</v>
      </c>
      <c r="G1349" s="3">
        <v>0.61483796296296289</v>
      </c>
      <c r="H1349" s="3">
        <v>0.61530092592592589</v>
      </c>
      <c r="I1349" s="3">
        <v>4.6296296296299833E-4</v>
      </c>
      <c r="J1349" s="3">
        <v>6.94444444444553E-5</v>
      </c>
      <c r="K1349" s="5">
        <f t="shared" si="105"/>
        <v>6</v>
      </c>
      <c r="L1349" s="3">
        <v>3.1238425925925961E-2</v>
      </c>
      <c r="N1349" s="1" t="s">
        <v>42</v>
      </c>
      <c r="O1349" s="1" t="s">
        <v>286</v>
      </c>
      <c r="P1349" s="1" t="s">
        <v>44</v>
      </c>
      <c r="Q1349" s="1" t="s">
        <v>76</v>
      </c>
      <c r="S1349" s="1" t="s">
        <v>46</v>
      </c>
      <c r="T1349" s="1" t="s">
        <v>45</v>
      </c>
      <c r="U1349" s="1" t="s">
        <v>156</v>
      </c>
      <c r="AB1349" s="1" t="s">
        <v>93</v>
      </c>
      <c r="AC1349" s="1">
        <v>1</v>
      </c>
      <c r="AG1349" s="1" t="s">
        <v>1091</v>
      </c>
      <c r="AI1349" s="1" t="s">
        <v>75</v>
      </c>
      <c r="AK1349" s="1" t="s">
        <v>86</v>
      </c>
      <c r="AL1349" s="1" t="s">
        <v>187</v>
      </c>
      <c r="AM1349" s="1">
        <v>2</v>
      </c>
      <c r="AN1349" s="1">
        <v>0</v>
      </c>
      <c r="AO1349" s="1">
        <f t="shared" si="106"/>
        <v>2</v>
      </c>
    </row>
    <row r="1350" spans="1:41" x14ac:dyDescent="0.4">
      <c r="A1350" s="1">
        <v>1</v>
      </c>
      <c r="B1350" s="1" t="s">
        <v>1033</v>
      </c>
      <c r="C1350" s="1" t="s">
        <v>41</v>
      </c>
      <c r="D1350" s="2">
        <v>38979</v>
      </c>
      <c r="E1350" s="1">
        <v>262</v>
      </c>
      <c r="F1350" s="1">
        <v>15.5</v>
      </c>
      <c r="G1350" s="3">
        <v>0.64653935185185185</v>
      </c>
      <c r="H1350" s="3">
        <v>0.64841435185185181</v>
      </c>
      <c r="I1350" s="3">
        <v>1.87499999999996E-3</v>
      </c>
      <c r="J1350" s="3">
        <v>1.3888888888879958E-4</v>
      </c>
      <c r="K1350" s="5">
        <f t="shared" si="105"/>
        <v>12</v>
      </c>
      <c r="L1350" s="3">
        <v>2.9398148148148673E-3</v>
      </c>
      <c r="N1350" s="1" t="s">
        <v>42</v>
      </c>
      <c r="O1350" s="1" t="s">
        <v>286</v>
      </c>
      <c r="P1350" s="1" t="s">
        <v>44</v>
      </c>
      <c r="Q1350" s="1" t="s">
        <v>76</v>
      </c>
      <c r="S1350" s="1" t="s">
        <v>46</v>
      </c>
      <c r="T1350" s="1" t="s">
        <v>47</v>
      </c>
      <c r="U1350" s="1" t="s">
        <v>156</v>
      </c>
      <c r="V1350" s="1" t="s">
        <v>67</v>
      </c>
      <c r="W1350" s="1" t="s">
        <v>68</v>
      </c>
      <c r="Y1350" s="1" t="s">
        <v>68</v>
      </c>
      <c r="AB1350" s="1" t="s">
        <v>69</v>
      </c>
      <c r="AC1350" s="1">
        <v>0</v>
      </c>
      <c r="AD1350" s="1" t="s">
        <v>68</v>
      </c>
      <c r="AE1350" s="1" t="s">
        <v>70</v>
      </c>
      <c r="AI1350" s="1" t="s">
        <v>75</v>
      </c>
      <c r="AK1350" s="1" t="s">
        <v>86</v>
      </c>
      <c r="AL1350" s="1" t="s">
        <v>87</v>
      </c>
      <c r="AN1350" s="1">
        <v>1</v>
      </c>
      <c r="AO1350" s="1">
        <f t="shared" si="106"/>
        <v>1</v>
      </c>
    </row>
    <row r="1351" spans="1:41" x14ac:dyDescent="0.4">
      <c r="A1351" s="1">
        <v>1</v>
      </c>
      <c r="B1351" s="1" t="s">
        <v>1033</v>
      </c>
      <c r="C1351" s="1" t="s">
        <v>41</v>
      </c>
      <c r="D1351" s="2">
        <v>38979</v>
      </c>
      <c r="E1351" s="1">
        <v>262</v>
      </c>
      <c r="F1351" s="1">
        <v>16</v>
      </c>
      <c r="G1351" s="3">
        <v>0.65135416666666668</v>
      </c>
      <c r="H1351" s="3">
        <v>0.65332175925925928</v>
      </c>
      <c r="I1351" s="3">
        <v>1.9675925925926041E-3</v>
      </c>
      <c r="J1351" s="3">
        <v>1.0416666666666075E-3</v>
      </c>
      <c r="K1351" s="5">
        <f t="shared" si="105"/>
        <v>90</v>
      </c>
      <c r="L1351" s="3">
        <v>3.1597222222222721E-3</v>
      </c>
      <c r="N1351" s="1" t="s">
        <v>42</v>
      </c>
      <c r="O1351" s="1" t="s">
        <v>286</v>
      </c>
      <c r="P1351" s="1" t="s">
        <v>44</v>
      </c>
      <c r="Q1351" s="1" t="s">
        <v>76</v>
      </c>
      <c r="S1351" s="1" t="s">
        <v>46</v>
      </c>
      <c r="T1351" s="1" t="s">
        <v>47</v>
      </c>
      <c r="U1351" s="1" t="s">
        <v>156</v>
      </c>
      <c r="V1351" s="1" t="s">
        <v>102</v>
      </c>
      <c r="W1351" s="1" t="s">
        <v>103</v>
      </c>
      <c r="X1351" s="1" t="s">
        <v>96</v>
      </c>
      <c r="AB1351" s="1" t="s">
        <v>104</v>
      </c>
      <c r="AC1351" s="1">
        <v>0</v>
      </c>
      <c r="AD1351" s="1" t="s">
        <v>105</v>
      </c>
      <c r="AE1351" s="1" t="s">
        <v>70</v>
      </c>
      <c r="AG1351" s="1" t="s">
        <v>1219</v>
      </c>
      <c r="AH1351" s="1" t="s">
        <v>157</v>
      </c>
      <c r="AI1351" s="1" t="s">
        <v>75</v>
      </c>
      <c r="AK1351" s="1" t="s">
        <v>86</v>
      </c>
      <c r="AL1351" s="1" t="s">
        <v>87</v>
      </c>
      <c r="AM1351" s="1">
        <v>3</v>
      </c>
      <c r="AN1351" s="1">
        <v>0</v>
      </c>
      <c r="AO1351" s="1">
        <f t="shared" si="106"/>
        <v>3</v>
      </c>
    </row>
    <row r="1352" spans="1:41" x14ac:dyDescent="0.4">
      <c r="A1352" s="1">
        <v>1</v>
      </c>
      <c r="B1352" s="1" t="s">
        <v>1033</v>
      </c>
      <c r="C1352" s="1" t="s">
        <v>41</v>
      </c>
      <c r="D1352" s="2">
        <v>38979</v>
      </c>
      <c r="E1352" s="1">
        <v>262</v>
      </c>
      <c r="F1352" s="1">
        <v>16.3</v>
      </c>
      <c r="G1352" s="3">
        <v>0.65648148148148155</v>
      </c>
      <c r="H1352" s="3">
        <v>0.65685185185185191</v>
      </c>
      <c r="I1352" s="3">
        <v>3.7037037037035425E-4</v>
      </c>
      <c r="J1352" s="3">
        <v>1.8518518518528815E-4</v>
      </c>
      <c r="K1352" s="5">
        <f t="shared" si="105"/>
        <v>16</v>
      </c>
      <c r="L1352" s="3">
        <v>5.7870370370372015E-4</v>
      </c>
      <c r="N1352" s="1" t="s">
        <v>42</v>
      </c>
      <c r="O1352" s="1" t="s">
        <v>286</v>
      </c>
      <c r="P1352" s="1" t="s">
        <v>44</v>
      </c>
      <c r="Q1352" s="1" t="s">
        <v>76</v>
      </c>
      <c r="S1352" s="1" t="s">
        <v>46</v>
      </c>
      <c r="T1352" s="1" t="s">
        <v>45</v>
      </c>
      <c r="U1352" s="1" t="s">
        <v>92</v>
      </c>
      <c r="V1352" s="1" t="s">
        <v>67</v>
      </c>
      <c r="W1352" s="1" t="s">
        <v>68</v>
      </c>
      <c r="Y1352" s="1" t="s">
        <v>68</v>
      </c>
      <c r="AB1352" s="1" t="s">
        <v>69</v>
      </c>
      <c r="AC1352" s="1">
        <v>0</v>
      </c>
      <c r="AD1352" s="1" t="s">
        <v>68</v>
      </c>
      <c r="AE1352" s="1" t="s">
        <v>70</v>
      </c>
      <c r="AI1352" s="1" t="s">
        <v>75</v>
      </c>
      <c r="AK1352" s="1" t="s">
        <v>86</v>
      </c>
      <c r="AL1352" s="1" t="s">
        <v>187</v>
      </c>
      <c r="AN1352" s="1">
        <v>1</v>
      </c>
      <c r="AO1352" s="1">
        <f t="shared" si="106"/>
        <v>1</v>
      </c>
    </row>
    <row r="1353" spans="1:41" x14ac:dyDescent="0.4">
      <c r="A1353" s="1">
        <v>1</v>
      </c>
      <c r="B1353" s="1" t="s">
        <v>1033</v>
      </c>
      <c r="C1353" s="1" t="s">
        <v>41</v>
      </c>
      <c r="D1353" s="2">
        <v>38979</v>
      </c>
      <c r="E1353" s="1">
        <v>262</v>
      </c>
      <c r="F1353" s="1">
        <v>16.5</v>
      </c>
      <c r="G1353" s="3">
        <v>0.65743055555555563</v>
      </c>
      <c r="H1353" s="3">
        <v>0.6575347222222222</v>
      </c>
      <c r="I1353" s="3">
        <v>1.0416666666657193E-4</v>
      </c>
      <c r="J1353" s="3">
        <v>1.0416666666657193E-4</v>
      </c>
      <c r="K1353" s="5">
        <f t="shared" si="105"/>
        <v>9</v>
      </c>
      <c r="L1353" s="3">
        <v>4.2905092592592675E-2</v>
      </c>
      <c r="N1353" s="1" t="s">
        <v>42</v>
      </c>
      <c r="O1353" s="1" t="s">
        <v>286</v>
      </c>
      <c r="P1353" s="1" t="s">
        <v>44</v>
      </c>
      <c r="Q1353" s="1" t="s">
        <v>76</v>
      </c>
      <c r="S1353" s="1" t="s">
        <v>46</v>
      </c>
      <c r="T1353" s="1" t="s">
        <v>45</v>
      </c>
      <c r="U1353" s="1" t="s">
        <v>66</v>
      </c>
      <c r="V1353" s="1" t="s">
        <v>67</v>
      </c>
      <c r="W1353" s="1" t="s">
        <v>68</v>
      </c>
      <c r="Y1353" s="1" t="s">
        <v>68</v>
      </c>
      <c r="AB1353" s="1" t="s">
        <v>69</v>
      </c>
      <c r="AC1353" s="1">
        <v>0</v>
      </c>
      <c r="AD1353" s="1" t="s">
        <v>68</v>
      </c>
      <c r="AE1353" s="1" t="s">
        <v>70</v>
      </c>
      <c r="AG1353" s="1" t="s">
        <v>1219</v>
      </c>
      <c r="AI1353" s="1" t="s">
        <v>71</v>
      </c>
      <c r="AK1353" s="1" t="s">
        <v>86</v>
      </c>
      <c r="AL1353" s="1" t="s">
        <v>187</v>
      </c>
      <c r="AM1353" s="1">
        <v>3</v>
      </c>
      <c r="AN1353" s="1">
        <v>0</v>
      </c>
      <c r="AO1353" s="1">
        <f t="shared" si="106"/>
        <v>3</v>
      </c>
    </row>
    <row r="1354" spans="1:41" x14ac:dyDescent="0.4">
      <c r="A1354" s="1">
        <v>1</v>
      </c>
      <c r="B1354" s="1" t="s">
        <v>1033</v>
      </c>
      <c r="C1354" s="1" t="s">
        <v>41</v>
      </c>
      <c r="D1354" s="2">
        <v>38979</v>
      </c>
      <c r="E1354" s="1">
        <v>262</v>
      </c>
      <c r="F1354" s="1">
        <v>17</v>
      </c>
      <c r="G1354" s="3">
        <v>0.70043981481481488</v>
      </c>
      <c r="H1354" s="3">
        <v>0.70068287037037036</v>
      </c>
      <c r="I1354" s="3">
        <v>2.4305555555548253E-4</v>
      </c>
      <c r="J1354" s="3">
        <v>8.1018518518383154E-5</v>
      </c>
      <c r="K1354" s="5">
        <f t="shared" si="105"/>
        <v>7</v>
      </c>
      <c r="L1354" s="3">
        <v>3.1481481481481222E-3</v>
      </c>
      <c r="N1354" s="1" t="s">
        <v>42</v>
      </c>
      <c r="O1354" s="1" t="s">
        <v>286</v>
      </c>
      <c r="P1354" s="1" t="s">
        <v>44</v>
      </c>
      <c r="Q1354" s="1" t="s">
        <v>45</v>
      </c>
      <c r="S1354" s="1" t="s">
        <v>46</v>
      </c>
      <c r="T1354" s="1" t="s">
        <v>76</v>
      </c>
      <c r="U1354" s="1" t="s">
        <v>48</v>
      </c>
      <c r="AB1354" s="1" t="s">
        <v>93</v>
      </c>
      <c r="AC1354" s="1">
        <v>1</v>
      </c>
      <c r="AG1354" s="1" t="s">
        <v>1219</v>
      </c>
      <c r="AI1354" s="1" t="s">
        <v>60</v>
      </c>
      <c r="AK1354" s="1" t="s">
        <v>86</v>
      </c>
      <c r="AL1354" s="1" t="s">
        <v>87</v>
      </c>
      <c r="AM1354" s="1">
        <v>3</v>
      </c>
      <c r="AN1354" s="1">
        <v>0</v>
      </c>
      <c r="AO1354" s="1">
        <f t="shared" si="106"/>
        <v>3</v>
      </c>
    </row>
    <row r="1355" spans="1:41" x14ac:dyDescent="0.4">
      <c r="A1355" s="1">
        <v>1</v>
      </c>
      <c r="B1355" s="1" t="s">
        <v>1033</v>
      </c>
      <c r="C1355" s="1" t="s">
        <v>41</v>
      </c>
      <c r="D1355" s="2">
        <v>38979</v>
      </c>
      <c r="E1355" s="1">
        <v>262</v>
      </c>
      <c r="F1355" s="1">
        <v>18</v>
      </c>
      <c r="G1355" s="3">
        <v>0.70383101851851848</v>
      </c>
      <c r="H1355" s="3">
        <v>0.70407407407407396</v>
      </c>
      <c r="I1355" s="3">
        <v>2.4305555555548253E-4</v>
      </c>
      <c r="J1355" s="3">
        <v>2.4305555555548253E-4</v>
      </c>
      <c r="K1355" s="5">
        <f t="shared" si="105"/>
        <v>21</v>
      </c>
      <c r="L1355" s="3">
        <v>2.6273148148149295E-3</v>
      </c>
      <c r="N1355" s="1" t="s">
        <v>42</v>
      </c>
      <c r="O1355" s="1" t="s">
        <v>286</v>
      </c>
      <c r="P1355" s="1" t="s">
        <v>44</v>
      </c>
      <c r="Q1355" s="1" t="s">
        <v>76</v>
      </c>
      <c r="S1355" s="1" t="s">
        <v>46</v>
      </c>
      <c r="AB1355" s="1" t="s">
        <v>93</v>
      </c>
      <c r="AC1355" s="1">
        <v>1</v>
      </c>
      <c r="AK1355" s="1" t="s">
        <v>61</v>
      </c>
      <c r="AL1355" s="1" t="s">
        <v>133</v>
      </c>
      <c r="AN1355" s="1">
        <v>1</v>
      </c>
      <c r="AO1355" s="1">
        <f t="shared" si="106"/>
        <v>1</v>
      </c>
    </row>
    <row r="1356" spans="1:41" x14ac:dyDescent="0.4">
      <c r="A1356" s="1">
        <v>1</v>
      </c>
      <c r="B1356" s="1" t="s">
        <v>1033</v>
      </c>
      <c r="C1356" s="1" t="s">
        <v>41</v>
      </c>
      <c r="D1356" s="2">
        <v>38979</v>
      </c>
      <c r="E1356" s="1">
        <v>262</v>
      </c>
      <c r="F1356" s="1">
        <v>19</v>
      </c>
      <c r="G1356" s="3">
        <v>0.70670138888888889</v>
      </c>
      <c r="H1356" s="3">
        <v>0.70675925925925931</v>
      </c>
      <c r="I1356" s="3">
        <v>5.7870370370416424E-5</v>
      </c>
      <c r="J1356" s="3">
        <v>5.7870370370416424E-5</v>
      </c>
      <c r="K1356" s="5">
        <f t="shared" si="105"/>
        <v>5</v>
      </c>
      <c r="L1356" s="3">
        <v>3.9004629629628695E-3</v>
      </c>
      <c r="N1356" s="1" t="s">
        <v>42</v>
      </c>
      <c r="O1356" s="1" t="s">
        <v>286</v>
      </c>
      <c r="P1356" s="1" t="s">
        <v>44</v>
      </c>
      <c r="Q1356" s="1" t="s">
        <v>76</v>
      </c>
      <c r="S1356" s="1" t="s">
        <v>46</v>
      </c>
      <c r="T1356" s="1" t="s">
        <v>45</v>
      </c>
      <c r="U1356" s="1" t="s">
        <v>92</v>
      </c>
      <c r="AB1356" s="1" t="s">
        <v>93</v>
      </c>
      <c r="AC1356" s="1">
        <v>1</v>
      </c>
      <c r="AI1356" s="1" t="s">
        <v>75</v>
      </c>
      <c r="AK1356" s="1" t="s">
        <v>86</v>
      </c>
      <c r="AL1356" s="1" t="s">
        <v>87</v>
      </c>
      <c r="AN1356" s="1">
        <v>1</v>
      </c>
      <c r="AO1356" s="1">
        <f t="shared" si="106"/>
        <v>1</v>
      </c>
    </row>
    <row r="1357" spans="1:41" x14ac:dyDescent="0.4">
      <c r="A1357" s="1">
        <v>1</v>
      </c>
      <c r="B1357" s="1" t="s">
        <v>1033</v>
      </c>
      <c r="C1357" s="1" t="s">
        <v>41</v>
      </c>
      <c r="D1357" s="2">
        <v>38979</v>
      </c>
      <c r="E1357" s="1">
        <v>262</v>
      </c>
      <c r="F1357" s="1">
        <v>20</v>
      </c>
      <c r="G1357" s="3">
        <v>0.71065972222222218</v>
      </c>
      <c r="H1357" s="3">
        <v>0.71099537037037042</v>
      </c>
      <c r="I1357" s="3">
        <v>3.3564814814823762E-4</v>
      </c>
      <c r="J1357" s="3">
        <v>1.1574074074083285E-4</v>
      </c>
      <c r="K1357" s="5">
        <f t="shared" si="105"/>
        <v>10</v>
      </c>
      <c r="L1357" s="3">
        <v>9.8148148148147207E-3</v>
      </c>
      <c r="N1357" s="1" t="s">
        <v>42</v>
      </c>
      <c r="O1357" s="1" t="s">
        <v>286</v>
      </c>
      <c r="P1357" s="1" t="s">
        <v>44</v>
      </c>
      <c r="Q1357" s="1" t="s">
        <v>191</v>
      </c>
      <c r="S1357" s="1" t="s">
        <v>46</v>
      </c>
      <c r="T1357" s="1" t="s">
        <v>45</v>
      </c>
      <c r="U1357" s="1" t="s">
        <v>66</v>
      </c>
      <c r="AB1357" s="1" t="s">
        <v>93</v>
      </c>
      <c r="AC1357" s="1">
        <v>1</v>
      </c>
      <c r="AG1357" s="1" t="s">
        <v>1110</v>
      </c>
      <c r="AI1357" s="1" t="s">
        <v>71</v>
      </c>
      <c r="AK1357" s="1" t="s">
        <v>86</v>
      </c>
      <c r="AL1357" s="1" t="s">
        <v>87</v>
      </c>
      <c r="AM1357" s="1">
        <v>2</v>
      </c>
      <c r="AN1357" s="1">
        <v>0</v>
      </c>
      <c r="AO1357" s="1">
        <f t="shared" si="106"/>
        <v>2</v>
      </c>
    </row>
    <row r="1358" spans="1:41" x14ac:dyDescent="0.4">
      <c r="A1358" s="1">
        <v>1</v>
      </c>
      <c r="B1358" s="1" t="s">
        <v>1033</v>
      </c>
      <c r="C1358" s="1" t="s">
        <v>41</v>
      </c>
      <c r="D1358" s="2">
        <v>38979</v>
      </c>
      <c r="E1358" s="1">
        <v>262</v>
      </c>
      <c r="F1358" s="1">
        <v>21</v>
      </c>
      <c r="G1358" s="3">
        <v>0.72081018518518514</v>
      </c>
      <c r="H1358" s="3">
        <v>0.72094907407407405</v>
      </c>
      <c r="I1358" s="3">
        <v>1.388888888889106E-4</v>
      </c>
      <c r="J1358" s="3">
        <v>1.388888888889106E-4</v>
      </c>
      <c r="K1358" s="5">
        <f t="shared" si="105"/>
        <v>12</v>
      </c>
      <c r="L1358" s="3" t="s">
        <v>120</v>
      </c>
      <c r="N1358" s="1" t="s">
        <v>42</v>
      </c>
      <c r="O1358" s="1" t="s">
        <v>286</v>
      </c>
      <c r="P1358" s="1" t="s">
        <v>44</v>
      </c>
      <c r="Q1358" s="1" t="s">
        <v>76</v>
      </c>
      <c r="S1358" s="1" t="s">
        <v>46</v>
      </c>
      <c r="T1358" s="1" t="s">
        <v>47</v>
      </c>
      <c r="U1358" s="1" t="s">
        <v>66</v>
      </c>
      <c r="AB1358" s="1" t="s">
        <v>93</v>
      </c>
      <c r="AC1358" s="1">
        <v>1</v>
      </c>
      <c r="AG1358" s="1" t="s">
        <v>1130</v>
      </c>
      <c r="AI1358" s="1" t="s">
        <v>122</v>
      </c>
      <c r="AK1358" s="1" t="s">
        <v>86</v>
      </c>
      <c r="AL1358" s="1" t="s">
        <v>187</v>
      </c>
      <c r="AM1358" s="1">
        <v>3</v>
      </c>
      <c r="AN1358" s="1">
        <v>0</v>
      </c>
      <c r="AO1358" s="1">
        <f t="shared" si="106"/>
        <v>3</v>
      </c>
    </row>
    <row r="1359" spans="1:41" x14ac:dyDescent="0.4">
      <c r="A1359" s="1">
        <v>1</v>
      </c>
      <c r="B1359" s="1" t="s">
        <v>1033</v>
      </c>
      <c r="C1359" s="1" t="s">
        <v>41</v>
      </c>
      <c r="D1359" s="2">
        <v>38996</v>
      </c>
      <c r="E1359" s="1">
        <v>279</v>
      </c>
      <c r="F1359" s="1">
        <v>1</v>
      </c>
      <c r="G1359" s="3">
        <v>0.52846064814814808</v>
      </c>
      <c r="H1359" s="3">
        <v>0.53438657407407408</v>
      </c>
      <c r="I1359" s="3">
        <v>5.9259259259260011E-3</v>
      </c>
      <c r="J1359" s="3">
        <v>5.9259259259260011E-3</v>
      </c>
      <c r="K1359" s="5">
        <f t="shared" si="105"/>
        <v>512</v>
      </c>
      <c r="L1359" s="3">
        <v>6.9560185185185697E-3</v>
      </c>
      <c r="N1359" s="1" t="s">
        <v>42</v>
      </c>
      <c r="O1359" s="1" t="s">
        <v>286</v>
      </c>
      <c r="P1359" s="1" t="s">
        <v>44</v>
      </c>
      <c r="Q1359" s="1" t="s">
        <v>76</v>
      </c>
      <c r="R1359" s="1" t="s">
        <v>76</v>
      </c>
      <c r="S1359" s="1" t="s">
        <v>46</v>
      </c>
      <c r="T1359" s="1" t="s">
        <v>47</v>
      </c>
      <c r="U1359" s="1" t="s">
        <v>156</v>
      </c>
      <c r="V1359" s="1" t="s">
        <v>49</v>
      </c>
      <c r="W1359" s="1" t="s">
        <v>77</v>
      </c>
      <c r="X1359" s="1" t="s">
        <v>309</v>
      </c>
      <c r="Y1359" s="1" t="s">
        <v>79</v>
      </c>
      <c r="Z1359" s="1" t="s">
        <v>656</v>
      </c>
      <c r="AA1359" s="1" t="s">
        <v>657</v>
      </c>
      <c r="AB1359" s="1" t="s">
        <v>658</v>
      </c>
      <c r="AC1359" s="1">
        <v>0</v>
      </c>
      <c r="AD1359" s="1" t="s">
        <v>56</v>
      </c>
      <c r="AE1359" s="1" t="s">
        <v>83</v>
      </c>
      <c r="AF1359" s="1" t="s">
        <v>113</v>
      </c>
      <c r="AG1359" s="1" t="s">
        <v>1220</v>
      </c>
      <c r="AH1359" s="1" t="s">
        <v>115</v>
      </c>
      <c r="AI1359" s="1" t="s">
        <v>75</v>
      </c>
      <c r="AK1359" s="1" t="s">
        <v>116</v>
      </c>
      <c r="AL1359" s="1" t="s">
        <v>174</v>
      </c>
      <c r="AM1359" s="1">
        <v>1</v>
      </c>
      <c r="AN1359" s="1">
        <v>0</v>
      </c>
      <c r="AO1359" s="1">
        <f t="shared" si="106"/>
        <v>1</v>
      </c>
    </row>
    <row r="1360" spans="1:41" x14ac:dyDescent="0.4">
      <c r="A1360" s="1">
        <v>1</v>
      </c>
      <c r="B1360" s="1" t="s">
        <v>1033</v>
      </c>
      <c r="C1360" s="1" t="s">
        <v>41</v>
      </c>
      <c r="D1360" s="2">
        <v>38996</v>
      </c>
      <c r="E1360" s="1">
        <v>279</v>
      </c>
      <c r="F1360" s="1">
        <v>1.5</v>
      </c>
      <c r="G1360" s="3">
        <v>0.54134259259259265</v>
      </c>
      <c r="H1360" s="3">
        <v>0.54135416666666669</v>
      </c>
      <c r="I1360" s="3">
        <v>1.1574074074038876E-5</v>
      </c>
      <c r="J1360" s="3">
        <v>1.1574074074038876E-5</v>
      </c>
      <c r="K1360" s="5">
        <f t="shared" si="105"/>
        <v>1</v>
      </c>
      <c r="L1360" s="3">
        <v>1.9444444444444153E-3</v>
      </c>
      <c r="N1360" s="1" t="s">
        <v>42</v>
      </c>
      <c r="O1360" s="1" t="s">
        <v>286</v>
      </c>
      <c r="P1360" s="1" t="s">
        <v>44</v>
      </c>
      <c r="Q1360" s="1" t="s">
        <v>45</v>
      </c>
      <c r="R1360" s="1" t="s">
        <v>45</v>
      </c>
      <c r="S1360" s="1" t="s">
        <v>46</v>
      </c>
      <c r="T1360" s="1" t="s">
        <v>45</v>
      </c>
      <c r="U1360" s="1" t="s">
        <v>92</v>
      </c>
      <c r="AB1360" s="1" t="s">
        <v>93</v>
      </c>
      <c r="AC1360" s="1">
        <v>1</v>
      </c>
      <c r="AG1360" s="1" t="s">
        <v>1221</v>
      </c>
      <c r="AI1360" s="1" t="s">
        <v>75</v>
      </c>
      <c r="AK1360" s="1" t="s">
        <v>86</v>
      </c>
      <c r="AL1360" s="1" t="s">
        <v>86</v>
      </c>
      <c r="AM1360" s="1">
        <v>1</v>
      </c>
      <c r="AN1360" s="1">
        <v>0</v>
      </c>
      <c r="AO1360" s="1">
        <f t="shared" si="106"/>
        <v>1</v>
      </c>
    </row>
    <row r="1361" spans="1:41" x14ac:dyDescent="0.4">
      <c r="A1361" s="1">
        <v>1</v>
      </c>
      <c r="B1361" s="1" t="s">
        <v>1033</v>
      </c>
      <c r="C1361" s="1" t="s">
        <v>41</v>
      </c>
      <c r="D1361" s="2">
        <v>38996</v>
      </c>
      <c r="E1361" s="1">
        <v>279</v>
      </c>
      <c r="F1361" s="1">
        <v>2</v>
      </c>
      <c r="G1361" s="3">
        <v>0.54329861111111111</v>
      </c>
      <c r="H1361" s="3">
        <v>0.54390046296296302</v>
      </c>
      <c r="I1361" s="3">
        <v>6.0185185185190893E-4</v>
      </c>
      <c r="J1361" s="3">
        <v>6.0185185185190893E-4</v>
      </c>
      <c r="K1361" s="5">
        <f t="shared" si="105"/>
        <v>52</v>
      </c>
      <c r="L1361" s="3">
        <v>4.7222222222221832E-3</v>
      </c>
      <c r="N1361" s="1" t="s">
        <v>42</v>
      </c>
      <c r="O1361" s="1" t="s">
        <v>286</v>
      </c>
      <c r="P1361" s="1" t="s">
        <v>44</v>
      </c>
      <c r="Q1361" s="1" t="s">
        <v>45</v>
      </c>
      <c r="R1361" s="1" t="s">
        <v>45</v>
      </c>
      <c r="S1361" s="1" t="s">
        <v>46</v>
      </c>
      <c r="T1361" s="1" t="s">
        <v>45</v>
      </c>
      <c r="U1361" s="1" t="s">
        <v>156</v>
      </c>
      <c r="X1361" s="1" t="s">
        <v>313</v>
      </c>
      <c r="AB1361" s="1" t="s">
        <v>93</v>
      </c>
      <c r="AC1361" s="1">
        <v>1</v>
      </c>
      <c r="AD1361" s="1" t="s">
        <v>56</v>
      </c>
      <c r="AG1361" s="1" t="s">
        <v>1222</v>
      </c>
      <c r="AH1361" s="1" t="s">
        <v>157</v>
      </c>
      <c r="AI1361" s="1" t="s">
        <v>75</v>
      </c>
      <c r="AK1361" s="1" t="s">
        <v>86</v>
      </c>
      <c r="AL1361" s="1" t="s">
        <v>87</v>
      </c>
      <c r="AM1361" s="1">
        <v>2</v>
      </c>
      <c r="AN1361" s="1">
        <v>0</v>
      </c>
      <c r="AO1361" s="1">
        <f t="shared" si="106"/>
        <v>2</v>
      </c>
    </row>
    <row r="1362" spans="1:41" x14ac:dyDescent="0.4">
      <c r="A1362" s="1">
        <v>1</v>
      </c>
      <c r="B1362" s="1" t="s">
        <v>1033</v>
      </c>
      <c r="C1362" s="1" t="s">
        <v>41</v>
      </c>
      <c r="D1362" s="2">
        <v>38996</v>
      </c>
      <c r="E1362" s="1">
        <v>279</v>
      </c>
      <c r="F1362" s="1">
        <v>3</v>
      </c>
      <c r="G1362" s="3">
        <v>0.5486226851851852</v>
      </c>
      <c r="H1362" s="3">
        <v>0.55141203703703701</v>
      </c>
      <c r="I1362" s="3">
        <v>2.7893518518518068E-3</v>
      </c>
      <c r="J1362" s="3">
        <v>9.490740740740744E-4</v>
      </c>
      <c r="K1362" s="5">
        <f t="shared" si="105"/>
        <v>82</v>
      </c>
      <c r="L1362" s="3">
        <v>4.0740740740741188E-3</v>
      </c>
      <c r="N1362" s="1" t="s">
        <v>42</v>
      </c>
      <c r="O1362" s="1" t="s">
        <v>286</v>
      </c>
      <c r="P1362" s="1" t="s">
        <v>44</v>
      </c>
      <c r="Q1362" s="1" t="s">
        <v>76</v>
      </c>
      <c r="S1362" s="1" t="s">
        <v>46</v>
      </c>
      <c r="T1362" s="1" t="s">
        <v>45</v>
      </c>
      <c r="U1362" s="1" t="s">
        <v>156</v>
      </c>
      <c r="V1362" s="1" t="s">
        <v>102</v>
      </c>
      <c r="W1362" s="1" t="s">
        <v>103</v>
      </c>
      <c r="X1362" s="1" t="s">
        <v>96</v>
      </c>
      <c r="Y1362" s="1">
        <v>46</v>
      </c>
      <c r="AB1362" s="1" t="s">
        <v>584</v>
      </c>
      <c r="AC1362" s="1">
        <v>0</v>
      </c>
      <c r="AD1362" s="1" t="s">
        <v>105</v>
      </c>
      <c r="AE1362" s="1" t="s">
        <v>70</v>
      </c>
      <c r="AF1362" s="1" t="s">
        <v>84</v>
      </c>
      <c r="AG1362" s="1" t="s">
        <v>1223</v>
      </c>
      <c r="AH1362" s="1" t="s">
        <v>157</v>
      </c>
      <c r="AI1362" s="1" t="s">
        <v>75</v>
      </c>
      <c r="AK1362" s="1" t="s">
        <v>61</v>
      </c>
      <c r="AL1362" s="1" t="s">
        <v>61</v>
      </c>
      <c r="AM1362" s="1">
        <v>1</v>
      </c>
      <c r="AN1362" s="1">
        <v>0</v>
      </c>
      <c r="AO1362" s="1">
        <f t="shared" si="106"/>
        <v>1</v>
      </c>
    </row>
    <row r="1363" spans="1:41" x14ac:dyDescent="0.4">
      <c r="A1363" s="1">
        <v>1</v>
      </c>
      <c r="B1363" s="1" t="s">
        <v>1033</v>
      </c>
      <c r="C1363" s="1" t="s">
        <v>41</v>
      </c>
      <c r="D1363" s="2">
        <v>38996</v>
      </c>
      <c r="E1363" s="1">
        <v>279</v>
      </c>
      <c r="F1363" s="1">
        <v>4</v>
      </c>
      <c r="G1363" s="3">
        <v>0.55548611111111112</v>
      </c>
      <c r="H1363" s="3">
        <v>0.55697337962962967</v>
      </c>
      <c r="I1363" s="3">
        <v>1.4872685185185475E-3</v>
      </c>
      <c r="J1363" s="3">
        <v>1.4872685185185475E-3</v>
      </c>
      <c r="K1363" s="5">
        <f t="shared" si="105"/>
        <v>129</v>
      </c>
      <c r="L1363" s="3">
        <v>4.103009259259216E-3</v>
      </c>
      <c r="N1363" s="1" t="s">
        <v>42</v>
      </c>
      <c r="O1363" s="1" t="s">
        <v>286</v>
      </c>
      <c r="P1363" s="1" t="s">
        <v>44</v>
      </c>
      <c r="S1363" s="1" t="s">
        <v>46</v>
      </c>
      <c r="T1363" s="1" t="s">
        <v>47</v>
      </c>
      <c r="U1363" s="1" t="s">
        <v>156</v>
      </c>
      <c r="V1363" s="1" t="s">
        <v>49</v>
      </c>
      <c r="W1363" s="1" t="s">
        <v>233</v>
      </c>
      <c r="X1363" s="1" t="s">
        <v>234</v>
      </c>
      <c r="Y1363" s="1" t="s">
        <v>235</v>
      </c>
      <c r="Z1363" s="1" t="s">
        <v>236</v>
      </c>
      <c r="AA1363" s="1" t="s">
        <v>221</v>
      </c>
      <c r="AB1363" s="1" t="s">
        <v>237</v>
      </c>
      <c r="AC1363" s="1">
        <v>0</v>
      </c>
      <c r="AD1363" s="1" t="s">
        <v>56</v>
      </c>
      <c r="AE1363" s="1" t="s">
        <v>83</v>
      </c>
      <c r="AG1363" s="1" t="s">
        <v>1084</v>
      </c>
      <c r="AH1363" s="1" t="s">
        <v>206</v>
      </c>
      <c r="AI1363" s="1" t="s">
        <v>75</v>
      </c>
      <c r="AK1363" s="1" t="s">
        <v>86</v>
      </c>
      <c r="AL1363" s="1" t="s">
        <v>133</v>
      </c>
      <c r="AM1363" s="1">
        <v>3</v>
      </c>
      <c r="AN1363" s="1">
        <v>0</v>
      </c>
      <c r="AO1363" s="1">
        <f t="shared" si="106"/>
        <v>3</v>
      </c>
    </row>
    <row r="1364" spans="1:41" x14ac:dyDescent="0.4">
      <c r="A1364" s="1">
        <v>1</v>
      </c>
      <c r="B1364" s="1" t="s">
        <v>1033</v>
      </c>
      <c r="C1364" s="1" t="s">
        <v>41</v>
      </c>
      <c r="D1364" s="2">
        <v>38996</v>
      </c>
      <c r="E1364" s="1">
        <v>279</v>
      </c>
      <c r="F1364" s="1">
        <v>5</v>
      </c>
      <c r="G1364" s="3">
        <v>0.56107638888888889</v>
      </c>
      <c r="H1364" s="3">
        <v>0.56111111111111112</v>
      </c>
      <c r="I1364" s="3">
        <v>3.472222222222765E-5</v>
      </c>
      <c r="J1364" s="3">
        <v>3.472222222222765E-5</v>
      </c>
      <c r="K1364" s="5">
        <f t="shared" si="105"/>
        <v>3</v>
      </c>
      <c r="L1364" s="3">
        <v>4.6064814814814614E-3</v>
      </c>
      <c r="N1364" s="1" t="s">
        <v>42</v>
      </c>
      <c r="O1364" s="1" t="s">
        <v>286</v>
      </c>
      <c r="P1364" s="1" t="s">
        <v>44</v>
      </c>
      <c r="S1364" s="1" t="s">
        <v>46</v>
      </c>
      <c r="V1364" s="1" t="s">
        <v>67</v>
      </c>
      <c r="W1364" s="1" t="s">
        <v>68</v>
      </c>
      <c r="Y1364" s="1" t="s">
        <v>68</v>
      </c>
      <c r="AB1364" s="1" t="s">
        <v>69</v>
      </c>
      <c r="AC1364" s="1">
        <v>0</v>
      </c>
      <c r="AD1364" s="1" t="s">
        <v>68</v>
      </c>
      <c r="AE1364" s="1" t="s">
        <v>70</v>
      </c>
      <c r="AK1364" s="1" t="s">
        <v>61</v>
      </c>
      <c r="AL1364" s="1" t="s">
        <v>133</v>
      </c>
      <c r="AN1364" s="1">
        <v>1</v>
      </c>
      <c r="AO1364" s="1">
        <f t="shared" si="106"/>
        <v>1</v>
      </c>
    </row>
    <row r="1365" spans="1:41" x14ac:dyDescent="0.4">
      <c r="A1365" s="1">
        <v>1</v>
      </c>
      <c r="B1365" s="1" t="s">
        <v>1033</v>
      </c>
      <c r="C1365" s="1" t="s">
        <v>41</v>
      </c>
      <c r="D1365" s="2">
        <v>38996</v>
      </c>
      <c r="E1365" s="1">
        <v>279</v>
      </c>
      <c r="F1365" s="1">
        <v>6</v>
      </c>
      <c r="G1365" s="3">
        <v>0.56571759259259258</v>
      </c>
      <c r="H1365" s="3">
        <v>0.57775462962962965</v>
      </c>
      <c r="I1365" s="3">
        <v>1.2037037037037068E-2</v>
      </c>
      <c r="J1365" s="3">
        <v>5.0925925925926485E-4</v>
      </c>
      <c r="K1365" s="5">
        <f t="shared" si="105"/>
        <v>44</v>
      </c>
      <c r="L1365" s="3">
        <v>1.8171296296295436E-3</v>
      </c>
      <c r="N1365" s="1" t="s">
        <v>42</v>
      </c>
      <c r="O1365" s="1" t="s">
        <v>286</v>
      </c>
      <c r="P1365" s="1" t="s">
        <v>44</v>
      </c>
      <c r="S1365" s="1" t="s">
        <v>46</v>
      </c>
      <c r="T1365" s="1" t="s">
        <v>47</v>
      </c>
      <c r="U1365" s="1" t="s">
        <v>92</v>
      </c>
      <c r="V1365" s="1" t="s">
        <v>67</v>
      </c>
      <c r="W1365" s="1" t="s">
        <v>68</v>
      </c>
      <c r="Y1365" s="1" t="s">
        <v>68</v>
      </c>
      <c r="AB1365" s="1" t="s">
        <v>69</v>
      </c>
      <c r="AC1365" s="1">
        <v>0</v>
      </c>
      <c r="AD1365" s="1" t="s">
        <v>68</v>
      </c>
      <c r="AE1365" s="1" t="s">
        <v>70</v>
      </c>
      <c r="AG1365" s="1" t="s">
        <v>1224</v>
      </c>
      <c r="AI1365" s="1" t="s">
        <v>75</v>
      </c>
      <c r="AK1365" s="1" t="s">
        <v>86</v>
      </c>
      <c r="AL1365" s="1" t="s">
        <v>133</v>
      </c>
      <c r="AM1365" s="1">
        <v>1</v>
      </c>
      <c r="AN1365" s="1">
        <v>0</v>
      </c>
      <c r="AO1365" s="1">
        <f t="shared" si="106"/>
        <v>1</v>
      </c>
    </row>
    <row r="1366" spans="1:41" x14ac:dyDescent="0.4">
      <c r="A1366" s="1">
        <v>1</v>
      </c>
      <c r="B1366" s="1" t="s">
        <v>1033</v>
      </c>
      <c r="C1366" s="1" t="s">
        <v>41</v>
      </c>
      <c r="D1366" s="2">
        <v>38996</v>
      </c>
      <c r="E1366" s="1">
        <v>279</v>
      </c>
      <c r="F1366" s="1">
        <v>7</v>
      </c>
      <c r="G1366" s="3">
        <v>0.57957175925925919</v>
      </c>
      <c r="H1366" s="3">
        <v>0.57968750000000002</v>
      </c>
      <c r="I1366" s="3">
        <v>1.1574074074083285E-4</v>
      </c>
      <c r="J1366" s="3">
        <v>1.1574074074083285E-4</v>
      </c>
      <c r="K1366" s="5">
        <f t="shared" si="105"/>
        <v>10</v>
      </c>
      <c r="L1366" s="3" t="s">
        <v>120</v>
      </c>
      <c r="N1366" s="1" t="s">
        <v>75</v>
      </c>
      <c r="O1366" s="1" t="s">
        <v>286</v>
      </c>
      <c r="P1366" s="1" t="s">
        <v>44</v>
      </c>
      <c r="S1366" s="1" t="s">
        <v>46</v>
      </c>
      <c r="T1366" s="1" t="s">
        <v>47</v>
      </c>
      <c r="U1366" s="1" t="s">
        <v>66</v>
      </c>
      <c r="AB1366" s="1" t="s">
        <v>93</v>
      </c>
      <c r="AC1366" s="1">
        <v>1</v>
      </c>
      <c r="AG1366" s="1" t="s">
        <v>1117</v>
      </c>
      <c r="AI1366" s="1" t="s">
        <v>75</v>
      </c>
      <c r="AK1366" s="1" t="s">
        <v>86</v>
      </c>
      <c r="AL1366" s="1" t="s">
        <v>133</v>
      </c>
      <c r="AM1366" s="1">
        <v>4</v>
      </c>
      <c r="AN1366" s="1">
        <v>0</v>
      </c>
      <c r="AO1366" s="1">
        <f t="shared" si="106"/>
        <v>4</v>
      </c>
    </row>
    <row r="1367" spans="1:41" x14ac:dyDescent="0.4">
      <c r="A1367" s="1">
        <v>1</v>
      </c>
      <c r="B1367" s="1" t="s">
        <v>1033</v>
      </c>
      <c r="C1367" s="1" t="s">
        <v>119</v>
      </c>
      <c r="D1367" s="2">
        <v>38756</v>
      </c>
      <c r="E1367" s="1">
        <v>39</v>
      </c>
      <c r="F1367" s="1">
        <v>1</v>
      </c>
      <c r="G1367" s="3">
        <v>0.46082175925925922</v>
      </c>
      <c r="H1367" s="3">
        <v>0.46341435185185187</v>
      </c>
      <c r="I1367" s="3">
        <v>2.5925925925926463E-3</v>
      </c>
      <c r="J1367" s="3">
        <v>2.2916666666668029E-3</v>
      </c>
      <c r="K1367" s="5">
        <f t="shared" si="105"/>
        <v>198</v>
      </c>
      <c r="L1367" s="3">
        <v>0.15582175925925923</v>
      </c>
      <c r="N1367" s="1" t="s">
        <v>75</v>
      </c>
      <c r="O1367" s="1" t="s">
        <v>43</v>
      </c>
      <c r="P1367" s="1" t="s">
        <v>172</v>
      </c>
      <c r="Q1367" s="1" t="s">
        <v>76</v>
      </c>
      <c r="R1367" s="1" t="s">
        <v>76</v>
      </c>
      <c r="S1367" s="1" t="s">
        <v>46</v>
      </c>
      <c r="T1367" s="1" t="s">
        <v>45</v>
      </c>
      <c r="U1367" s="1" t="s">
        <v>48</v>
      </c>
      <c r="V1367" s="1" t="s">
        <v>49</v>
      </c>
      <c r="W1367" s="1" t="s">
        <v>77</v>
      </c>
      <c r="X1367" s="1" t="s">
        <v>1225</v>
      </c>
      <c r="Y1367" s="1" t="s">
        <v>528</v>
      </c>
      <c r="Z1367" s="1" t="s">
        <v>1226</v>
      </c>
      <c r="AA1367" s="1" t="s">
        <v>1227</v>
      </c>
      <c r="AB1367" s="1" t="s">
        <v>1228</v>
      </c>
      <c r="AC1367" s="1">
        <v>0</v>
      </c>
      <c r="AD1367" s="1" t="s">
        <v>56</v>
      </c>
      <c r="AE1367" s="1" t="s">
        <v>57</v>
      </c>
      <c r="AG1367" s="1" t="s">
        <v>1229</v>
      </c>
      <c r="AH1367" s="1" t="s">
        <v>165</v>
      </c>
      <c r="AI1367" s="1" t="s">
        <v>75</v>
      </c>
      <c r="AJ1367" s="1" t="s">
        <v>147</v>
      </c>
      <c r="AK1367" s="1" t="s">
        <v>61</v>
      </c>
      <c r="AL1367" s="1" t="s">
        <v>72</v>
      </c>
      <c r="AM1367" s="1">
        <v>1</v>
      </c>
      <c r="AN1367" s="1">
        <v>0</v>
      </c>
      <c r="AO1367" s="1">
        <f t="shared" si="106"/>
        <v>1</v>
      </c>
    </row>
    <row r="1368" spans="1:41" x14ac:dyDescent="0.4">
      <c r="A1368" s="1">
        <v>1</v>
      </c>
      <c r="B1368" s="1" t="s">
        <v>1033</v>
      </c>
      <c r="C1368" s="1" t="s">
        <v>119</v>
      </c>
      <c r="D1368" s="2">
        <v>38765</v>
      </c>
      <c r="E1368" s="1">
        <v>48</v>
      </c>
      <c r="F1368" s="1">
        <v>2.2000000000000002</v>
      </c>
      <c r="G1368" s="3">
        <v>0.37364583333333329</v>
      </c>
      <c r="H1368" s="3">
        <v>0.37372685185185189</v>
      </c>
      <c r="I1368" s="3">
        <v>8.1018518518605198E-5</v>
      </c>
      <c r="J1368" s="3">
        <v>8.1018518518605198E-5</v>
      </c>
      <c r="K1368" s="5">
        <f t="shared" si="105"/>
        <v>7</v>
      </c>
      <c r="L1368" s="3">
        <v>2.8148148148148089E-2</v>
      </c>
      <c r="N1368" s="1" t="s">
        <v>42</v>
      </c>
      <c r="O1368" s="1" t="s">
        <v>43</v>
      </c>
      <c r="P1368" s="1" t="s">
        <v>172</v>
      </c>
      <c r="Q1368" s="1" t="s">
        <v>76</v>
      </c>
      <c r="R1368" s="1" t="s">
        <v>45</v>
      </c>
      <c r="S1368" s="1" t="s">
        <v>46</v>
      </c>
      <c r="AB1368" s="1" t="s">
        <v>93</v>
      </c>
      <c r="AC1368" s="1">
        <v>1</v>
      </c>
      <c r="AK1368" s="1" t="s">
        <v>86</v>
      </c>
      <c r="AL1368" s="1" t="s">
        <v>86</v>
      </c>
      <c r="AN1368" s="1">
        <v>1</v>
      </c>
      <c r="AO1368" s="1">
        <f t="shared" si="106"/>
        <v>1</v>
      </c>
    </row>
    <row r="1369" spans="1:41" x14ac:dyDescent="0.4">
      <c r="A1369" s="1">
        <v>1</v>
      </c>
      <c r="B1369" s="1" t="s">
        <v>1033</v>
      </c>
      <c r="C1369" s="1" t="s">
        <v>119</v>
      </c>
      <c r="D1369" s="2">
        <v>38765</v>
      </c>
      <c r="E1369" s="1">
        <v>48</v>
      </c>
      <c r="F1369" s="1">
        <v>2.4</v>
      </c>
      <c r="G1369" s="3">
        <v>0.40187499999999998</v>
      </c>
      <c r="H1369" s="3">
        <v>0.40190972222222227</v>
      </c>
      <c r="I1369" s="3">
        <v>3.4722222222283161E-5</v>
      </c>
      <c r="J1369" s="3">
        <v>3.4722222222283161E-5</v>
      </c>
      <c r="K1369" s="5">
        <f t="shared" si="105"/>
        <v>3</v>
      </c>
      <c r="L1369" s="3">
        <v>0.28203703703703703</v>
      </c>
      <c r="N1369" s="1" t="s">
        <v>42</v>
      </c>
      <c r="O1369" s="1" t="s">
        <v>43</v>
      </c>
      <c r="P1369" s="1" t="s">
        <v>172</v>
      </c>
      <c r="Q1369" s="1" t="s">
        <v>91</v>
      </c>
      <c r="R1369" s="1" t="s">
        <v>76</v>
      </c>
      <c r="S1369" s="1" t="s">
        <v>46</v>
      </c>
      <c r="T1369" s="1" t="s">
        <v>45</v>
      </c>
      <c r="U1369" s="1" t="s">
        <v>156</v>
      </c>
      <c r="AB1369" s="1" t="s">
        <v>93</v>
      </c>
      <c r="AC1369" s="1">
        <v>1</v>
      </c>
      <c r="AI1369" s="1" t="s">
        <v>75</v>
      </c>
      <c r="AK1369" s="1" t="s">
        <v>86</v>
      </c>
      <c r="AL1369" s="1" t="s">
        <v>187</v>
      </c>
      <c r="AN1369" s="1">
        <v>1</v>
      </c>
      <c r="AO1369" s="1">
        <f t="shared" si="106"/>
        <v>1</v>
      </c>
    </row>
    <row r="1370" spans="1:41" x14ac:dyDescent="0.4">
      <c r="A1370" s="1">
        <v>1</v>
      </c>
      <c r="B1370" s="1" t="s">
        <v>1033</v>
      </c>
      <c r="C1370" s="1" t="s">
        <v>119</v>
      </c>
      <c r="D1370" s="2">
        <v>38769</v>
      </c>
      <c r="E1370" s="1">
        <v>52</v>
      </c>
      <c r="F1370" s="1">
        <v>1.7</v>
      </c>
      <c r="G1370" s="3">
        <v>0.5597685185185185</v>
      </c>
      <c r="H1370" s="3">
        <v>0.5597685185185185</v>
      </c>
      <c r="I1370" s="3">
        <v>0</v>
      </c>
      <c r="J1370" s="3">
        <v>0</v>
      </c>
      <c r="K1370" s="5">
        <f t="shared" si="105"/>
        <v>0</v>
      </c>
      <c r="L1370" s="3">
        <v>8.0138888888888871E-2</v>
      </c>
      <c r="N1370" s="1" t="s">
        <v>90</v>
      </c>
      <c r="O1370" s="1" t="s">
        <v>43</v>
      </c>
      <c r="P1370" s="1" t="s">
        <v>172</v>
      </c>
      <c r="Q1370" s="1" t="s">
        <v>191</v>
      </c>
      <c r="R1370" s="1" t="s">
        <v>191</v>
      </c>
      <c r="S1370" s="1" t="s">
        <v>46</v>
      </c>
      <c r="T1370" s="1" t="s">
        <v>76</v>
      </c>
      <c r="AB1370" s="1" t="s">
        <v>93</v>
      </c>
      <c r="AC1370" s="1">
        <v>1</v>
      </c>
      <c r="AG1370" s="1" t="s">
        <v>1046</v>
      </c>
      <c r="AK1370" s="1" t="s">
        <v>86</v>
      </c>
      <c r="AL1370" s="1" t="s">
        <v>133</v>
      </c>
      <c r="AM1370" s="1">
        <v>3</v>
      </c>
      <c r="AN1370" s="1">
        <v>0</v>
      </c>
      <c r="AO1370" s="1">
        <f t="shared" si="106"/>
        <v>3</v>
      </c>
    </row>
    <row r="1371" spans="1:41" x14ac:dyDescent="0.4">
      <c r="A1371" s="1">
        <v>1</v>
      </c>
      <c r="B1371" s="1" t="s">
        <v>1033</v>
      </c>
      <c r="C1371" s="1" t="s">
        <v>119</v>
      </c>
      <c r="D1371" s="2">
        <v>38769</v>
      </c>
      <c r="E1371" s="1">
        <v>52</v>
      </c>
      <c r="F1371" s="1">
        <v>3</v>
      </c>
      <c r="G1371" s="3">
        <v>0.64643518518518517</v>
      </c>
      <c r="H1371" s="3">
        <v>0.6468518518518519</v>
      </c>
      <c r="I1371" s="3">
        <v>4.166666666667318E-4</v>
      </c>
      <c r="J1371" s="3">
        <v>4.166666666667318E-4</v>
      </c>
      <c r="K1371" s="5">
        <f t="shared" si="105"/>
        <v>36</v>
      </c>
      <c r="L1371" s="3">
        <v>1.3425925925925064E-3</v>
      </c>
      <c r="N1371" s="1" t="s">
        <v>42</v>
      </c>
      <c r="O1371" s="1" t="s">
        <v>43</v>
      </c>
      <c r="P1371" s="1" t="s">
        <v>172</v>
      </c>
      <c r="Q1371" s="1" t="s">
        <v>76</v>
      </c>
      <c r="R1371" s="1" t="s">
        <v>76</v>
      </c>
      <c r="S1371" s="1" t="s">
        <v>46</v>
      </c>
      <c r="T1371" s="1" t="s">
        <v>47</v>
      </c>
      <c r="U1371" s="1" t="s">
        <v>66</v>
      </c>
      <c r="V1371" s="1" t="s">
        <v>49</v>
      </c>
      <c r="W1371" s="1" t="s">
        <v>77</v>
      </c>
      <c r="X1371" s="1" t="s">
        <v>468</v>
      </c>
      <c r="Y1371" s="1" t="s">
        <v>126</v>
      </c>
      <c r="Z1371" s="1" t="s">
        <v>469</v>
      </c>
      <c r="AA1371" s="1" t="s">
        <v>470</v>
      </c>
      <c r="AB1371" s="1" t="s">
        <v>471</v>
      </c>
      <c r="AC1371" s="1">
        <v>0</v>
      </c>
      <c r="AD1371" s="1" t="s">
        <v>56</v>
      </c>
      <c r="AE1371" s="1" t="s">
        <v>83</v>
      </c>
      <c r="AG1371" s="1" t="s">
        <v>1230</v>
      </c>
      <c r="AH1371" s="1" t="s">
        <v>59</v>
      </c>
      <c r="AI1371" s="1" t="s">
        <v>71</v>
      </c>
      <c r="AK1371" s="1" t="s">
        <v>116</v>
      </c>
      <c r="AL1371" s="1" t="s">
        <v>174</v>
      </c>
      <c r="AM1371" s="1">
        <v>1</v>
      </c>
      <c r="AN1371" s="1">
        <v>0</v>
      </c>
      <c r="AO1371" s="1">
        <f t="shared" si="106"/>
        <v>1</v>
      </c>
    </row>
    <row r="1372" spans="1:41" x14ac:dyDescent="0.4">
      <c r="A1372" s="1">
        <v>1</v>
      </c>
      <c r="B1372" s="1" t="s">
        <v>1033</v>
      </c>
      <c r="C1372" s="1" t="s">
        <v>119</v>
      </c>
      <c r="D1372" s="2">
        <v>38771</v>
      </c>
      <c r="E1372" s="1">
        <v>54</v>
      </c>
      <c r="F1372" s="1">
        <v>3.6</v>
      </c>
      <c r="G1372" s="3">
        <v>0.42682870370370374</v>
      </c>
      <c r="H1372" s="3">
        <v>0.42898148148148146</v>
      </c>
      <c r="I1372" s="3">
        <v>2.1527777777777257E-3</v>
      </c>
      <c r="J1372" s="3">
        <v>2.8935185185180456E-4</v>
      </c>
      <c r="K1372" s="5">
        <f t="shared" si="105"/>
        <v>25</v>
      </c>
      <c r="L1372" s="3">
        <v>7.8240740740740389E-3</v>
      </c>
      <c r="N1372" s="1" t="s">
        <v>42</v>
      </c>
      <c r="O1372" s="1" t="s">
        <v>43</v>
      </c>
      <c r="P1372" s="1" t="s">
        <v>172</v>
      </c>
      <c r="Q1372" s="1" t="s">
        <v>45</v>
      </c>
      <c r="R1372" s="1" t="s">
        <v>45</v>
      </c>
      <c r="S1372" s="1" t="s">
        <v>46</v>
      </c>
      <c r="T1372" s="1" t="s">
        <v>45</v>
      </c>
      <c r="U1372" s="1" t="s">
        <v>66</v>
      </c>
      <c r="V1372" s="1" t="s">
        <v>67</v>
      </c>
      <c r="W1372" s="1" t="s">
        <v>68</v>
      </c>
      <c r="Y1372" s="1" t="s">
        <v>68</v>
      </c>
      <c r="AB1372" s="1" t="s">
        <v>69</v>
      </c>
      <c r="AC1372" s="1">
        <v>0</v>
      </c>
      <c r="AD1372" s="1" t="s">
        <v>68</v>
      </c>
      <c r="AE1372" s="1" t="s">
        <v>70</v>
      </c>
      <c r="AG1372" s="1" t="s">
        <v>1222</v>
      </c>
      <c r="AI1372" s="1" t="s">
        <v>71</v>
      </c>
      <c r="AK1372" s="1" t="s">
        <v>86</v>
      </c>
      <c r="AL1372" s="1" t="s">
        <v>133</v>
      </c>
      <c r="AM1372" s="1">
        <v>2</v>
      </c>
      <c r="AN1372" s="1">
        <v>0</v>
      </c>
      <c r="AO1372" s="1">
        <f t="shared" si="106"/>
        <v>2</v>
      </c>
    </row>
    <row r="1373" spans="1:41" x14ac:dyDescent="0.4">
      <c r="A1373" s="1">
        <v>1</v>
      </c>
      <c r="B1373" s="1" t="s">
        <v>1033</v>
      </c>
      <c r="C1373" s="1" t="s">
        <v>119</v>
      </c>
      <c r="D1373" s="2">
        <v>38771</v>
      </c>
      <c r="E1373" s="1">
        <v>54</v>
      </c>
      <c r="F1373" s="1">
        <v>3.65</v>
      </c>
      <c r="G1373" s="3">
        <v>0.4368055555555555</v>
      </c>
      <c r="H1373" s="3">
        <v>0.43685185185185182</v>
      </c>
      <c r="I1373" s="3">
        <v>4.6296296296322037E-5</v>
      </c>
      <c r="J1373" s="3">
        <v>4.6296296296322037E-5</v>
      </c>
      <c r="K1373" s="5">
        <f t="shared" si="105"/>
        <v>4</v>
      </c>
      <c r="L1373" s="3">
        <v>8.5173611111111103E-2</v>
      </c>
      <c r="N1373" s="1" t="s">
        <v>42</v>
      </c>
      <c r="O1373" s="1" t="s">
        <v>43</v>
      </c>
      <c r="P1373" s="1" t="s">
        <v>172</v>
      </c>
      <c r="Q1373" s="1" t="s">
        <v>76</v>
      </c>
      <c r="R1373" s="1" t="s">
        <v>76</v>
      </c>
      <c r="S1373" s="1" t="s">
        <v>46</v>
      </c>
      <c r="T1373" s="1" t="s">
        <v>76</v>
      </c>
      <c r="U1373" s="1" t="s">
        <v>66</v>
      </c>
      <c r="AB1373" s="1" t="s">
        <v>93</v>
      </c>
      <c r="AC1373" s="1">
        <v>1</v>
      </c>
      <c r="AI1373" s="1" t="s">
        <v>71</v>
      </c>
      <c r="AK1373" s="1" t="s">
        <v>61</v>
      </c>
      <c r="AL1373" s="1" t="s">
        <v>72</v>
      </c>
      <c r="AN1373" s="1">
        <v>1</v>
      </c>
      <c r="AO1373" s="1">
        <f t="shared" si="106"/>
        <v>1</v>
      </c>
    </row>
    <row r="1374" spans="1:41" x14ac:dyDescent="0.4">
      <c r="A1374" s="1">
        <v>1</v>
      </c>
      <c r="B1374" s="1" t="s">
        <v>1033</v>
      </c>
      <c r="C1374" s="1" t="s">
        <v>119</v>
      </c>
      <c r="D1374" s="2">
        <v>38771</v>
      </c>
      <c r="E1374" s="1">
        <v>54</v>
      </c>
      <c r="F1374" s="1">
        <v>3.8</v>
      </c>
      <c r="G1374" s="3">
        <v>0.52202546296296293</v>
      </c>
      <c r="H1374" s="3">
        <v>0.52233796296296298</v>
      </c>
      <c r="I1374" s="3">
        <v>3.1250000000004885E-4</v>
      </c>
      <c r="J1374" s="3">
        <v>3.1250000000004885E-4</v>
      </c>
      <c r="K1374" s="5">
        <f t="shared" si="105"/>
        <v>27</v>
      </c>
      <c r="L1374" s="3">
        <v>1.4062499999999978E-2</v>
      </c>
      <c r="N1374" s="1" t="s">
        <v>42</v>
      </c>
      <c r="O1374" s="1" t="s">
        <v>43</v>
      </c>
      <c r="P1374" s="1" t="s">
        <v>172</v>
      </c>
      <c r="Q1374" s="1" t="s">
        <v>76</v>
      </c>
      <c r="R1374" s="1" t="s">
        <v>76</v>
      </c>
      <c r="S1374" s="1" t="s">
        <v>46</v>
      </c>
      <c r="T1374" s="1" t="s">
        <v>47</v>
      </c>
      <c r="U1374" s="1" t="s">
        <v>92</v>
      </c>
      <c r="V1374" s="1" t="s">
        <v>67</v>
      </c>
      <c r="W1374" s="1" t="s">
        <v>68</v>
      </c>
      <c r="Y1374" s="1" t="s">
        <v>68</v>
      </c>
      <c r="AB1374" s="1" t="s">
        <v>69</v>
      </c>
      <c r="AC1374" s="1">
        <v>0</v>
      </c>
      <c r="AD1374" s="1" t="s">
        <v>68</v>
      </c>
      <c r="AE1374" s="1" t="s">
        <v>70</v>
      </c>
      <c r="AI1374" s="1" t="s">
        <v>75</v>
      </c>
      <c r="AK1374" s="1" t="s">
        <v>86</v>
      </c>
      <c r="AL1374" s="1" t="s">
        <v>133</v>
      </c>
      <c r="AN1374" s="1">
        <v>1</v>
      </c>
      <c r="AO1374" s="1">
        <f t="shared" si="106"/>
        <v>1</v>
      </c>
    </row>
    <row r="1375" spans="1:41" x14ac:dyDescent="0.4">
      <c r="A1375" s="1">
        <v>1</v>
      </c>
      <c r="B1375" s="1" t="s">
        <v>1033</v>
      </c>
      <c r="C1375" s="1" t="s">
        <v>119</v>
      </c>
      <c r="D1375" s="2">
        <v>38771</v>
      </c>
      <c r="E1375" s="1">
        <v>54</v>
      </c>
      <c r="F1375" s="1">
        <v>4.5</v>
      </c>
      <c r="G1375" s="3">
        <v>0.55212962962962964</v>
      </c>
      <c r="H1375" s="3">
        <v>0.55230324074074078</v>
      </c>
      <c r="I1375" s="3">
        <v>1.7361111111113825E-4</v>
      </c>
      <c r="J1375" s="3">
        <v>1.7361111111113825E-4</v>
      </c>
      <c r="K1375" s="5">
        <f t="shared" si="105"/>
        <v>15</v>
      </c>
      <c r="L1375" s="3">
        <v>1.6550925925925553E-3</v>
      </c>
      <c r="N1375" s="1" t="s">
        <v>42</v>
      </c>
      <c r="O1375" s="1" t="s">
        <v>43</v>
      </c>
      <c r="P1375" s="1" t="s">
        <v>172</v>
      </c>
      <c r="Q1375" s="1" t="s">
        <v>76</v>
      </c>
      <c r="R1375" s="1" t="s">
        <v>45</v>
      </c>
      <c r="S1375" s="1" t="s">
        <v>46</v>
      </c>
      <c r="T1375" s="1" t="s">
        <v>45</v>
      </c>
      <c r="U1375" s="1" t="s">
        <v>156</v>
      </c>
      <c r="AB1375" s="1" t="s">
        <v>93</v>
      </c>
      <c r="AC1375" s="1">
        <v>1</v>
      </c>
      <c r="AI1375" s="1" t="s">
        <v>75</v>
      </c>
      <c r="AK1375" s="1" t="s">
        <v>61</v>
      </c>
      <c r="AL1375" s="1" t="s">
        <v>72</v>
      </c>
      <c r="AN1375" s="1">
        <v>1</v>
      </c>
      <c r="AO1375" s="1">
        <f t="shared" si="106"/>
        <v>1</v>
      </c>
    </row>
    <row r="1376" spans="1:41" x14ac:dyDescent="0.4">
      <c r="A1376" s="1">
        <v>1</v>
      </c>
      <c r="B1376" s="1" t="s">
        <v>1033</v>
      </c>
      <c r="C1376" s="1" t="s">
        <v>119</v>
      </c>
      <c r="D1376" s="2">
        <v>38792</v>
      </c>
      <c r="E1376" s="1">
        <v>75</v>
      </c>
      <c r="F1376" s="1">
        <v>0.3</v>
      </c>
      <c r="G1376" s="3">
        <v>0.33766203703703707</v>
      </c>
      <c r="H1376" s="3">
        <v>0.33781250000000002</v>
      </c>
      <c r="I1376" s="3">
        <v>1.5046296296294948E-4</v>
      </c>
      <c r="J1376" s="3">
        <v>1.5046296296294948E-4</v>
      </c>
      <c r="K1376" s="5">
        <f t="shared" si="105"/>
        <v>13</v>
      </c>
      <c r="L1376" s="3">
        <v>1.6898148148148107E-2</v>
      </c>
      <c r="N1376" s="1" t="s">
        <v>75</v>
      </c>
      <c r="O1376" s="1" t="s">
        <v>43</v>
      </c>
      <c r="P1376" s="1" t="s">
        <v>227</v>
      </c>
      <c r="Q1376" s="1" t="s">
        <v>132</v>
      </c>
      <c r="S1376" s="1" t="s">
        <v>46</v>
      </c>
      <c r="AB1376" s="1" t="s">
        <v>93</v>
      </c>
      <c r="AC1376" s="1">
        <v>1</v>
      </c>
      <c r="AK1376" s="1" t="s">
        <v>86</v>
      </c>
      <c r="AL1376" s="1" t="s">
        <v>87</v>
      </c>
      <c r="AN1376" s="1">
        <v>1</v>
      </c>
      <c r="AO1376" s="1">
        <f t="shared" si="106"/>
        <v>1</v>
      </c>
    </row>
    <row r="1377" spans="1:41" x14ac:dyDescent="0.4">
      <c r="A1377" s="1">
        <v>1</v>
      </c>
      <c r="B1377" s="1" t="s">
        <v>1033</v>
      </c>
      <c r="C1377" s="1" t="s">
        <v>119</v>
      </c>
      <c r="D1377" s="2">
        <v>38792</v>
      </c>
      <c r="E1377" s="1">
        <v>75</v>
      </c>
      <c r="F1377" s="1">
        <v>2.5</v>
      </c>
      <c r="G1377" s="3">
        <v>0.48812499999999998</v>
      </c>
      <c r="H1377" s="3">
        <v>0.48880787037037038</v>
      </c>
      <c r="I1377" s="3">
        <v>6.828703703704031E-4</v>
      </c>
      <c r="J1377" s="3">
        <v>6.828703703704031E-4</v>
      </c>
      <c r="K1377" s="5">
        <f t="shared" si="105"/>
        <v>59</v>
      </c>
      <c r="L1377" s="3">
        <v>0</v>
      </c>
      <c r="N1377" s="1" t="s">
        <v>42</v>
      </c>
      <c r="O1377" s="1" t="s">
        <v>43</v>
      </c>
      <c r="P1377" s="1" t="s">
        <v>227</v>
      </c>
      <c r="Q1377" s="1" t="s">
        <v>76</v>
      </c>
      <c r="S1377" s="1" t="s">
        <v>46</v>
      </c>
      <c r="T1377" s="1" t="s">
        <v>45</v>
      </c>
      <c r="U1377" s="1" t="s">
        <v>66</v>
      </c>
      <c r="V1377" s="1" t="s">
        <v>67</v>
      </c>
      <c r="W1377" s="1" t="s">
        <v>68</v>
      </c>
      <c r="Y1377" s="1" t="s">
        <v>68</v>
      </c>
      <c r="AB1377" s="1" t="s">
        <v>69</v>
      </c>
      <c r="AC1377" s="1">
        <v>0</v>
      </c>
      <c r="AD1377" s="1" t="s">
        <v>68</v>
      </c>
      <c r="AE1377" s="1" t="s">
        <v>70</v>
      </c>
      <c r="AG1377" s="1" t="s">
        <v>1075</v>
      </c>
      <c r="AI1377" s="1" t="s">
        <v>71</v>
      </c>
      <c r="AK1377" s="1" t="s">
        <v>86</v>
      </c>
      <c r="AL1377" s="1" t="s">
        <v>86</v>
      </c>
      <c r="AM1377" s="1">
        <v>3</v>
      </c>
      <c r="AN1377" s="1">
        <v>0</v>
      </c>
      <c r="AO1377" s="1">
        <f t="shared" si="106"/>
        <v>3</v>
      </c>
    </row>
    <row r="1378" spans="1:41" x14ac:dyDescent="0.4">
      <c r="A1378" s="1">
        <v>1</v>
      </c>
      <c r="B1378" s="1" t="s">
        <v>1033</v>
      </c>
      <c r="C1378" s="1" t="s">
        <v>119</v>
      </c>
      <c r="D1378" s="2">
        <v>38792</v>
      </c>
      <c r="E1378" s="1">
        <v>75</v>
      </c>
      <c r="F1378" s="1">
        <v>3.3</v>
      </c>
      <c r="G1378" s="3">
        <v>0.49818287037037035</v>
      </c>
      <c r="H1378" s="3">
        <v>0.49850694444444449</v>
      </c>
      <c r="I1378" s="3">
        <v>3.2407407407414324E-4</v>
      </c>
      <c r="J1378" s="3">
        <v>3.2407407407414324E-4</v>
      </c>
      <c r="K1378" s="5">
        <f t="shared" si="105"/>
        <v>28</v>
      </c>
      <c r="L1378" s="3">
        <v>4.4560185185184564E-3</v>
      </c>
      <c r="N1378" s="1" t="s">
        <v>42</v>
      </c>
      <c r="O1378" s="1" t="s">
        <v>43</v>
      </c>
      <c r="P1378" s="1" t="s">
        <v>227</v>
      </c>
      <c r="Q1378" s="1" t="s">
        <v>76</v>
      </c>
      <c r="S1378" s="1" t="s">
        <v>46</v>
      </c>
      <c r="T1378" s="1" t="s">
        <v>45</v>
      </c>
      <c r="U1378" s="1" t="s">
        <v>66</v>
      </c>
      <c r="V1378" s="1" t="s">
        <v>102</v>
      </c>
      <c r="W1378" s="1" t="s">
        <v>231</v>
      </c>
      <c r="X1378" s="1" t="s">
        <v>121</v>
      </c>
      <c r="AB1378" s="1" t="s">
        <v>104</v>
      </c>
      <c r="AC1378" s="1">
        <v>0</v>
      </c>
      <c r="AE1378" s="1" t="s">
        <v>70</v>
      </c>
      <c r="AI1378" s="1" t="s">
        <v>71</v>
      </c>
      <c r="AK1378" s="1" t="s">
        <v>61</v>
      </c>
      <c r="AL1378" s="1" t="s">
        <v>72</v>
      </c>
      <c r="AN1378" s="1">
        <v>1</v>
      </c>
      <c r="AO1378" s="1">
        <f t="shared" si="106"/>
        <v>1</v>
      </c>
    </row>
    <row r="1379" spans="1:41" x14ac:dyDescent="0.4">
      <c r="A1379" s="1">
        <v>1</v>
      </c>
      <c r="B1379" s="1" t="s">
        <v>1033</v>
      </c>
      <c r="C1379" s="1" t="s">
        <v>119</v>
      </c>
      <c r="D1379" s="2">
        <v>38792</v>
      </c>
      <c r="E1379" s="1">
        <v>75</v>
      </c>
      <c r="F1379" s="1">
        <v>4.83</v>
      </c>
      <c r="G1379" s="3">
        <v>0.56246527777777777</v>
      </c>
      <c r="H1379" s="3">
        <v>0.56252314814814819</v>
      </c>
      <c r="I1379" s="3">
        <v>5.7870370370416424E-5</v>
      </c>
      <c r="J1379" s="3">
        <v>5.7870370370416424E-5</v>
      </c>
      <c r="K1379" s="5">
        <f t="shared" si="105"/>
        <v>5</v>
      </c>
      <c r="L1379" s="3">
        <v>6.3888888888888884E-2</v>
      </c>
      <c r="N1379" s="1" t="s">
        <v>42</v>
      </c>
      <c r="O1379" s="1" t="s">
        <v>43</v>
      </c>
      <c r="P1379" s="1" t="s">
        <v>227</v>
      </c>
      <c r="Q1379" s="1" t="s">
        <v>76</v>
      </c>
      <c r="S1379" s="1" t="s">
        <v>46</v>
      </c>
      <c r="AB1379" s="1" t="s">
        <v>93</v>
      </c>
      <c r="AC1379" s="1">
        <v>1</v>
      </c>
      <c r="AK1379" s="1" t="s">
        <v>61</v>
      </c>
      <c r="AL1379" s="1" t="s">
        <v>72</v>
      </c>
      <c r="AN1379" s="1">
        <v>1</v>
      </c>
      <c r="AO1379" s="1">
        <f t="shared" si="106"/>
        <v>1</v>
      </c>
    </row>
    <row r="1380" spans="1:41" x14ac:dyDescent="0.4">
      <c r="A1380" s="1">
        <v>1</v>
      </c>
      <c r="B1380" s="1" t="s">
        <v>1033</v>
      </c>
      <c r="C1380" s="1" t="s">
        <v>119</v>
      </c>
      <c r="D1380" s="2">
        <v>38792</v>
      </c>
      <c r="E1380" s="1">
        <v>75</v>
      </c>
      <c r="F1380" s="1">
        <v>6.5</v>
      </c>
      <c r="G1380" s="3">
        <v>0.64739583333333328</v>
      </c>
      <c r="H1380" s="3">
        <v>0.64744212962962966</v>
      </c>
      <c r="I1380" s="3">
        <v>4.6296296296377548E-5</v>
      </c>
      <c r="J1380" s="3">
        <v>4.6296296296377548E-5</v>
      </c>
      <c r="K1380" s="5">
        <f t="shared" si="105"/>
        <v>4</v>
      </c>
      <c r="L1380" s="3">
        <v>7.3379629629629628E-3</v>
      </c>
      <c r="N1380" s="1" t="s">
        <v>42</v>
      </c>
      <c r="O1380" s="1" t="s">
        <v>43</v>
      </c>
      <c r="P1380" s="1" t="s">
        <v>227</v>
      </c>
      <c r="Q1380" s="1" t="s">
        <v>45</v>
      </c>
      <c r="S1380" s="1" t="s">
        <v>46</v>
      </c>
      <c r="AB1380" s="1" t="s">
        <v>93</v>
      </c>
      <c r="AC1380" s="1">
        <v>1</v>
      </c>
      <c r="AK1380" s="1" t="s">
        <v>86</v>
      </c>
      <c r="AL1380" s="1" t="s">
        <v>86</v>
      </c>
      <c r="AN1380" s="1">
        <v>1</v>
      </c>
      <c r="AO1380" s="1">
        <f t="shared" si="106"/>
        <v>1</v>
      </c>
    </row>
    <row r="1381" spans="1:41" x14ac:dyDescent="0.4">
      <c r="A1381" s="1">
        <v>1</v>
      </c>
      <c r="B1381" s="1" t="s">
        <v>1033</v>
      </c>
      <c r="C1381" s="1" t="s">
        <v>119</v>
      </c>
      <c r="D1381" s="2">
        <v>38799</v>
      </c>
      <c r="E1381" s="1">
        <v>82</v>
      </c>
      <c r="F1381" s="1">
        <v>3</v>
      </c>
      <c r="G1381" s="3">
        <v>0.30289351851851853</v>
      </c>
      <c r="H1381" s="3">
        <v>0.30854166666666666</v>
      </c>
      <c r="I1381" s="3">
        <v>5.6481481481481244E-3</v>
      </c>
      <c r="J1381" s="3">
        <v>5.6481481481481244E-3</v>
      </c>
      <c r="K1381" s="5">
        <f t="shared" si="105"/>
        <v>488</v>
      </c>
      <c r="L1381" s="3">
        <v>4.4942129629629624E-2</v>
      </c>
      <c r="N1381" s="1" t="s">
        <v>42</v>
      </c>
      <c r="O1381" s="1" t="s">
        <v>43</v>
      </c>
      <c r="P1381" s="1" t="s">
        <v>227</v>
      </c>
      <c r="Q1381" s="1" t="s">
        <v>76</v>
      </c>
      <c r="S1381" s="1" t="s">
        <v>46</v>
      </c>
      <c r="T1381" s="1" t="s">
        <v>47</v>
      </c>
      <c r="U1381" s="1" t="s">
        <v>92</v>
      </c>
      <c r="V1381" s="1" t="s">
        <v>49</v>
      </c>
      <c r="W1381" s="1" t="s">
        <v>50</v>
      </c>
      <c r="X1381" s="1" t="s">
        <v>464</v>
      </c>
      <c r="Y1381" s="1" t="s">
        <v>347</v>
      </c>
      <c r="Z1381" s="1" t="s">
        <v>348</v>
      </c>
      <c r="AA1381" s="1" t="s">
        <v>465</v>
      </c>
      <c r="AB1381" s="1" t="s">
        <v>466</v>
      </c>
      <c r="AC1381" s="1">
        <v>0</v>
      </c>
      <c r="AD1381" s="1" t="s">
        <v>56</v>
      </c>
      <c r="AE1381" s="1" t="s">
        <v>83</v>
      </c>
      <c r="AG1381" s="1" t="s">
        <v>1054</v>
      </c>
      <c r="AH1381" s="1" t="s">
        <v>115</v>
      </c>
      <c r="AI1381" s="1" t="s">
        <v>75</v>
      </c>
      <c r="AK1381" s="1" t="s">
        <v>116</v>
      </c>
      <c r="AL1381" s="1" t="s">
        <v>155</v>
      </c>
      <c r="AM1381" s="1">
        <v>5</v>
      </c>
      <c r="AN1381" s="1">
        <v>0</v>
      </c>
      <c r="AO1381" s="1">
        <f t="shared" si="106"/>
        <v>5</v>
      </c>
    </row>
    <row r="1382" spans="1:41" x14ac:dyDescent="0.4">
      <c r="A1382" s="1">
        <v>1</v>
      </c>
      <c r="B1382" s="1" t="s">
        <v>1033</v>
      </c>
      <c r="C1382" s="1" t="s">
        <v>119</v>
      </c>
      <c r="D1382" s="2">
        <v>38799</v>
      </c>
      <c r="E1382" s="1">
        <v>82</v>
      </c>
      <c r="F1382" s="1">
        <v>3.55</v>
      </c>
      <c r="G1382" s="3">
        <v>0.35348379629629628</v>
      </c>
      <c r="H1382" s="3">
        <v>0.35362268518518519</v>
      </c>
      <c r="I1382" s="3">
        <v>1.388888888889106E-4</v>
      </c>
      <c r="J1382" s="3">
        <v>1.388888888889106E-4</v>
      </c>
      <c r="K1382" s="5">
        <f t="shared" si="105"/>
        <v>12</v>
      </c>
      <c r="L1382" s="3">
        <v>8.5462962962962963E-2</v>
      </c>
      <c r="N1382" s="1" t="s">
        <v>42</v>
      </c>
      <c r="O1382" s="1" t="s">
        <v>43</v>
      </c>
      <c r="P1382" s="1" t="s">
        <v>227</v>
      </c>
      <c r="Q1382" s="1" t="s">
        <v>76</v>
      </c>
      <c r="S1382" s="1" t="s">
        <v>46</v>
      </c>
      <c r="T1382" s="1" t="s">
        <v>45</v>
      </c>
      <c r="U1382" s="1" t="s">
        <v>156</v>
      </c>
      <c r="AB1382" s="1" t="s">
        <v>93</v>
      </c>
      <c r="AC1382" s="1">
        <v>1</v>
      </c>
      <c r="AI1382" s="1" t="s">
        <v>75</v>
      </c>
      <c r="AK1382" s="1" t="s">
        <v>86</v>
      </c>
      <c r="AL1382" s="1" t="s">
        <v>87</v>
      </c>
      <c r="AN1382" s="1">
        <v>1</v>
      </c>
      <c r="AO1382" s="1">
        <f t="shared" si="106"/>
        <v>1</v>
      </c>
    </row>
    <row r="1383" spans="1:41" x14ac:dyDescent="0.4">
      <c r="A1383" s="1">
        <v>1</v>
      </c>
      <c r="B1383" s="1" t="s">
        <v>1033</v>
      </c>
      <c r="C1383" s="1" t="s">
        <v>119</v>
      </c>
      <c r="D1383" s="2">
        <v>38799</v>
      </c>
      <c r="E1383" s="1">
        <v>82</v>
      </c>
      <c r="F1383" s="1">
        <v>4.3</v>
      </c>
      <c r="G1383" s="3">
        <v>0.44621527777777775</v>
      </c>
      <c r="H1383" s="3">
        <v>0.44775462962962959</v>
      </c>
      <c r="I1383" s="3">
        <v>1.5393518518518334E-3</v>
      </c>
      <c r="J1383" s="3">
        <v>3.5879629629631538E-4</v>
      </c>
      <c r="K1383" s="5">
        <f t="shared" si="105"/>
        <v>31</v>
      </c>
      <c r="L1383" s="3">
        <v>3.2974537037037066E-2</v>
      </c>
      <c r="N1383" s="1" t="s">
        <v>42</v>
      </c>
      <c r="O1383" s="1" t="s">
        <v>43</v>
      </c>
      <c r="P1383" s="1" t="s">
        <v>227</v>
      </c>
      <c r="Q1383" s="1" t="s">
        <v>76</v>
      </c>
      <c r="S1383" s="1" t="s">
        <v>46</v>
      </c>
      <c r="T1383" s="1" t="s">
        <v>45</v>
      </c>
      <c r="U1383" s="1" t="s">
        <v>66</v>
      </c>
      <c r="V1383" s="1" t="s">
        <v>102</v>
      </c>
      <c r="W1383" s="1" t="s">
        <v>103</v>
      </c>
      <c r="X1383" s="1" t="s">
        <v>121</v>
      </c>
      <c r="AB1383" s="1" t="s">
        <v>104</v>
      </c>
      <c r="AC1383" s="1">
        <v>0</v>
      </c>
      <c r="AE1383" s="1" t="s">
        <v>70</v>
      </c>
      <c r="AG1383" s="1" t="s">
        <v>1088</v>
      </c>
      <c r="AI1383" s="1" t="s">
        <v>71</v>
      </c>
      <c r="AK1383" s="1" t="s">
        <v>116</v>
      </c>
      <c r="AL1383" s="1" t="s">
        <v>174</v>
      </c>
      <c r="AM1383" s="1">
        <v>2</v>
      </c>
      <c r="AN1383" s="1">
        <v>0</v>
      </c>
      <c r="AO1383" s="1">
        <f t="shared" si="106"/>
        <v>2</v>
      </c>
    </row>
    <row r="1384" spans="1:41" x14ac:dyDescent="0.4">
      <c r="A1384" s="1">
        <v>1</v>
      </c>
      <c r="B1384" s="1" t="s">
        <v>1033</v>
      </c>
      <c r="C1384" s="1" t="s">
        <v>119</v>
      </c>
      <c r="D1384" s="2">
        <v>38799</v>
      </c>
      <c r="E1384" s="1">
        <v>82</v>
      </c>
      <c r="F1384" s="1">
        <v>6.5</v>
      </c>
      <c r="G1384" s="3">
        <v>0.48072916666666665</v>
      </c>
      <c r="H1384" s="3">
        <v>0.48077546296296297</v>
      </c>
      <c r="I1384" s="3">
        <v>4.6296296296322037E-5</v>
      </c>
      <c r="J1384" s="3">
        <v>4.6296296296322037E-5</v>
      </c>
      <c r="K1384" s="5">
        <f t="shared" si="105"/>
        <v>4</v>
      </c>
      <c r="L1384" s="3">
        <v>9.0277777777775237E-4</v>
      </c>
      <c r="N1384" s="1" t="s">
        <v>42</v>
      </c>
      <c r="O1384" s="1" t="s">
        <v>43</v>
      </c>
      <c r="P1384" s="1" t="s">
        <v>227</v>
      </c>
      <c r="Q1384" s="1" t="s">
        <v>76</v>
      </c>
      <c r="S1384" s="1" t="s">
        <v>46</v>
      </c>
      <c r="T1384" s="1" t="s">
        <v>45</v>
      </c>
      <c r="U1384" s="1" t="s">
        <v>156</v>
      </c>
      <c r="AB1384" s="1" t="s">
        <v>93</v>
      </c>
      <c r="AC1384" s="1">
        <v>1</v>
      </c>
      <c r="AG1384" s="1" t="s">
        <v>1041</v>
      </c>
      <c r="AI1384" s="1" t="s">
        <v>75</v>
      </c>
      <c r="AK1384" s="1" t="s">
        <v>116</v>
      </c>
      <c r="AL1384" s="1" t="s">
        <v>174</v>
      </c>
      <c r="AM1384" s="1">
        <v>6</v>
      </c>
      <c r="AN1384" s="1">
        <v>0</v>
      </c>
      <c r="AO1384" s="1">
        <f t="shared" si="106"/>
        <v>6</v>
      </c>
    </row>
    <row r="1385" spans="1:41" x14ac:dyDescent="0.4">
      <c r="A1385" s="1">
        <v>1</v>
      </c>
      <c r="B1385" s="1" t="s">
        <v>1033</v>
      </c>
      <c r="C1385" s="1" t="s">
        <v>119</v>
      </c>
      <c r="D1385" s="2">
        <v>38799</v>
      </c>
      <c r="E1385" s="1">
        <v>82</v>
      </c>
      <c r="F1385" s="1">
        <v>8</v>
      </c>
      <c r="G1385" s="3">
        <v>0.57300925925925927</v>
      </c>
      <c r="H1385" s="3">
        <v>0.57725694444444442</v>
      </c>
      <c r="I1385" s="3">
        <v>4.247685185185146E-3</v>
      </c>
      <c r="J1385" s="3">
        <v>4.247685185185146E-3</v>
      </c>
      <c r="K1385" s="5">
        <f t="shared" si="105"/>
        <v>367</v>
      </c>
      <c r="L1385" s="3">
        <v>6.0879629629629894E-3</v>
      </c>
      <c r="N1385" s="1" t="s">
        <v>42</v>
      </c>
      <c r="O1385" s="1" t="s">
        <v>43</v>
      </c>
      <c r="P1385" s="1" t="s">
        <v>227</v>
      </c>
      <c r="Q1385" s="1" t="s">
        <v>45</v>
      </c>
      <c r="S1385" s="1" t="s">
        <v>46</v>
      </c>
      <c r="T1385" s="1" t="s">
        <v>45</v>
      </c>
      <c r="U1385" s="1" t="s">
        <v>92</v>
      </c>
      <c r="V1385" s="1" t="s">
        <v>49</v>
      </c>
      <c r="W1385" s="1" t="s">
        <v>77</v>
      </c>
      <c r="X1385" s="1" t="s">
        <v>108</v>
      </c>
      <c r="Y1385" s="1" t="s">
        <v>109</v>
      </c>
      <c r="Z1385" s="1" t="s">
        <v>110</v>
      </c>
      <c r="AA1385" s="1" t="s">
        <v>111</v>
      </c>
      <c r="AB1385" s="1" t="s">
        <v>112</v>
      </c>
      <c r="AC1385" s="1">
        <v>0</v>
      </c>
      <c r="AD1385" s="1" t="s">
        <v>56</v>
      </c>
      <c r="AE1385" s="1" t="s">
        <v>57</v>
      </c>
      <c r="AG1385" s="1" t="s">
        <v>1041</v>
      </c>
      <c r="AH1385" s="1" t="s">
        <v>115</v>
      </c>
      <c r="AI1385" s="1" t="s">
        <v>75</v>
      </c>
      <c r="AK1385" s="1" t="s">
        <v>86</v>
      </c>
      <c r="AL1385" s="1" t="s">
        <v>187</v>
      </c>
      <c r="AM1385" s="1">
        <v>6</v>
      </c>
      <c r="AN1385" s="1">
        <v>0</v>
      </c>
      <c r="AO1385" s="1">
        <f t="shared" si="106"/>
        <v>6</v>
      </c>
    </row>
    <row r="1386" spans="1:41" x14ac:dyDescent="0.4">
      <c r="A1386" s="1">
        <v>1</v>
      </c>
      <c r="B1386" s="1" t="s">
        <v>1033</v>
      </c>
      <c r="C1386" s="1" t="s">
        <v>119</v>
      </c>
      <c r="D1386" s="2">
        <v>38799</v>
      </c>
      <c r="E1386" s="1">
        <v>82</v>
      </c>
      <c r="F1386" s="1">
        <v>8.5</v>
      </c>
      <c r="G1386" s="3">
        <v>0.58334490740740741</v>
      </c>
      <c r="H1386" s="3">
        <v>0.58391203703703709</v>
      </c>
      <c r="I1386" s="3">
        <v>5.6712962962968128E-4</v>
      </c>
      <c r="J1386" s="3">
        <v>5.6712962962968128E-4</v>
      </c>
      <c r="K1386" s="5">
        <f t="shared" si="105"/>
        <v>49</v>
      </c>
      <c r="L1386" s="3">
        <v>1.3414351851851802E-2</v>
      </c>
      <c r="N1386" s="1" t="s">
        <v>42</v>
      </c>
      <c r="O1386" s="1" t="s">
        <v>43</v>
      </c>
      <c r="P1386" s="1" t="s">
        <v>227</v>
      </c>
      <c r="Q1386" s="1" t="s">
        <v>45</v>
      </c>
      <c r="S1386" s="1" t="s">
        <v>46</v>
      </c>
      <c r="AB1386" s="1" t="s">
        <v>93</v>
      </c>
      <c r="AC1386" s="1">
        <v>1</v>
      </c>
      <c r="AK1386" s="1" t="s">
        <v>86</v>
      </c>
      <c r="AL1386" s="1" t="s">
        <v>86</v>
      </c>
      <c r="AN1386" s="1">
        <v>1</v>
      </c>
      <c r="AO1386" s="1">
        <f t="shared" si="106"/>
        <v>1</v>
      </c>
    </row>
    <row r="1387" spans="1:41" x14ac:dyDescent="0.4">
      <c r="A1387" s="1">
        <v>1</v>
      </c>
      <c r="B1387" s="1" t="s">
        <v>1033</v>
      </c>
      <c r="C1387" s="1" t="s">
        <v>119</v>
      </c>
      <c r="D1387" s="2">
        <v>38799</v>
      </c>
      <c r="E1387" s="1">
        <v>82</v>
      </c>
      <c r="F1387" s="1">
        <v>9.6</v>
      </c>
      <c r="G1387" s="3">
        <v>0.60737268518518517</v>
      </c>
      <c r="H1387" s="3">
        <v>0.60747685185185185</v>
      </c>
      <c r="I1387" s="3">
        <v>1.0416666666668295E-4</v>
      </c>
      <c r="J1387" s="3">
        <v>1.0416666666668295E-4</v>
      </c>
      <c r="K1387" s="5">
        <f t="shared" si="105"/>
        <v>9</v>
      </c>
      <c r="L1387" s="3">
        <v>1.7627314814814832E-2</v>
      </c>
      <c r="N1387" s="1" t="s">
        <v>42</v>
      </c>
      <c r="O1387" s="1" t="s">
        <v>43</v>
      </c>
      <c r="P1387" s="1" t="s">
        <v>227</v>
      </c>
      <c r="Q1387" s="1" t="s">
        <v>76</v>
      </c>
      <c r="S1387" s="1" t="s">
        <v>46</v>
      </c>
      <c r="AB1387" s="1" t="s">
        <v>93</v>
      </c>
      <c r="AC1387" s="1">
        <v>1</v>
      </c>
      <c r="AK1387" s="1" t="s">
        <v>61</v>
      </c>
      <c r="AL1387" s="1" t="s">
        <v>72</v>
      </c>
      <c r="AN1387" s="1">
        <v>1</v>
      </c>
      <c r="AO1387" s="1">
        <f t="shared" si="106"/>
        <v>1</v>
      </c>
    </row>
    <row r="1388" spans="1:41" x14ac:dyDescent="0.4">
      <c r="A1388" s="1">
        <v>1</v>
      </c>
      <c r="B1388" s="1" t="s">
        <v>1033</v>
      </c>
      <c r="C1388" s="1" t="s">
        <v>119</v>
      </c>
      <c r="D1388" s="2">
        <v>38799</v>
      </c>
      <c r="E1388" s="1">
        <v>82</v>
      </c>
      <c r="F1388" s="1">
        <v>13</v>
      </c>
      <c r="G1388" s="3">
        <v>0.65090277777777772</v>
      </c>
      <c r="H1388" s="3">
        <v>0.65621527777777777</v>
      </c>
      <c r="I1388" s="3">
        <v>5.3125000000000533E-3</v>
      </c>
      <c r="J1388" s="3">
        <v>1.5740740740740611E-3</v>
      </c>
      <c r="K1388" s="5">
        <f t="shared" si="105"/>
        <v>136</v>
      </c>
      <c r="L1388" s="3">
        <v>5.7870370370372015E-4</v>
      </c>
      <c r="N1388" s="1" t="s">
        <v>42</v>
      </c>
      <c r="O1388" s="1" t="s">
        <v>43</v>
      </c>
      <c r="P1388" s="1" t="s">
        <v>227</v>
      </c>
      <c r="Q1388" s="1" t="s">
        <v>76</v>
      </c>
      <c r="S1388" s="1" t="s">
        <v>46</v>
      </c>
      <c r="T1388" s="1" t="s">
        <v>47</v>
      </c>
      <c r="U1388" s="1" t="s">
        <v>66</v>
      </c>
      <c r="V1388" s="1" t="s">
        <v>49</v>
      </c>
      <c r="W1388" s="1" t="s">
        <v>50</v>
      </c>
      <c r="X1388" s="1" t="s">
        <v>951</v>
      </c>
      <c r="Y1388" s="1" t="s">
        <v>159</v>
      </c>
      <c r="Z1388" s="1" t="s">
        <v>160</v>
      </c>
      <c r="AA1388" s="1" t="s">
        <v>952</v>
      </c>
      <c r="AB1388" s="1" t="s">
        <v>953</v>
      </c>
      <c r="AC1388" s="1">
        <v>0</v>
      </c>
      <c r="AD1388" s="1" t="s">
        <v>56</v>
      </c>
      <c r="AE1388" s="1" t="s">
        <v>83</v>
      </c>
      <c r="AG1388" s="1" t="s">
        <v>1049</v>
      </c>
      <c r="AH1388" s="1" t="s">
        <v>165</v>
      </c>
      <c r="AI1388" s="1" t="s">
        <v>71</v>
      </c>
      <c r="AK1388" s="1" t="s">
        <v>61</v>
      </c>
      <c r="AL1388" s="1" t="s">
        <v>61</v>
      </c>
      <c r="AM1388" s="1">
        <v>5</v>
      </c>
      <c r="AN1388" s="1">
        <v>0</v>
      </c>
      <c r="AO1388" s="1">
        <f t="shared" si="106"/>
        <v>5</v>
      </c>
    </row>
    <row r="1389" spans="1:41" x14ac:dyDescent="0.4">
      <c r="A1389" s="1">
        <v>1</v>
      </c>
      <c r="B1389" s="1" t="s">
        <v>1033</v>
      </c>
      <c r="C1389" s="1" t="s">
        <v>119</v>
      </c>
      <c r="D1389" s="2">
        <v>38799</v>
      </c>
      <c r="E1389" s="1">
        <v>82</v>
      </c>
      <c r="F1389" s="1">
        <v>13.2</v>
      </c>
      <c r="G1389" s="3">
        <v>0.65679398148148149</v>
      </c>
      <c r="H1389" s="3">
        <v>0.6570138888888889</v>
      </c>
      <c r="I1389" s="3">
        <v>2.1990740740740478E-4</v>
      </c>
      <c r="J1389" s="3">
        <v>2.1990740740740478E-4</v>
      </c>
      <c r="K1389" s="5">
        <f t="shared" si="105"/>
        <v>19</v>
      </c>
      <c r="L1389" s="3">
        <v>5.6249999999999911E-3</v>
      </c>
      <c r="N1389" s="1" t="s">
        <v>42</v>
      </c>
      <c r="O1389" s="1" t="s">
        <v>43</v>
      </c>
      <c r="P1389" s="1" t="s">
        <v>227</v>
      </c>
      <c r="Q1389" s="1" t="s">
        <v>76</v>
      </c>
      <c r="S1389" s="1" t="s">
        <v>46</v>
      </c>
      <c r="T1389" s="1" t="s">
        <v>76</v>
      </c>
      <c r="U1389" s="1" t="s">
        <v>66</v>
      </c>
      <c r="V1389" s="1" t="s">
        <v>102</v>
      </c>
      <c r="W1389" s="1" t="s">
        <v>103</v>
      </c>
      <c r="X1389" s="1" t="s">
        <v>121</v>
      </c>
      <c r="AB1389" s="1" t="s">
        <v>104</v>
      </c>
      <c r="AC1389" s="1">
        <v>0</v>
      </c>
      <c r="AE1389" s="1" t="s">
        <v>70</v>
      </c>
      <c r="AI1389" s="1" t="s">
        <v>71</v>
      </c>
      <c r="AK1389" s="1" t="s">
        <v>86</v>
      </c>
      <c r="AL1389" s="1" t="s">
        <v>133</v>
      </c>
      <c r="AN1389" s="1">
        <v>1</v>
      </c>
      <c r="AO1389" s="1">
        <f t="shared" si="106"/>
        <v>1</v>
      </c>
    </row>
    <row r="1390" spans="1:41" x14ac:dyDescent="0.4">
      <c r="A1390" s="1">
        <v>1</v>
      </c>
      <c r="B1390" s="1" t="s">
        <v>1033</v>
      </c>
      <c r="C1390" s="1" t="s">
        <v>119</v>
      </c>
      <c r="D1390" s="2">
        <v>38799</v>
      </c>
      <c r="E1390" s="1">
        <v>82</v>
      </c>
      <c r="F1390" s="1">
        <v>13.5</v>
      </c>
      <c r="G1390" s="3">
        <v>0.66600694444444442</v>
      </c>
      <c r="H1390" s="3">
        <v>0.66608796296296291</v>
      </c>
      <c r="I1390" s="3">
        <v>8.1018518518494176E-5</v>
      </c>
      <c r="J1390" s="3">
        <v>8.1018518518494176E-5</v>
      </c>
      <c r="K1390" s="5">
        <f t="shared" si="105"/>
        <v>7</v>
      </c>
      <c r="L1390" s="3">
        <v>1.0787037037037095E-2</v>
      </c>
      <c r="N1390" s="1" t="s">
        <v>42</v>
      </c>
      <c r="O1390" s="1" t="s">
        <v>43</v>
      </c>
      <c r="P1390" s="1" t="s">
        <v>227</v>
      </c>
      <c r="Q1390" s="1" t="s">
        <v>191</v>
      </c>
      <c r="S1390" s="1" t="s">
        <v>46</v>
      </c>
      <c r="T1390" s="1" t="s">
        <v>76</v>
      </c>
      <c r="U1390" s="1" t="s">
        <v>66</v>
      </c>
      <c r="AB1390" s="1" t="s">
        <v>93</v>
      </c>
      <c r="AC1390" s="1">
        <v>1</v>
      </c>
      <c r="AI1390" s="1" t="s">
        <v>71</v>
      </c>
      <c r="AK1390" s="1" t="s">
        <v>86</v>
      </c>
      <c r="AL1390" s="1" t="s">
        <v>87</v>
      </c>
      <c r="AN1390" s="1">
        <v>1</v>
      </c>
      <c r="AO1390" s="1">
        <f t="shared" si="106"/>
        <v>1</v>
      </c>
    </row>
    <row r="1391" spans="1:41" x14ac:dyDescent="0.4">
      <c r="A1391" s="1">
        <v>1</v>
      </c>
      <c r="B1391" s="1" t="s">
        <v>1033</v>
      </c>
      <c r="C1391" s="1" t="s">
        <v>119</v>
      </c>
      <c r="D1391" s="2">
        <v>38799</v>
      </c>
      <c r="E1391" s="1">
        <v>82</v>
      </c>
      <c r="F1391" s="1">
        <v>13.8</v>
      </c>
      <c r="G1391" s="3">
        <v>0.676875</v>
      </c>
      <c r="H1391" s="3">
        <v>0.67690972222222223</v>
      </c>
      <c r="I1391" s="3">
        <v>3.472222222222765E-5</v>
      </c>
      <c r="J1391" s="3">
        <v>3.472222222222765E-5</v>
      </c>
      <c r="K1391" s="5">
        <f t="shared" si="105"/>
        <v>3</v>
      </c>
      <c r="L1391" s="3">
        <v>1.9907407407407929E-3</v>
      </c>
      <c r="N1391" s="1" t="s">
        <v>42</v>
      </c>
      <c r="O1391" s="1" t="s">
        <v>43</v>
      </c>
      <c r="P1391" s="1" t="s">
        <v>227</v>
      </c>
      <c r="Q1391" s="1" t="s">
        <v>76</v>
      </c>
      <c r="S1391" s="1" t="s">
        <v>46</v>
      </c>
      <c r="T1391" s="1" t="s">
        <v>45</v>
      </c>
      <c r="U1391" s="1" t="s">
        <v>66</v>
      </c>
      <c r="V1391" s="1" t="s">
        <v>102</v>
      </c>
      <c r="W1391" s="1" t="s">
        <v>103</v>
      </c>
      <c r="X1391" s="1" t="s">
        <v>121</v>
      </c>
      <c r="AB1391" s="1" t="s">
        <v>104</v>
      </c>
      <c r="AC1391" s="1">
        <v>0</v>
      </c>
      <c r="AE1391" s="1" t="s">
        <v>70</v>
      </c>
      <c r="AG1391" s="1" t="s">
        <v>1094</v>
      </c>
      <c r="AI1391" s="1" t="s">
        <v>71</v>
      </c>
      <c r="AK1391" s="1" t="s">
        <v>61</v>
      </c>
      <c r="AL1391" s="1" t="s">
        <v>61</v>
      </c>
      <c r="AM1391" s="1">
        <v>4</v>
      </c>
      <c r="AN1391" s="1">
        <v>0</v>
      </c>
      <c r="AO1391" s="1">
        <f t="shared" si="106"/>
        <v>4</v>
      </c>
    </row>
    <row r="1392" spans="1:41" x14ac:dyDescent="0.4">
      <c r="A1392" s="1">
        <v>1</v>
      </c>
      <c r="B1392" s="1" t="s">
        <v>1033</v>
      </c>
      <c r="C1392" s="1" t="s">
        <v>119</v>
      </c>
      <c r="D1392" s="2">
        <v>38799</v>
      </c>
      <c r="E1392" s="1">
        <v>82</v>
      </c>
      <c r="F1392" s="1">
        <v>15</v>
      </c>
      <c r="G1392" s="3">
        <v>0.69650462962962967</v>
      </c>
      <c r="H1392" s="3">
        <v>0.69663194444444443</v>
      </c>
      <c r="I1392" s="3">
        <v>1.273148148147607E-4</v>
      </c>
      <c r="J1392" s="3">
        <v>1.273148148147607E-4</v>
      </c>
      <c r="K1392" s="5">
        <f t="shared" si="105"/>
        <v>11</v>
      </c>
      <c r="L1392" s="3" t="s">
        <v>120</v>
      </c>
      <c r="N1392" s="1" t="s">
        <v>42</v>
      </c>
      <c r="O1392" s="1" t="s">
        <v>43</v>
      </c>
      <c r="P1392" s="1" t="s">
        <v>227</v>
      </c>
      <c r="Q1392" s="1" t="s">
        <v>45</v>
      </c>
      <c r="S1392" s="1" t="s">
        <v>46</v>
      </c>
      <c r="T1392" s="1" t="s">
        <v>45</v>
      </c>
      <c r="U1392" s="1" t="s">
        <v>66</v>
      </c>
      <c r="AB1392" s="1" t="s">
        <v>93</v>
      </c>
      <c r="AC1392" s="1">
        <v>1</v>
      </c>
      <c r="AI1392" s="1" t="s">
        <v>71</v>
      </c>
      <c r="AK1392" s="1" t="s">
        <v>116</v>
      </c>
      <c r="AL1392" s="1" t="s">
        <v>174</v>
      </c>
      <c r="AN1392" s="1">
        <v>1</v>
      </c>
      <c r="AO1392" s="1">
        <f t="shared" si="106"/>
        <v>1</v>
      </c>
    </row>
    <row r="1393" spans="1:41" x14ac:dyDescent="0.4">
      <c r="A1393" s="1">
        <v>1</v>
      </c>
      <c r="B1393" s="1" t="s">
        <v>1033</v>
      </c>
      <c r="C1393" s="1" t="s">
        <v>119</v>
      </c>
      <c r="D1393" s="2">
        <v>38826</v>
      </c>
      <c r="E1393" s="1">
        <v>109</v>
      </c>
      <c r="F1393" s="1">
        <v>0.6</v>
      </c>
      <c r="G1393" s="3">
        <v>0.38440972222222225</v>
      </c>
      <c r="H1393" s="3">
        <v>0.38510416666666664</v>
      </c>
      <c r="I1393" s="3">
        <v>6.9444444444438647E-4</v>
      </c>
      <c r="J1393" s="3">
        <v>6.9444444444438647E-4</v>
      </c>
      <c r="K1393" s="5">
        <f t="shared" si="105"/>
        <v>60</v>
      </c>
      <c r="L1393" s="3">
        <v>1.3530092592592635E-2</v>
      </c>
      <c r="N1393" s="1" t="s">
        <v>251</v>
      </c>
      <c r="O1393" s="1" t="s">
        <v>43</v>
      </c>
      <c r="P1393" s="1" t="s">
        <v>227</v>
      </c>
      <c r="Q1393" s="1" t="s">
        <v>91</v>
      </c>
      <c r="S1393" s="1" t="s">
        <v>46</v>
      </c>
      <c r="T1393" s="1" t="s">
        <v>45</v>
      </c>
      <c r="U1393" s="1" t="s">
        <v>156</v>
      </c>
      <c r="AB1393" s="1" t="s">
        <v>93</v>
      </c>
      <c r="AC1393" s="1">
        <v>1</v>
      </c>
      <c r="AI1393" s="1" t="s">
        <v>255</v>
      </c>
      <c r="AK1393" s="1" t="s">
        <v>86</v>
      </c>
      <c r="AL1393" s="1" t="s">
        <v>87</v>
      </c>
      <c r="AN1393" s="1">
        <v>1</v>
      </c>
      <c r="AO1393" s="1">
        <f t="shared" si="106"/>
        <v>1</v>
      </c>
    </row>
    <row r="1394" spans="1:41" x14ac:dyDescent="0.4">
      <c r="A1394" s="1">
        <v>1</v>
      </c>
      <c r="B1394" s="1" t="s">
        <v>1033</v>
      </c>
      <c r="C1394" s="1" t="s">
        <v>119</v>
      </c>
      <c r="D1394" s="2">
        <v>38826</v>
      </c>
      <c r="E1394" s="1">
        <v>109</v>
      </c>
      <c r="F1394" s="1">
        <v>0.7</v>
      </c>
      <c r="G1394" s="3">
        <v>0.39863425925925927</v>
      </c>
      <c r="H1394" s="3">
        <v>0.39868055555555554</v>
      </c>
      <c r="I1394" s="3">
        <v>4.6296296296266526E-5</v>
      </c>
      <c r="J1394" s="3">
        <v>4.6296296296266526E-5</v>
      </c>
      <c r="K1394" s="5">
        <f t="shared" si="105"/>
        <v>4</v>
      </c>
      <c r="L1394" s="3">
        <v>1.8750000000000155E-3</v>
      </c>
      <c r="N1394" s="1" t="s">
        <v>251</v>
      </c>
      <c r="O1394" s="1" t="s">
        <v>43</v>
      </c>
      <c r="P1394" s="1" t="s">
        <v>227</v>
      </c>
      <c r="Q1394" s="1" t="s">
        <v>76</v>
      </c>
      <c r="S1394" s="1" t="s">
        <v>46</v>
      </c>
      <c r="T1394" s="1" t="s">
        <v>47</v>
      </c>
      <c r="U1394" s="1" t="s">
        <v>92</v>
      </c>
      <c r="AB1394" s="1" t="s">
        <v>93</v>
      </c>
      <c r="AC1394" s="1">
        <v>1</v>
      </c>
      <c r="AI1394" s="1" t="s">
        <v>253</v>
      </c>
      <c r="AK1394" s="1" t="s">
        <v>86</v>
      </c>
      <c r="AL1394" s="1" t="s">
        <v>87</v>
      </c>
      <c r="AN1394" s="1">
        <v>1</v>
      </c>
      <c r="AO1394" s="1">
        <f t="shared" si="106"/>
        <v>1</v>
      </c>
    </row>
    <row r="1395" spans="1:41" x14ac:dyDescent="0.4">
      <c r="A1395" s="1">
        <v>1</v>
      </c>
      <c r="B1395" s="1" t="s">
        <v>1033</v>
      </c>
      <c r="C1395" s="1" t="s">
        <v>119</v>
      </c>
      <c r="D1395" s="2">
        <v>38826</v>
      </c>
      <c r="E1395" s="1">
        <v>109</v>
      </c>
      <c r="F1395" s="1">
        <v>0.8</v>
      </c>
      <c r="G1395" s="3">
        <v>0.40055555555555555</v>
      </c>
      <c r="H1395" s="3">
        <v>0.40062500000000001</v>
      </c>
      <c r="I1395" s="3">
        <v>6.94444444444553E-5</v>
      </c>
      <c r="J1395" s="3">
        <v>6.94444444444553E-5</v>
      </c>
      <c r="K1395" s="5">
        <f t="shared" si="105"/>
        <v>6</v>
      </c>
      <c r="L1395" s="3">
        <v>2.9398148148148118E-3</v>
      </c>
      <c r="N1395" s="1" t="s">
        <v>251</v>
      </c>
      <c r="O1395" s="1" t="s">
        <v>43</v>
      </c>
      <c r="P1395" s="1" t="s">
        <v>227</v>
      </c>
      <c r="Q1395" s="1" t="s">
        <v>45</v>
      </c>
      <c r="S1395" s="1" t="s">
        <v>46</v>
      </c>
      <c r="T1395" s="1" t="s">
        <v>45</v>
      </c>
      <c r="U1395" s="1" t="s">
        <v>66</v>
      </c>
      <c r="AB1395" s="1" t="s">
        <v>93</v>
      </c>
      <c r="AC1395" s="1">
        <v>1</v>
      </c>
      <c r="AI1395" s="1" t="s">
        <v>257</v>
      </c>
      <c r="AK1395" s="1" t="s">
        <v>61</v>
      </c>
      <c r="AL1395" s="1" t="s">
        <v>61</v>
      </c>
      <c r="AN1395" s="1">
        <v>1</v>
      </c>
      <c r="AO1395" s="1">
        <f t="shared" si="106"/>
        <v>1</v>
      </c>
    </row>
    <row r="1396" spans="1:41" x14ac:dyDescent="0.4">
      <c r="A1396" s="1">
        <v>1</v>
      </c>
      <c r="B1396" s="1" t="s">
        <v>1033</v>
      </c>
      <c r="C1396" s="1" t="s">
        <v>119</v>
      </c>
      <c r="D1396" s="2">
        <v>38826</v>
      </c>
      <c r="E1396" s="1">
        <v>109</v>
      </c>
      <c r="F1396" s="1">
        <v>0.9</v>
      </c>
      <c r="G1396" s="3">
        <v>0.40356481481481482</v>
      </c>
      <c r="H1396" s="3">
        <v>0.40369212962962964</v>
      </c>
      <c r="I1396" s="3">
        <v>1.2731481481481621E-4</v>
      </c>
      <c r="J1396" s="3">
        <v>1.2731481481481621E-4</v>
      </c>
      <c r="K1396" s="5">
        <f t="shared" si="105"/>
        <v>11</v>
      </c>
      <c r="L1396" s="3">
        <v>1.3425925925925952E-2</v>
      </c>
      <c r="N1396" s="1" t="s">
        <v>251</v>
      </c>
      <c r="O1396" s="1" t="s">
        <v>43</v>
      </c>
      <c r="P1396" s="1" t="s">
        <v>227</v>
      </c>
      <c r="Q1396" s="1" t="s">
        <v>45</v>
      </c>
      <c r="S1396" s="1" t="s">
        <v>46</v>
      </c>
      <c r="T1396" s="1" t="s">
        <v>47</v>
      </c>
      <c r="U1396" s="1" t="s">
        <v>156</v>
      </c>
      <c r="AB1396" s="1" t="s">
        <v>93</v>
      </c>
      <c r="AC1396" s="1">
        <v>1</v>
      </c>
      <c r="AI1396" s="1" t="s">
        <v>255</v>
      </c>
      <c r="AK1396" s="1" t="s">
        <v>116</v>
      </c>
      <c r="AL1396" s="1" t="s">
        <v>155</v>
      </c>
      <c r="AN1396" s="1">
        <v>1</v>
      </c>
      <c r="AO1396" s="1">
        <f t="shared" si="106"/>
        <v>1</v>
      </c>
    </row>
    <row r="1397" spans="1:41" x14ac:dyDescent="0.4">
      <c r="A1397" s="1">
        <v>1</v>
      </c>
      <c r="B1397" s="1" t="s">
        <v>1033</v>
      </c>
      <c r="C1397" s="1" t="s">
        <v>119</v>
      </c>
      <c r="D1397" s="2">
        <v>38826</v>
      </c>
      <c r="E1397" s="1">
        <v>109</v>
      </c>
      <c r="F1397" s="1">
        <v>11</v>
      </c>
      <c r="G1397" s="3">
        <v>0.67637731481481478</v>
      </c>
      <c r="H1397" s="3">
        <v>0.67738425925925927</v>
      </c>
      <c r="I1397" s="3">
        <v>1.0069444444444908E-3</v>
      </c>
      <c r="J1397" s="3">
        <v>1.0069444444444908E-3</v>
      </c>
      <c r="K1397" s="5">
        <f t="shared" si="105"/>
        <v>87</v>
      </c>
      <c r="L1397" s="3" t="s">
        <v>120</v>
      </c>
      <c r="N1397" s="1" t="s">
        <v>75</v>
      </c>
      <c r="O1397" s="1" t="s">
        <v>43</v>
      </c>
      <c r="P1397" s="1" t="s">
        <v>227</v>
      </c>
      <c r="Q1397" s="1" t="s">
        <v>191</v>
      </c>
      <c r="S1397" s="1" t="s">
        <v>46</v>
      </c>
      <c r="T1397" s="1" t="s">
        <v>45</v>
      </c>
      <c r="U1397" s="1" t="s">
        <v>66</v>
      </c>
      <c r="V1397" s="1" t="s">
        <v>102</v>
      </c>
      <c r="W1397" s="1" t="s">
        <v>231</v>
      </c>
      <c r="X1397" s="1" t="s">
        <v>121</v>
      </c>
      <c r="AB1397" s="1" t="s">
        <v>104</v>
      </c>
      <c r="AC1397" s="1">
        <v>0</v>
      </c>
      <c r="AE1397" s="1" t="s">
        <v>70</v>
      </c>
      <c r="AG1397" s="1" t="s">
        <v>1131</v>
      </c>
      <c r="AI1397" s="1" t="s">
        <v>75</v>
      </c>
      <c r="AK1397" s="1" t="s">
        <v>61</v>
      </c>
      <c r="AL1397" s="1" t="s">
        <v>72</v>
      </c>
      <c r="AM1397" s="1">
        <v>6</v>
      </c>
      <c r="AN1397" s="1">
        <v>0</v>
      </c>
      <c r="AO1397" s="1">
        <f t="shared" si="106"/>
        <v>6</v>
      </c>
    </row>
    <row r="1398" spans="1:41" x14ac:dyDescent="0.4">
      <c r="A1398" s="1">
        <v>1</v>
      </c>
      <c r="B1398" s="1" t="s">
        <v>1033</v>
      </c>
      <c r="C1398" s="1" t="s">
        <v>119</v>
      </c>
      <c r="D1398" s="2">
        <v>38828</v>
      </c>
      <c r="E1398" s="1">
        <v>111</v>
      </c>
      <c r="F1398" s="1">
        <v>0.3</v>
      </c>
      <c r="G1398" s="3">
        <v>0.30706018518518519</v>
      </c>
      <c r="H1398" s="3">
        <v>0.30790509259259258</v>
      </c>
      <c r="I1398" s="3">
        <v>8.4490740740739145E-4</v>
      </c>
      <c r="J1398" s="3">
        <v>2.3148148148188774E-5</v>
      </c>
      <c r="K1398" s="5">
        <f t="shared" si="105"/>
        <v>2</v>
      </c>
      <c r="L1398" s="3">
        <v>3.2002314814814803E-2</v>
      </c>
      <c r="N1398" s="1" t="s">
        <v>75</v>
      </c>
      <c r="O1398" s="1" t="s">
        <v>43</v>
      </c>
      <c r="P1398" s="1" t="s">
        <v>227</v>
      </c>
      <c r="Q1398" s="1" t="s">
        <v>76</v>
      </c>
      <c r="S1398" s="1" t="s">
        <v>46</v>
      </c>
      <c r="T1398" s="1" t="s">
        <v>47</v>
      </c>
      <c r="U1398" s="1" t="s">
        <v>92</v>
      </c>
      <c r="AB1398" s="1" t="s">
        <v>93</v>
      </c>
      <c r="AC1398" s="1">
        <v>1</v>
      </c>
      <c r="AG1398" s="1" t="s">
        <v>1109</v>
      </c>
      <c r="AI1398" s="1" t="s">
        <v>75</v>
      </c>
      <c r="AK1398" s="1" t="s">
        <v>86</v>
      </c>
      <c r="AL1398" s="1" t="s">
        <v>87</v>
      </c>
      <c r="AM1398" s="1">
        <v>2</v>
      </c>
      <c r="AN1398" s="1">
        <v>0</v>
      </c>
      <c r="AO1398" s="1">
        <f t="shared" si="106"/>
        <v>2</v>
      </c>
    </row>
    <row r="1399" spans="1:41" x14ac:dyDescent="0.4">
      <c r="A1399" s="1">
        <v>1</v>
      </c>
      <c r="B1399" s="1" t="s">
        <v>1033</v>
      </c>
      <c r="C1399" s="1" t="s">
        <v>119</v>
      </c>
      <c r="D1399" s="2">
        <v>38828</v>
      </c>
      <c r="E1399" s="1">
        <v>111</v>
      </c>
      <c r="F1399" s="1">
        <v>0.7</v>
      </c>
      <c r="G1399" s="3">
        <v>0.33990740740740738</v>
      </c>
      <c r="H1399" s="3">
        <v>0.33991898148148153</v>
      </c>
      <c r="I1399" s="3">
        <v>1.1574074074149898E-5</v>
      </c>
      <c r="J1399" s="3">
        <v>1.1574074074149898E-5</v>
      </c>
      <c r="K1399" s="5">
        <f t="shared" si="105"/>
        <v>1</v>
      </c>
      <c r="L1399" s="3">
        <v>5.0115740740739878E-3</v>
      </c>
      <c r="N1399" s="1" t="s">
        <v>75</v>
      </c>
      <c r="O1399" s="1" t="s">
        <v>43</v>
      </c>
      <c r="P1399" s="1" t="s">
        <v>227</v>
      </c>
      <c r="Q1399" s="1" t="s">
        <v>76</v>
      </c>
      <c r="S1399" s="1" t="s">
        <v>46</v>
      </c>
      <c r="T1399" s="1" t="s">
        <v>47</v>
      </c>
      <c r="U1399" s="1" t="s">
        <v>92</v>
      </c>
      <c r="AB1399" s="1" t="s">
        <v>93</v>
      </c>
      <c r="AC1399" s="1">
        <v>1</v>
      </c>
      <c r="AG1399" s="1" t="s">
        <v>1106</v>
      </c>
      <c r="AI1399" s="1" t="s">
        <v>75</v>
      </c>
      <c r="AK1399" s="1" t="s">
        <v>86</v>
      </c>
      <c r="AL1399" s="1" t="s">
        <v>87</v>
      </c>
      <c r="AM1399" s="1">
        <v>3</v>
      </c>
      <c r="AN1399" s="1">
        <v>0</v>
      </c>
      <c r="AO1399" s="1">
        <f t="shared" si="106"/>
        <v>3</v>
      </c>
    </row>
    <row r="1400" spans="1:41" x14ac:dyDescent="0.4">
      <c r="A1400" s="1">
        <v>1</v>
      </c>
      <c r="B1400" s="1" t="s">
        <v>1033</v>
      </c>
      <c r="C1400" s="1" t="s">
        <v>119</v>
      </c>
      <c r="D1400" s="2">
        <v>38828</v>
      </c>
      <c r="E1400" s="1">
        <v>111</v>
      </c>
      <c r="F1400" s="1">
        <v>2</v>
      </c>
      <c r="G1400" s="3">
        <v>0.35599537037037038</v>
      </c>
      <c r="H1400" s="3">
        <v>0.35890046296296302</v>
      </c>
      <c r="I1400" s="3">
        <v>2.9050925925926396E-3</v>
      </c>
      <c r="J1400" s="3">
        <v>2.9050925925926396E-3</v>
      </c>
      <c r="K1400" s="5">
        <f t="shared" si="105"/>
        <v>251</v>
      </c>
      <c r="L1400" s="3">
        <v>1.3541666666666008E-3</v>
      </c>
      <c r="N1400" s="1" t="s">
        <v>75</v>
      </c>
      <c r="O1400" s="1" t="s">
        <v>43</v>
      </c>
      <c r="P1400" s="1" t="s">
        <v>227</v>
      </c>
      <c r="Q1400" s="1" t="s">
        <v>45</v>
      </c>
      <c r="S1400" s="1" t="s">
        <v>46</v>
      </c>
      <c r="T1400" s="1" t="s">
        <v>47</v>
      </c>
      <c r="U1400" s="1" t="s">
        <v>66</v>
      </c>
      <c r="V1400" s="1" t="s">
        <v>49</v>
      </c>
      <c r="W1400" s="1" t="s">
        <v>50</v>
      </c>
      <c r="X1400" s="1" t="s">
        <v>951</v>
      </c>
      <c r="Y1400" s="1" t="s">
        <v>159</v>
      </c>
      <c r="Z1400" s="1" t="s">
        <v>160</v>
      </c>
      <c r="AA1400" s="1" t="s">
        <v>952</v>
      </c>
      <c r="AB1400" s="1" t="s">
        <v>953</v>
      </c>
      <c r="AC1400" s="1">
        <v>0</v>
      </c>
      <c r="AD1400" s="1" t="s">
        <v>56</v>
      </c>
      <c r="AE1400" s="1" t="s">
        <v>83</v>
      </c>
      <c r="AG1400" s="1" t="s">
        <v>1231</v>
      </c>
      <c r="AH1400" s="1" t="s">
        <v>165</v>
      </c>
      <c r="AI1400" s="1" t="s">
        <v>75</v>
      </c>
      <c r="AK1400" s="1" t="s">
        <v>86</v>
      </c>
      <c r="AL1400" s="1" t="s">
        <v>87</v>
      </c>
      <c r="AM1400" s="1">
        <v>1</v>
      </c>
      <c r="AN1400" s="1">
        <v>0</v>
      </c>
      <c r="AO1400" s="1">
        <f t="shared" si="106"/>
        <v>1</v>
      </c>
    </row>
    <row r="1401" spans="1:41" x14ac:dyDescent="0.4">
      <c r="A1401" s="1">
        <v>1</v>
      </c>
      <c r="B1401" s="1" t="s">
        <v>1033</v>
      </c>
      <c r="C1401" s="1" t="s">
        <v>119</v>
      </c>
      <c r="D1401" s="2">
        <v>38828</v>
      </c>
      <c r="E1401" s="1">
        <v>111</v>
      </c>
      <c r="F1401" s="1">
        <v>10.8</v>
      </c>
      <c r="G1401" s="3">
        <v>0.6121875</v>
      </c>
      <c r="H1401" s="3">
        <v>0.61296875000000006</v>
      </c>
      <c r="I1401" s="3">
        <v>7.8125000000006661E-4</v>
      </c>
      <c r="J1401" s="3">
        <v>7.8125000000006661E-4</v>
      </c>
      <c r="K1401" s="5">
        <f t="shared" si="105"/>
        <v>68</v>
      </c>
      <c r="L1401" s="3">
        <v>1.2910879629629557E-2</v>
      </c>
      <c r="N1401" s="1" t="s">
        <v>75</v>
      </c>
      <c r="O1401" s="1" t="s">
        <v>43</v>
      </c>
      <c r="P1401" s="1" t="s">
        <v>227</v>
      </c>
      <c r="Q1401" s="1" t="s">
        <v>76</v>
      </c>
      <c r="S1401" s="1" t="s">
        <v>46</v>
      </c>
      <c r="T1401" s="1" t="s">
        <v>47</v>
      </c>
      <c r="U1401" s="1" t="s">
        <v>48</v>
      </c>
      <c r="AB1401" s="1" t="s">
        <v>93</v>
      </c>
      <c r="AC1401" s="1">
        <v>1</v>
      </c>
      <c r="AG1401" s="1" t="s">
        <v>1136</v>
      </c>
      <c r="AI1401" s="1" t="s">
        <v>75</v>
      </c>
      <c r="AK1401" s="1" t="s">
        <v>86</v>
      </c>
      <c r="AL1401" s="1" t="s">
        <v>133</v>
      </c>
      <c r="AM1401" s="1">
        <v>10</v>
      </c>
      <c r="AN1401" s="1">
        <v>0</v>
      </c>
      <c r="AO1401" s="1">
        <f t="shared" si="106"/>
        <v>10</v>
      </c>
    </row>
    <row r="1402" spans="1:41" x14ac:dyDescent="0.4">
      <c r="A1402" s="1">
        <v>1</v>
      </c>
      <c r="B1402" s="1" t="s">
        <v>1033</v>
      </c>
      <c r="C1402" s="1" t="s">
        <v>119</v>
      </c>
      <c r="D1402" s="2">
        <v>38842</v>
      </c>
      <c r="E1402" s="1">
        <v>125</v>
      </c>
      <c r="F1402" s="1">
        <v>7.5</v>
      </c>
      <c r="G1402" s="3">
        <v>0.61070601851851858</v>
      </c>
      <c r="H1402" s="3">
        <v>0.61071759259259262</v>
      </c>
      <c r="I1402" s="3">
        <v>1.1574074074038876E-5</v>
      </c>
      <c r="J1402" s="3">
        <v>1.1574074074038876E-5</v>
      </c>
      <c r="K1402" s="5">
        <f t="shared" si="105"/>
        <v>1</v>
      </c>
      <c r="L1402" s="3">
        <v>3.2812499999999911E-2</v>
      </c>
      <c r="N1402" s="1" t="s">
        <v>42</v>
      </c>
      <c r="O1402" s="1" t="s">
        <v>286</v>
      </c>
      <c r="P1402" s="1" t="s">
        <v>227</v>
      </c>
      <c r="Q1402" s="1" t="s">
        <v>132</v>
      </c>
      <c r="S1402" s="1" t="s">
        <v>46</v>
      </c>
      <c r="T1402" s="1" t="s">
        <v>76</v>
      </c>
      <c r="U1402" s="1" t="s">
        <v>92</v>
      </c>
      <c r="AB1402" s="1" t="s">
        <v>93</v>
      </c>
      <c r="AC1402" s="1">
        <v>1</v>
      </c>
      <c r="AI1402" s="1" t="s">
        <v>75</v>
      </c>
      <c r="AK1402" s="1" t="s">
        <v>61</v>
      </c>
      <c r="AL1402" s="1" t="s">
        <v>72</v>
      </c>
      <c r="AN1402" s="1">
        <v>1</v>
      </c>
      <c r="AO1402" s="1">
        <f t="shared" si="106"/>
        <v>1</v>
      </c>
    </row>
    <row r="1403" spans="1:41" x14ac:dyDescent="0.4">
      <c r="A1403" s="1">
        <v>1</v>
      </c>
      <c r="B1403" s="1" t="s">
        <v>1033</v>
      </c>
      <c r="C1403" s="1" t="s">
        <v>119</v>
      </c>
      <c r="D1403" s="2">
        <v>38842</v>
      </c>
      <c r="E1403" s="1">
        <v>125</v>
      </c>
      <c r="F1403" s="1">
        <v>12.5</v>
      </c>
      <c r="G1403" s="3">
        <v>0.64353009259259253</v>
      </c>
      <c r="H1403" s="3">
        <v>0.64353009259259253</v>
      </c>
      <c r="I1403" s="3">
        <v>0</v>
      </c>
      <c r="J1403" s="3">
        <v>0</v>
      </c>
      <c r="K1403" s="5">
        <f t="shared" si="105"/>
        <v>0</v>
      </c>
      <c r="L1403" s="3">
        <v>3.7962962962962976E-3</v>
      </c>
      <c r="N1403" s="1" t="s">
        <v>42</v>
      </c>
      <c r="O1403" s="1" t="s">
        <v>286</v>
      </c>
      <c r="P1403" s="1" t="s">
        <v>227</v>
      </c>
      <c r="Q1403" s="1" t="s">
        <v>132</v>
      </c>
      <c r="S1403" s="1" t="s">
        <v>46</v>
      </c>
      <c r="T1403" s="1" t="s">
        <v>76</v>
      </c>
      <c r="U1403" s="1" t="s">
        <v>92</v>
      </c>
      <c r="AB1403" s="1" t="s">
        <v>93</v>
      </c>
      <c r="AC1403" s="1">
        <v>1</v>
      </c>
      <c r="AG1403" s="1" t="s">
        <v>1175</v>
      </c>
      <c r="AI1403" s="1" t="s">
        <v>75</v>
      </c>
      <c r="AK1403" s="1" t="s">
        <v>116</v>
      </c>
      <c r="AL1403" s="1" t="s">
        <v>117</v>
      </c>
      <c r="AM1403" s="1">
        <v>5</v>
      </c>
      <c r="AN1403" s="1">
        <v>0</v>
      </c>
      <c r="AO1403" s="1">
        <f t="shared" si="106"/>
        <v>5</v>
      </c>
    </row>
    <row r="1404" spans="1:41" x14ac:dyDescent="0.4">
      <c r="A1404" s="1">
        <v>1</v>
      </c>
      <c r="B1404" s="1" t="s">
        <v>1033</v>
      </c>
      <c r="C1404" s="1" t="s">
        <v>119</v>
      </c>
      <c r="D1404" s="2">
        <v>38842</v>
      </c>
      <c r="E1404" s="1">
        <v>125</v>
      </c>
      <c r="F1404" s="1">
        <v>15</v>
      </c>
      <c r="G1404" s="3">
        <v>0.64732638888888883</v>
      </c>
      <c r="H1404" s="3">
        <v>0.64746527777777774</v>
      </c>
      <c r="I1404" s="3">
        <v>1.388888888889106E-4</v>
      </c>
      <c r="J1404" s="3">
        <v>1.388888888889106E-4</v>
      </c>
      <c r="K1404" s="5">
        <f t="shared" si="105"/>
        <v>12</v>
      </c>
      <c r="L1404" s="3" t="s">
        <v>120</v>
      </c>
      <c r="N1404" s="1" t="s">
        <v>42</v>
      </c>
      <c r="O1404" s="1" t="s">
        <v>286</v>
      </c>
      <c r="P1404" s="1" t="s">
        <v>227</v>
      </c>
      <c r="Q1404" s="1" t="s">
        <v>132</v>
      </c>
      <c r="S1404" s="1" t="s">
        <v>46</v>
      </c>
      <c r="T1404" s="1" t="s">
        <v>76</v>
      </c>
      <c r="U1404" s="1" t="s">
        <v>66</v>
      </c>
      <c r="AB1404" s="1" t="s">
        <v>93</v>
      </c>
      <c r="AC1404" s="1">
        <v>1</v>
      </c>
      <c r="AG1404" s="1" t="s">
        <v>1175</v>
      </c>
      <c r="AI1404" s="1" t="s">
        <v>71</v>
      </c>
      <c r="AK1404" s="1" t="s">
        <v>61</v>
      </c>
      <c r="AL1404" s="1" t="s">
        <v>61</v>
      </c>
      <c r="AM1404" s="1">
        <v>5</v>
      </c>
      <c r="AN1404" s="1">
        <v>0</v>
      </c>
      <c r="AO1404" s="1">
        <f t="shared" si="106"/>
        <v>5</v>
      </c>
    </row>
    <row r="1405" spans="1:41" x14ac:dyDescent="0.4">
      <c r="A1405" s="1">
        <v>1</v>
      </c>
      <c r="B1405" s="1" t="s">
        <v>1033</v>
      </c>
      <c r="C1405" s="1" t="s">
        <v>119</v>
      </c>
      <c r="D1405" s="2">
        <v>38846</v>
      </c>
      <c r="E1405" s="1">
        <v>129</v>
      </c>
      <c r="F1405" s="1">
        <v>3.5</v>
      </c>
      <c r="G1405" s="3">
        <v>0.42834490740740744</v>
      </c>
      <c r="H1405" s="3">
        <v>0.42836805555555557</v>
      </c>
      <c r="I1405" s="3">
        <v>2.3148148148133263E-5</v>
      </c>
      <c r="J1405" s="3">
        <v>2.3148148148133263E-5</v>
      </c>
      <c r="K1405" s="5">
        <f t="shared" si="105"/>
        <v>2</v>
      </c>
      <c r="L1405" s="3">
        <v>0.21953703703703698</v>
      </c>
      <c r="N1405" s="1" t="s">
        <v>75</v>
      </c>
      <c r="O1405" s="1" t="s">
        <v>286</v>
      </c>
      <c r="P1405" s="1" t="s">
        <v>227</v>
      </c>
      <c r="Q1405" s="1" t="s">
        <v>76</v>
      </c>
      <c r="S1405" s="1" t="s">
        <v>46</v>
      </c>
      <c r="AB1405" s="1" t="s">
        <v>93</v>
      </c>
      <c r="AC1405" s="1">
        <v>1</v>
      </c>
      <c r="AG1405" s="1" t="s">
        <v>1150</v>
      </c>
      <c r="AK1405" s="1" t="s">
        <v>86</v>
      </c>
      <c r="AL1405" s="1" t="s">
        <v>87</v>
      </c>
      <c r="AM1405" s="1">
        <v>4</v>
      </c>
      <c r="AN1405" s="1">
        <v>0</v>
      </c>
      <c r="AO1405" s="1">
        <f t="shared" si="106"/>
        <v>4</v>
      </c>
    </row>
    <row r="1406" spans="1:41" x14ac:dyDescent="0.4">
      <c r="A1406" s="1">
        <v>1</v>
      </c>
      <c r="B1406" s="1" t="s">
        <v>1033</v>
      </c>
      <c r="C1406" s="1" t="s">
        <v>119</v>
      </c>
      <c r="D1406" s="2">
        <v>38846</v>
      </c>
      <c r="E1406" s="1">
        <v>129</v>
      </c>
      <c r="F1406" s="1">
        <v>9.5</v>
      </c>
      <c r="G1406" s="3">
        <v>0.67738425925925927</v>
      </c>
      <c r="H1406" s="3">
        <v>0.6775578703703703</v>
      </c>
      <c r="I1406" s="3">
        <v>1.7361111111102723E-4</v>
      </c>
      <c r="J1406" s="3">
        <v>1.7361111111102723E-4</v>
      </c>
      <c r="K1406" s="5">
        <f t="shared" si="105"/>
        <v>15</v>
      </c>
      <c r="L1406" s="3">
        <v>6.4814814814828647E-4</v>
      </c>
      <c r="N1406" s="1" t="s">
        <v>75</v>
      </c>
      <c r="O1406" s="1" t="s">
        <v>286</v>
      </c>
      <c r="P1406" s="1" t="s">
        <v>227</v>
      </c>
      <c r="Q1406" s="1" t="s">
        <v>76</v>
      </c>
      <c r="S1406" s="1" t="s">
        <v>46</v>
      </c>
      <c r="T1406" s="1" t="s">
        <v>45</v>
      </c>
      <c r="U1406" s="1" t="s">
        <v>66</v>
      </c>
      <c r="V1406" s="1" t="s">
        <v>67</v>
      </c>
      <c r="W1406" s="1" t="s">
        <v>68</v>
      </c>
      <c r="Y1406" s="1" t="s">
        <v>68</v>
      </c>
      <c r="AB1406" s="1" t="s">
        <v>69</v>
      </c>
      <c r="AC1406" s="1">
        <v>0</v>
      </c>
      <c r="AD1406" s="1" t="s">
        <v>68</v>
      </c>
      <c r="AE1406" s="1" t="s">
        <v>70</v>
      </c>
      <c r="AI1406" s="1" t="s">
        <v>75</v>
      </c>
      <c r="AK1406" s="1" t="s">
        <v>86</v>
      </c>
      <c r="AL1406" s="1" t="s">
        <v>133</v>
      </c>
      <c r="AN1406" s="1">
        <v>1</v>
      </c>
      <c r="AO1406" s="1">
        <f t="shared" si="106"/>
        <v>1</v>
      </c>
    </row>
    <row r="1407" spans="1:41" x14ac:dyDescent="0.4">
      <c r="A1407" s="1">
        <v>1</v>
      </c>
      <c r="B1407" s="1" t="s">
        <v>1033</v>
      </c>
      <c r="C1407" s="1" t="s">
        <v>119</v>
      </c>
      <c r="D1407" s="2">
        <v>38846</v>
      </c>
      <c r="E1407" s="1">
        <v>129</v>
      </c>
      <c r="F1407" s="1">
        <v>10</v>
      </c>
      <c r="G1407" s="3">
        <v>0.67820601851851858</v>
      </c>
      <c r="H1407" s="3">
        <v>0.68107638888888899</v>
      </c>
      <c r="I1407" s="3">
        <v>2.870370370370412E-3</v>
      </c>
      <c r="J1407" s="3">
        <v>2.870370370370412E-3</v>
      </c>
      <c r="K1407" s="5">
        <f t="shared" si="105"/>
        <v>248</v>
      </c>
      <c r="L1407" s="3">
        <v>6.3194444444443221E-3</v>
      </c>
      <c r="N1407" s="1" t="s">
        <v>75</v>
      </c>
      <c r="O1407" s="1" t="s">
        <v>286</v>
      </c>
      <c r="P1407" s="1" t="s">
        <v>227</v>
      </c>
      <c r="Q1407" s="1" t="s">
        <v>45</v>
      </c>
      <c r="S1407" s="1" t="s">
        <v>46</v>
      </c>
      <c r="T1407" s="1" t="s">
        <v>47</v>
      </c>
      <c r="U1407" s="1" t="s">
        <v>66</v>
      </c>
      <c r="V1407" s="1" t="s">
        <v>102</v>
      </c>
      <c r="W1407" s="1" t="s">
        <v>184</v>
      </c>
      <c r="X1407" s="1" t="s">
        <v>96</v>
      </c>
      <c r="AB1407" s="1" t="s">
        <v>104</v>
      </c>
      <c r="AC1407" s="1">
        <v>0</v>
      </c>
      <c r="AD1407" s="1" t="s">
        <v>105</v>
      </c>
      <c r="AE1407" s="1" t="s">
        <v>70</v>
      </c>
      <c r="AG1407" s="1" t="s">
        <v>1134</v>
      </c>
      <c r="AH1407" s="1" t="s">
        <v>157</v>
      </c>
      <c r="AI1407" s="1" t="s">
        <v>75</v>
      </c>
      <c r="AK1407" s="1" t="s">
        <v>86</v>
      </c>
      <c r="AL1407" s="1" t="s">
        <v>87</v>
      </c>
      <c r="AM1407" s="1">
        <v>2</v>
      </c>
      <c r="AN1407" s="1">
        <v>0</v>
      </c>
      <c r="AO1407" s="1">
        <f t="shared" si="106"/>
        <v>2</v>
      </c>
    </row>
    <row r="1408" spans="1:41" x14ac:dyDescent="0.4">
      <c r="A1408" s="1">
        <v>1</v>
      </c>
      <c r="B1408" s="1" t="s">
        <v>1033</v>
      </c>
      <c r="C1408" s="1" t="s">
        <v>119</v>
      </c>
      <c r="D1408" s="2">
        <v>38846</v>
      </c>
      <c r="E1408" s="1">
        <v>129</v>
      </c>
      <c r="F1408" s="1">
        <v>12</v>
      </c>
      <c r="G1408" s="3">
        <v>0.68739583333333332</v>
      </c>
      <c r="H1408" s="3">
        <v>0.68968750000000001</v>
      </c>
      <c r="I1408" s="3">
        <v>2.2916666666666918E-3</v>
      </c>
      <c r="J1408" s="3">
        <v>2.2916666666666918E-3</v>
      </c>
      <c r="K1408" s="5">
        <f t="shared" si="105"/>
        <v>198</v>
      </c>
      <c r="L1408" s="3">
        <v>1.2835648148148193E-2</v>
      </c>
      <c r="N1408" s="1" t="s">
        <v>75</v>
      </c>
      <c r="O1408" s="1" t="s">
        <v>286</v>
      </c>
      <c r="P1408" s="1" t="s">
        <v>227</v>
      </c>
      <c r="Q1408" s="1" t="s">
        <v>45</v>
      </c>
      <c r="S1408" s="1" t="s">
        <v>46</v>
      </c>
      <c r="T1408" s="1" t="s">
        <v>45</v>
      </c>
      <c r="U1408" s="1" t="s">
        <v>66</v>
      </c>
      <c r="V1408" s="1" t="s">
        <v>102</v>
      </c>
      <c r="W1408" s="1" t="s">
        <v>433</v>
      </c>
      <c r="X1408" s="1" t="s">
        <v>96</v>
      </c>
      <c r="Y1408" s="1" t="s">
        <v>1095</v>
      </c>
      <c r="Z1408" s="1" t="s">
        <v>1096</v>
      </c>
      <c r="AA1408" s="1" t="s">
        <v>1097</v>
      </c>
      <c r="AB1408" s="1" t="s">
        <v>1098</v>
      </c>
      <c r="AC1408" s="1">
        <v>0</v>
      </c>
      <c r="AD1408" s="1" t="s">
        <v>1099</v>
      </c>
      <c r="AE1408" s="1" t="s">
        <v>70</v>
      </c>
      <c r="AG1408" s="1" t="s">
        <v>1076</v>
      </c>
      <c r="AI1408" s="1" t="s">
        <v>75</v>
      </c>
      <c r="AK1408" s="1" t="s">
        <v>86</v>
      </c>
      <c r="AL1408" s="1" t="s">
        <v>87</v>
      </c>
      <c r="AM1408" s="1">
        <v>4</v>
      </c>
      <c r="AN1408" s="1">
        <v>0</v>
      </c>
      <c r="AO1408" s="1">
        <f t="shared" si="106"/>
        <v>4</v>
      </c>
    </row>
    <row r="1409" spans="1:41" x14ac:dyDescent="0.4">
      <c r="A1409" s="1">
        <v>1</v>
      </c>
      <c r="B1409" s="1" t="s">
        <v>1033</v>
      </c>
      <c r="C1409" s="1" t="s">
        <v>119</v>
      </c>
      <c r="D1409" s="2">
        <v>38846</v>
      </c>
      <c r="E1409" s="1">
        <v>129</v>
      </c>
      <c r="F1409" s="1">
        <v>14</v>
      </c>
      <c r="G1409" s="3">
        <v>0.7025231481481482</v>
      </c>
      <c r="H1409" s="3">
        <v>0.70310185185185192</v>
      </c>
      <c r="I1409" s="3">
        <v>5.7870370370372015E-4</v>
      </c>
      <c r="J1409" s="3">
        <v>5.7870370370372015E-4</v>
      </c>
      <c r="K1409" s="5">
        <f t="shared" si="105"/>
        <v>50</v>
      </c>
      <c r="L1409" s="3" t="s">
        <v>120</v>
      </c>
      <c r="N1409" s="1" t="s">
        <v>75</v>
      </c>
      <c r="O1409" s="1" t="s">
        <v>286</v>
      </c>
      <c r="P1409" s="1" t="s">
        <v>227</v>
      </c>
      <c r="Q1409" s="1" t="s">
        <v>191</v>
      </c>
      <c r="S1409" s="1" t="s">
        <v>46</v>
      </c>
      <c r="T1409" s="1" t="s">
        <v>47</v>
      </c>
      <c r="U1409" s="1" t="s">
        <v>66</v>
      </c>
      <c r="AB1409" s="1" t="s">
        <v>93</v>
      </c>
      <c r="AC1409" s="1">
        <v>1</v>
      </c>
      <c r="AG1409" s="1" t="s">
        <v>1131</v>
      </c>
      <c r="AI1409" s="1" t="s">
        <v>75</v>
      </c>
      <c r="AK1409" s="1" t="s">
        <v>86</v>
      </c>
      <c r="AL1409" s="1" t="s">
        <v>87</v>
      </c>
      <c r="AM1409" s="1">
        <v>6</v>
      </c>
      <c r="AN1409" s="1">
        <v>0</v>
      </c>
      <c r="AO1409" s="1">
        <f t="shared" si="106"/>
        <v>6</v>
      </c>
    </row>
    <row r="1410" spans="1:41" x14ac:dyDescent="0.4">
      <c r="A1410" s="1">
        <v>1</v>
      </c>
      <c r="B1410" s="1" t="s">
        <v>1033</v>
      </c>
      <c r="C1410" s="1" t="s">
        <v>119</v>
      </c>
      <c r="D1410" s="2">
        <v>38855</v>
      </c>
      <c r="E1410" s="1">
        <v>138</v>
      </c>
      <c r="F1410" s="1">
        <v>9</v>
      </c>
      <c r="G1410" s="3">
        <v>0.4151157407407407</v>
      </c>
      <c r="H1410" s="3">
        <v>0.41592592592592598</v>
      </c>
      <c r="I1410" s="3">
        <v>8.1018518518527483E-4</v>
      </c>
      <c r="J1410" s="3">
        <v>4.7453703703714822E-4</v>
      </c>
      <c r="K1410" s="5">
        <f t="shared" ref="K1410:K1431" si="107">HOUR(J1410)*60*60+MINUTE(J1410)*60+SECOND(J1410)</f>
        <v>41</v>
      </c>
      <c r="L1410" s="3">
        <v>1.4085648148148056E-2</v>
      </c>
      <c r="N1410" s="1" t="s">
        <v>251</v>
      </c>
      <c r="O1410" s="1" t="s">
        <v>286</v>
      </c>
      <c r="P1410" s="1" t="s">
        <v>227</v>
      </c>
      <c r="Q1410" s="1" t="s">
        <v>76</v>
      </c>
      <c r="S1410" s="1" t="s">
        <v>46</v>
      </c>
      <c r="T1410" s="1" t="s">
        <v>47</v>
      </c>
      <c r="U1410" s="1" t="s">
        <v>66</v>
      </c>
      <c r="V1410" s="1" t="s">
        <v>102</v>
      </c>
      <c r="W1410" s="1" t="s">
        <v>433</v>
      </c>
      <c r="X1410" s="1" t="s">
        <v>96</v>
      </c>
      <c r="Y1410" s="1" t="s">
        <v>1095</v>
      </c>
      <c r="Z1410" s="1" t="s">
        <v>1096</v>
      </c>
      <c r="AA1410" s="1" t="s">
        <v>1097</v>
      </c>
      <c r="AB1410" s="1" t="s">
        <v>1098</v>
      </c>
      <c r="AC1410" s="1">
        <v>0</v>
      </c>
      <c r="AD1410" s="1" t="s">
        <v>1099</v>
      </c>
      <c r="AE1410" s="1" t="s">
        <v>70</v>
      </c>
      <c r="AG1410" s="1" t="s">
        <v>1131</v>
      </c>
      <c r="AI1410" s="1" t="s">
        <v>257</v>
      </c>
      <c r="AK1410" s="1" t="s">
        <v>86</v>
      </c>
      <c r="AL1410" s="1" t="s">
        <v>87</v>
      </c>
      <c r="AM1410" s="1">
        <v>6</v>
      </c>
      <c r="AN1410" s="1">
        <v>0</v>
      </c>
      <c r="AO1410" s="1">
        <f t="shared" si="106"/>
        <v>6</v>
      </c>
    </row>
    <row r="1411" spans="1:41" x14ac:dyDescent="0.4">
      <c r="A1411" s="1">
        <v>1</v>
      </c>
      <c r="B1411" s="1" t="s">
        <v>1033</v>
      </c>
      <c r="C1411" s="1" t="s">
        <v>119</v>
      </c>
      <c r="D1411" s="2">
        <v>38859</v>
      </c>
      <c r="E1411" s="1">
        <v>142</v>
      </c>
      <c r="F1411" s="1">
        <v>1</v>
      </c>
      <c r="G1411" s="3">
        <v>0.47178240740740746</v>
      </c>
      <c r="H1411" s="3">
        <v>0.47324074074074068</v>
      </c>
      <c r="I1411" s="3">
        <v>1.4583333333332282E-3</v>
      </c>
      <c r="J1411" s="3">
        <v>1.1458333333331794E-3</v>
      </c>
      <c r="K1411" s="5">
        <f t="shared" si="107"/>
        <v>99</v>
      </c>
      <c r="L1411" s="3">
        <v>9.8379629629630205E-3</v>
      </c>
      <c r="N1411" s="1" t="s">
        <v>75</v>
      </c>
      <c r="O1411" s="1" t="s">
        <v>286</v>
      </c>
      <c r="P1411" s="1" t="s">
        <v>227</v>
      </c>
      <c r="Q1411" s="1" t="s">
        <v>76</v>
      </c>
      <c r="S1411" s="1" t="s">
        <v>46</v>
      </c>
      <c r="T1411" s="1" t="s">
        <v>76</v>
      </c>
      <c r="U1411" s="1" t="s">
        <v>66</v>
      </c>
      <c r="V1411" s="1" t="s">
        <v>102</v>
      </c>
      <c r="W1411" s="1" t="s">
        <v>433</v>
      </c>
      <c r="X1411" s="1" t="s">
        <v>96</v>
      </c>
      <c r="Y1411" s="1" t="s">
        <v>1095</v>
      </c>
      <c r="Z1411" s="1" t="s">
        <v>1096</v>
      </c>
      <c r="AA1411" s="1" t="s">
        <v>1097</v>
      </c>
      <c r="AB1411" s="1" t="s">
        <v>1098</v>
      </c>
      <c r="AC1411" s="1">
        <v>0</v>
      </c>
      <c r="AD1411" s="1" t="s">
        <v>1099</v>
      </c>
      <c r="AE1411" s="1" t="s">
        <v>70</v>
      </c>
      <c r="AG1411" s="1" t="s">
        <v>1046</v>
      </c>
      <c r="AI1411" s="1" t="s">
        <v>75</v>
      </c>
      <c r="AK1411" s="1" t="s">
        <v>61</v>
      </c>
      <c r="AL1411" s="1" t="s">
        <v>61</v>
      </c>
      <c r="AM1411" s="1">
        <v>3</v>
      </c>
      <c r="AN1411" s="1">
        <v>0</v>
      </c>
      <c r="AO1411" s="1">
        <f t="shared" ref="AO1411:AO1431" si="108">SUM(AM1411:AN1411)</f>
        <v>3</v>
      </c>
    </row>
    <row r="1412" spans="1:41" x14ac:dyDescent="0.4">
      <c r="A1412" s="1">
        <v>1</v>
      </c>
      <c r="B1412" s="1" t="s">
        <v>1033</v>
      </c>
      <c r="C1412" s="1" t="s">
        <v>119</v>
      </c>
      <c r="D1412" s="2">
        <v>38859</v>
      </c>
      <c r="E1412" s="1">
        <v>142</v>
      </c>
      <c r="F1412" s="1">
        <v>4.3</v>
      </c>
      <c r="G1412" s="3">
        <v>0.58913194444444439</v>
      </c>
      <c r="H1412" s="3">
        <v>0.5894907407407407</v>
      </c>
      <c r="I1412" s="3">
        <v>3.5879629629631538E-4</v>
      </c>
      <c r="J1412" s="3">
        <v>3.5879629629631538E-4</v>
      </c>
      <c r="K1412" s="5">
        <f t="shared" si="107"/>
        <v>31</v>
      </c>
      <c r="L1412" s="3">
        <v>5.3009259259260144E-3</v>
      </c>
      <c r="N1412" s="1" t="s">
        <v>75</v>
      </c>
      <c r="O1412" s="1" t="s">
        <v>286</v>
      </c>
      <c r="P1412" s="1" t="s">
        <v>227</v>
      </c>
      <c r="Q1412" s="1" t="s">
        <v>45</v>
      </c>
      <c r="S1412" s="1" t="s">
        <v>46</v>
      </c>
      <c r="T1412" s="1" t="s">
        <v>45</v>
      </c>
      <c r="U1412" s="1" t="s">
        <v>66</v>
      </c>
      <c r="V1412" s="1" t="s">
        <v>102</v>
      </c>
      <c r="W1412" s="1" t="s">
        <v>433</v>
      </c>
      <c r="X1412" s="1" t="s">
        <v>96</v>
      </c>
      <c r="Y1412" s="1" t="s">
        <v>1095</v>
      </c>
      <c r="Z1412" s="1" t="s">
        <v>1096</v>
      </c>
      <c r="AA1412" s="1" t="s">
        <v>1097</v>
      </c>
      <c r="AB1412" s="1" t="s">
        <v>1098</v>
      </c>
      <c r="AC1412" s="1">
        <v>0</v>
      </c>
      <c r="AD1412" s="1" t="s">
        <v>1099</v>
      </c>
      <c r="AE1412" s="1" t="s">
        <v>70</v>
      </c>
      <c r="AI1412" s="1" t="s">
        <v>75</v>
      </c>
      <c r="AK1412" s="1" t="s">
        <v>61</v>
      </c>
      <c r="AL1412" s="1" t="s">
        <v>72</v>
      </c>
      <c r="AN1412" s="1">
        <v>1</v>
      </c>
      <c r="AO1412" s="1">
        <f t="shared" si="108"/>
        <v>1</v>
      </c>
    </row>
    <row r="1413" spans="1:41" x14ac:dyDescent="0.4">
      <c r="A1413" s="1">
        <v>1</v>
      </c>
      <c r="B1413" s="1" t="s">
        <v>1033</v>
      </c>
      <c r="C1413" s="1" t="s">
        <v>119</v>
      </c>
      <c r="D1413" s="2">
        <v>38859</v>
      </c>
      <c r="E1413" s="1">
        <v>142</v>
      </c>
      <c r="F1413" s="1">
        <v>5</v>
      </c>
      <c r="G1413" s="3">
        <v>0.59479166666666672</v>
      </c>
      <c r="H1413" s="3">
        <v>0.59575231481481483</v>
      </c>
      <c r="I1413" s="3">
        <v>9.6064814814811328E-4</v>
      </c>
      <c r="J1413" s="3">
        <v>9.6064814814811328E-4</v>
      </c>
      <c r="K1413" s="5">
        <f t="shared" si="107"/>
        <v>83</v>
      </c>
      <c r="L1413" s="3">
        <v>1.1747685185185208E-2</v>
      </c>
      <c r="N1413" s="1" t="s">
        <v>75</v>
      </c>
      <c r="O1413" s="1" t="s">
        <v>286</v>
      </c>
      <c r="P1413" s="1" t="s">
        <v>227</v>
      </c>
      <c r="Q1413" s="1" t="s">
        <v>76</v>
      </c>
      <c r="S1413" s="1" t="s">
        <v>46</v>
      </c>
      <c r="T1413" s="1" t="s">
        <v>45</v>
      </c>
      <c r="U1413" s="1" t="s">
        <v>66</v>
      </c>
      <c r="V1413" s="1" t="s">
        <v>102</v>
      </c>
      <c r="W1413" s="1" t="s">
        <v>433</v>
      </c>
      <c r="X1413" s="1" t="s">
        <v>96</v>
      </c>
      <c r="Y1413" s="1" t="s">
        <v>1095</v>
      </c>
      <c r="Z1413" s="1" t="s">
        <v>1096</v>
      </c>
      <c r="AA1413" s="1" t="s">
        <v>1097</v>
      </c>
      <c r="AB1413" s="1" t="s">
        <v>1098</v>
      </c>
      <c r="AC1413" s="1">
        <v>0</v>
      </c>
      <c r="AD1413" s="1" t="s">
        <v>1099</v>
      </c>
      <c r="AE1413" s="1" t="s">
        <v>70</v>
      </c>
      <c r="AI1413" s="1" t="s">
        <v>75</v>
      </c>
      <c r="AK1413" s="1" t="s">
        <v>86</v>
      </c>
      <c r="AL1413" s="1" t="s">
        <v>133</v>
      </c>
      <c r="AN1413" s="1">
        <v>1</v>
      </c>
      <c r="AO1413" s="1">
        <f t="shared" si="108"/>
        <v>1</v>
      </c>
    </row>
    <row r="1414" spans="1:41" x14ac:dyDescent="0.4">
      <c r="A1414" s="1">
        <v>1</v>
      </c>
      <c r="B1414" s="1" t="s">
        <v>1033</v>
      </c>
      <c r="C1414" s="1" t="s">
        <v>119</v>
      </c>
      <c r="D1414" s="2">
        <v>38859</v>
      </c>
      <c r="E1414" s="1">
        <v>142</v>
      </c>
      <c r="F1414" s="1">
        <v>6.5</v>
      </c>
      <c r="G1414" s="3">
        <v>0.61108796296296297</v>
      </c>
      <c r="H1414" s="3">
        <v>0.61223379629629626</v>
      </c>
      <c r="I1414" s="3">
        <v>1.1458333333332904E-3</v>
      </c>
      <c r="J1414" s="3">
        <v>5.0925925925926485E-4</v>
      </c>
      <c r="K1414" s="5">
        <f t="shared" si="107"/>
        <v>44</v>
      </c>
      <c r="L1414" s="3">
        <v>1.1458333333334014E-3</v>
      </c>
      <c r="N1414" s="1" t="s">
        <v>75</v>
      </c>
      <c r="O1414" s="1" t="s">
        <v>286</v>
      </c>
      <c r="P1414" s="1" t="s">
        <v>227</v>
      </c>
      <c r="Q1414" s="1" t="s">
        <v>76</v>
      </c>
      <c r="S1414" s="1" t="s">
        <v>46</v>
      </c>
      <c r="T1414" s="1" t="s">
        <v>76</v>
      </c>
      <c r="U1414" s="1" t="s">
        <v>66</v>
      </c>
      <c r="V1414" s="1" t="s">
        <v>67</v>
      </c>
      <c r="W1414" s="1" t="s">
        <v>68</v>
      </c>
      <c r="Y1414" s="1" t="s">
        <v>68</v>
      </c>
      <c r="AB1414" s="1" t="s">
        <v>69</v>
      </c>
      <c r="AC1414" s="1">
        <v>0</v>
      </c>
      <c r="AD1414" s="1" t="s">
        <v>68</v>
      </c>
      <c r="AE1414" s="1" t="s">
        <v>70</v>
      </c>
      <c r="AI1414" s="1" t="s">
        <v>75</v>
      </c>
      <c r="AK1414" s="1" t="s">
        <v>116</v>
      </c>
      <c r="AL1414" s="1" t="s">
        <v>117</v>
      </c>
      <c r="AN1414" s="1">
        <v>1</v>
      </c>
      <c r="AO1414" s="1">
        <f t="shared" si="108"/>
        <v>1</v>
      </c>
    </row>
    <row r="1415" spans="1:41" x14ac:dyDescent="0.4">
      <c r="A1415" s="1">
        <v>1</v>
      </c>
      <c r="B1415" s="1" t="s">
        <v>1033</v>
      </c>
      <c r="C1415" s="1" t="s">
        <v>119</v>
      </c>
      <c r="D1415" s="2">
        <v>38901</v>
      </c>
      <c r="E1415" s="1">
        <v>184</v>
      </c>
      <c r="F1415" s="1">
        <v>6.7</v>
      </c>
      <c r="G1415" s="3">
        <v>0.41452546296296294</v>
      </c>
      <c r="H1415" s="3">
        <v>0.41453703703703698</v>
      </c>
      <c r="I1415" s="3">
        <v>1.1574074074038876E-5</v>
      </c>
      <c r="J1415" s="3">
        <v>1.1574074074038876E-5</v>
      </c>
      <c r="K1415" s="5">
        <f t="shared" si="107"/>
        <v>1</v>
      </c>
      <c r="L1415" s="3">
        <v>3.2951388888888933E-2</v>
      </c>
      <c r="N1415" s="1" t="s">
        <v>42</v>
      </c>
      <c r="O1415" s="1" t="s">
        <v>286</v>
      </c>
      <c r="P1415" s="1" t="s">
        <v>227</v>
      </c>
      <c r="Q1415" s="1" t="s">
        <v>45</v>
      </c>
      <c r="S1415" s="1" t="s">
        <v>46</v>
      </c>
      <c r="T1415" s="1" t="s">
        <v>47</v>
      </c>
      <c r="U1415" s="1" t="s">
        <v>156</v>
      </c>
      <c r="AB1415" s="1" t="s">
        <v>93</v>
      </c>
      <c r="AC1415" s="1">
        <v>1</v>
      </c>
      <c r="AI1415" s="1" t="s">
        <v>75</v>
      </c>
      <c r="AK1415" s="1" t="s">
        <v>86</v>
      </c>
      <c r="AL1415" s="1" t="s">
        <v>133</v>
      </c>
      <c r="AN1415" s="1">
        <v>1</v>
      </c>
      <c r="AO1415" s="1">
        <f t="shared" si="108"/>
        <v>1</v>
      </c>
    </row>
    <row r="1416" spans="1:41" x14ac:dyDescent="0.4">
      <c r="A1416" s="1">
        <v>1</v>
      </c>
      <c r="B1416" s="1" t="s">
        <v>1033</v>
      </c>
      <c r="C1416" s="1" t="s">
        <v>119</v>
      </c>
      <c r="D1416" s="2">
        <v>38901</v>
      </c>
      <c r="E1416" s="1">
        <v>184</v>
      </c>
      <c r="F1416" s="1">
        <v>20.7</v>
      </c>
      <c r="G1416" s="3">
        <v>0.6755902777777778</v>
      </c>
      <c r="H1416" s="3">
        <v>0.67562500000000003</v>
      </c>
      <c r="I1416" s="3">
        <v>3.472222222222765E-5</v>
      </c>
      <c r="J1416" s="3">
        <v>3.472222222222765E-5</v>
      </c>
      <c r="K1416" s="5">
        <f t="shared" si="107"/>
        <v>3</v>
      </c>
      <c r="L1416" s="3" t="s">
        <v>120</v>
      </c>
      <c r="N1416" s="1" t="s">
        <v>42</v>
      </c>
      <c r="O1416" s="1" t="s">
        <v>286</v>
      </c>
      <c r="P1416" s="1" t="s">
        <v>227</v>
      </c>
      <c r="Q1416" s="1" t="s">
        <v>76</v>
      </c>
      <c r="S1416" s="1" t="s">
        <v>46</v>
      </c>
      <c r="T1416" s="1" t="s">
        <v>45</v>
      </c>
      <c r="U1416" s="1" t="s">
        <v>92</v>
      </c>
      <c r="AB1416" s="1" t="s">
        <v>93</v>
      </c>
      <c r="AC1416" s="1">
        <v>1</v>
      </c>
      <c r="AG1416" s="1" t="s">
        <v>1150</v>
      </c>
      <c r="AI1416" s="1" t="s">
        <v>75</v>
      </c>
      <c r="AK1416" s="1" t="s">
        <v>86</v>
      </c>
      <c r="AL1416" s="1" t="s">
        <v>87</v>
      </c>
      <c r="AM1416" s="1">
        <v>4</v>
      </c>
      <c r="AN1416" s="1">
        <v>0</v>
      </c>
      <c r="AO1416" s="1">
        <f t="shared" si="108"/>
        <v>4</v>
      </c>
    </row>
    <row r="1417" spans="1:41" x14ac:dyDescent="0.4">
      <c r="A1417" s="1">
        <v>1</v>
      </c>
      <c r="B1417" s="1" t="s">
        <v>1033</v>
      </c>
      <c r="C1417" s="1" t="s">
        <v>119</v>
      </c>
      <c r="D1417" s="2">
        <v>38917</v>
      </c>
      <c r="E1417" s="1">
        <v>200</v>
      </c>
      <c r="F1417" s="1">
        <v>2</v>
      </c>
      <c r="G1417" s="3">
        <v>0.34202546296296293</v>
      </c>
      <c r="H1417" s="3">
        <v>0.34255787037037039</v>
      </c>
      <c r="I1417" s="3">
        <v>5.3240740740745363E-4</v>
      </c>
      <c r="J1417" s="3">
        <v>5.3240740740745363E-4</v>
      </c>
      <c r="K1417" s="5">
        <f t="shared" si="107"/>
        <v>46</v>
      </c>
      <c r="L1417" s="3">
        <v>0.14583333333333331</v>
      </c>
      <c r="N1417" s="1" t="s">
        <v>75</v>
      </c>
      <c r="O1417" s="1" t="s">
        <v>286</v>
      </c>
      <c r="P1417" s="1" t="s">
        <v>227</v>
      </c>
      <c r="Q1417" s="1" t="s">
        <v>191</v>
      </c>
      <c r="S1417" s="1" t="s">
        <v>46</v>
      </c>
      <c r="T1417" s="1" t="s">
        <v>124</v>
      </c>
      <c r="U1417" s="1" t="s">
        <v>66</v>
      </c>
      <c r="V1417" s="1" t="s">
        <v>102</v>
      </c>
      <c r="W1417" s="1" t="s">
        <v>103</v>
      </c>
      <c r="X1417" s="1" t="s">
        <v>96</v>
      </c>
      <c r="AB1417" s="1" t="s">
        <v>104</v>
      </c>
      <c r="AC1417" s="1">
        <v>0</v>
      </c>
      <c r="AD1417" s="1" t="s">
        <v>105</v>
      </c>
      <c r="AE1417" s="1" t="s">
        <v>70</v>
      </c>
      <c r="AG1417" s="1" t="s">
        <v>1179</v>
      </c>
      <c r="AH1417" s="1" t="s">
        <v>157</v>
      </c>
      <c r="AI1417" s="1" t="s">
        <v>75</v>
      </c>
      <c r="AK1417" s="1" t="s">
        <v>86</v>
      </c>
      <c r="AL1417" s="1" t="s">
        <v>87</v>
      </c>
      <c r="AM1417" s="1">
        <v>3</v>
      </c>
      <c r="AN1417" s="1">
        <v>0</v>
      </c>
      <c r="AO1417" s="1">
        <f t="shared" si="108"/>
        <v>3</v>
      </c>
    </row>
    <row r="1418" spans="1:41" x14ac:dyDescent="0.4">
      <c r="A1418" s="1">
        <v>1</v>
      </c>
      <c r="B1418" s="1" t="s">
        <v>1033</v>
      </c>
      <c r="C1418" s="1" t="s">
        <v>119</v>
      </c>
      <c r="D1418" s="2">
        <v>38917</v>
      </c>
      <c r="E1418" s="1">
        <v>200</v>
      </c>
      <c r="F1418" s="1">
        <v>3.5</v>
      </c>
      <c r="G1418" s="3">
        <v>0.4883912037037037</v>
      </c>
      <c r="H1418" s="3">
        <v>0.48841435185185184</v>
      </c>
      <c r="I1418" s="3">
        <v>2.3148148148133263E-5</v>
      </c>
      <c r="J1418" s="3">
        <v>2.3148148148133263E-5</v>
      </c>
      <c r="K1418" s="5">
        <f t="shared" si="107"/>
        <v>2</v>
      </c>
      <c r="L1418" s="3">
        <v>6.7581018518518554E-2</v>
      </c>
      <c r="N1418" s="1" t="s">
        <v>251</v>
      </c>
      <c r="O1418" s="1" t="s">
        <v>286</v>
      </c>
      <c r="P1418" s="1" t="s">
        <v>227</v>
      </c>
      <c r="Q1418" s="1" t="s">
        <v>76</v>
      </c>
      <c r="S1418" s="1" t="s">
        <v>46</v>
      </c>
      <c r="T1418" s="1" t="s">
        <v>45</v>
      </c>
      <c r="U1418" s="1" t="s">
        <v>92</v>
      </c>
      <c r="AB1418" s="1" t="s">
        <v>93</v>
      </c>
      <c r="AC1418" s="1">
        <v>1</v>
      </c>
      <c r="AI1418" s="1" t="s">
        <v>253</v>
      </c>
      <c r="AK1418" s="1" t="s">
        <v>61</v>
      </c>
      <c r="AL1418" s="1" t="s">
        <v>61</v>
      </c>
      <c r="AN1418" s="1">
        <v>1</v>
      </c>
      <c r="AO1418" s="1">
        <f t="shared" si="108"/>
        <v>1</v>
      </c>
    </row>
    <row r="1419" spans="1:41" x14ac:dyDescent="0.4">
      <c r="A1419" s="1">
        <v>1</v>
      </c>
      <c r="B1419" s="1" t="s">
        <v>1033</v>
      </c>
      <c r="C1419" s="1" t="s">
        <v>119</v>
      </c>
      <c r="D1419" s="2">
        <v>38917</v>
      </c>
      <c r="E1419" s="1">
        <v>200</v>
      </c>
      <c r="F1419" s="1">
        <v>6</v>
      </c>
      <c r="G1419" s="3">
        <v>0.55599537037037039</v>
      </c>
      <c r="H1419" s="3">
        <v>0.55721064814814814</v>
      </c>
      <c r="I1419" s="3">
        <v>1.2152777777777457E-3</v>
      </c>
      <c r="J1419" s="3">
        <v>1.2152777777777457E-3</v>
      </c>
      <c r="K1419" s="5">
        <f t="shared" si="107"/>
        <v>105</v>
      </c>
      <c r="L1419" s="3">
        <v>1.0509259259259274E-2</v>
      </c>
      <c r="N1419" s="1" t="s">
        <v>251</v>
      </c>
      <c r="O1419" s="1" t="s">
        <v>286</v>
      </c>
      <c r="P1419" s="1" t="s">
        <v>227</v>
      </c>
      <c r="Q1419" s="1" t="s">
        <v>76</v>
      </c>
      <c r="S1419" s="1" t="s">
        <v>46</v>
      </c>
      <c r="T1419" s="1" t="s">
        <v>45</v>
      </c>
      <c r="U1419" s="1" t="s">
        <v>156</v>
      </c>
      <c r="V1419" s="1" t="s">
        <v>297</v>
      </c>
      <c r="W1419" s="1" t="s">
        <v>167</v>
      </c>
      <c r="X1419" s="1" t="s">
        <v>538</v>
      </c>
      <c r="AB1419" s="1" t="s">
        <v>693</v>
      </c>
      <c r="AC1419" s="1">
        <v>0</v>
      </c>
      <c r="AD1419" s="1" t="s">
        <v>105</v>
      </c>
      <c r="AE1419" s="1" t="s">
        <v>181</v>
      </c>
      <c r="AG1419" s="1" t="s">
        <v>1175</v>
      </c>
      <c r="AH1419" s="1" t="s">
        <v>157</v>
      </c>
      <c r="AI1419" s="1" t="s">
        <v>255</v>
      </c>
      <c r="AK1419" s="1" t="s">
        <v>86</v>
      </c>
      <c r="AL1419" s="1" t="s">
        <v>187</v>
      </c>
      <c r="AM1419" s="1">
        <v>5</v>
      </c>
      <c r="AN1419" s="1">
        <v>0</v>
      </c>
      <c r="AO1419" s="1">
        <f t="shared" si="108"/>
        <v>5</v>
      </c>
    </row>
    <row r="1420" spans="1:41" x14ac:dyDescent="0.4">
      <c r="A1420" s="1">
        <v>1</v>
      </c>
      <c r="B1420" s="1" t="s">
        <v>1033</v>
      </c>
      <c r="C1420" s="1" t="s">
        <v>119</v>
      </c>
      <c r="D1420" s="2">
        <v>38917</v>
      </c>
      <c r="E1420" s="1">
        <v>200</v>
      </c>
      <c r="F1420" s="1">
        <v>8</v>
      </c>
      <c r="G1420" s="3">
        <v>0.56771990740740741</v>
      </c>
      <c r="H1420" s="3">
        <v>0.56836805555555558</v>
      </c>
      <c r="I1420" s="3">
        <v>6.4814814814817545E-4</v>
      </c>
      <c r="J1420" s="3">
        <v>6.4814814814817545E-4</v>
      </c>
      <c r="K1420" s="5">
        <f t="shared" si="107"/>
        <v>56</v>
      </c>
      <c r="L1420" s="3">
        <v>4.3634259259258679E-3</v>
      </c>
      <c r="N1420" s="1" t="s">
        <v>251</v>
      </c>
      <c r="O1420" s="1" t="s">
        <v>286</v>
      </c>
      <c r="P1420" s="1" t="s">
        <v>227</v>
      </c>
      <c r="Q1420" s="1" t="s">
        <v>76</v>
      </c>
      <c r="S1420" s="1" t="s">
        <v>46</v>
      </c>
      <c r="T1420" s="1" t="s">
        <v>45</v>
      </c>
      <c r="U1420" s="1" t="s">
        <v>48</v>
      </c>
      <c r="V1420" s="1" t="s">
        <v>102</v>
      </c>
      <c r="W1420" s="1" t="s">
        <v>433</v>
      </c>
      <c r="X1420" s="1" t="s">
        <v>96</v>
      </c>
      <c r="Y1420" s="1" t="s">
        <v>1095</v>
      </c>
      <c r="Z1420" s="1" t="s">
        <v>1096</v>
      </c>
      <c r="AA1420" s="1" t="s">
        <v>1097</v>
      </c>
      <c r="AB1420" s="1" t="s">
        <v>1098</v>
      </c>
      <c r="AC1420" s="1">
        <v>0</v>
      </c>
      <c r="AD1420" s="1" t="s">
        <v>1099</v>
      </c>
      <c r="AE1420" s="1" t="s">
        <v>70</v>
      </c>
      <c r="AI1420" s="1" t="s">
        <v>379</v>
      </c>
      <c r="AK1420" s="1" t="s">
        <v>61</v>
      </c>
      <c r="AL1420" s="1" t="s">
        <v>61</v>
      </c>
      <c r="AN1420" s="1">
        <v>1</v>
      </c>
      <c r="AO1420" s="1">
        <f t="shared" si="108"/>
        <v>1</v>
      </c>
    </row>
    <row r="1421" spans="1:41" x14ac:dyDescent="0.4">
      <c r="A1421" s="1">
        <v>1</v>
      </c>
      <c r="B1421" s="1" t="s">
        <v>1033</v>
      </c>
      <c r="C1421" s="1" t="s">
        <v>119</v>
      </c>
      <c r="D1421" s="2">
        <v>38917</v>
      </c>
      <c r="E1421" s="1">
        <v>200</v>
      </c>
      <c r="F1421" s="1">
        <v>8.15</v>
      </c>
      <c r="G1421" s="3">
        <v>0.57273148148148145</v>
      </c>
      <c r="H1421" s="3">
        <v>0.57277777777777772</v>
      </c>
      <c r="I1421" s="3">
        <v>4.6296296296266526E-5</v>
      </c>
      <c r="J1421" s="3">
        <v>4.6296296296266526E-5</v>
      </c>
      <c r="K1421" s="5">
        <f t="shared" si="107"/>
        <v>4</v>
      </c>
      <c r="L1421" s="3">
        <v>2.7453703703703702E-2</v>
      </c>
      <c r="N1421" s="1" t="s">
        <v>251</v>
      </c>
      <c r="O1421" s="1" t="s">
        <v>286</v>
      </c>
      <c r="P1421" s="1" t="s">
        <v>227</v>
      </c>
      <c r="Q1421" s="1" t="s">
        <v>76</v>
      </c>
      <c r="S1421" s="1" t="s">
        <v>46</v>
      </c>
      <c r="T1421" s="1" t="s">
        <v>76</v>
      </c>
      <c r="U1421" s="1" t="s">
        <v>48</v>
      </c>
      <c r="AB1421" s="1" t="s">
        <v>93</v>
      </c>
      <c r="AC1421" s="1">
        <v>1</v>
      </c>
      <c r="AG1421" s="1" t="s">
        <v>1232</v>
      </c>
      <c r="AI1421" s="1" t="s">
        <v>379</v>
      </c>
      <c r="AK1421" s="1" t="s">
        <v>86</v>
      </c>
      <c r="AL1421" s="1" t="s">
        <v>187</v>
      </c>
      <c r="AM1421" s="1">
        <v>1</v>
      </c>
      <c r="AN1421" s="1">
        <v>0</v>
      </c>
      <c r="AO1421" s="1">
        <f t="shared" si="108"/>
        <v>1</v>
      </c>
    </row>
    <row r="1422" spans="1:41" x14ac:dyDescent="0.4">
      <c r="A1422" s="1">
        <v>1</v>
      </c>
      <c r="B1422" s="1" t="s">
        <v>1033</v>
      </c>
      <c r="C1422" s="1" t="s">
        <v>119</v>
      </c>
      <c r="D1422" s="2">
        <v>38917</v>
      </c>
      <c r="E1422" s="1">
        <v>200</v>
      </c>
      <c r="F1422" s="1">
        <v>10</v>
      </c>
      <c r="G1422" s="3">
        <v>0.60023148148148142</v>
      </c>
      <c r="H1422" s="3">
        <v>0.60326388888888893</v>
      </c>
      <c r="I1422" s="3">
        <v>3.0324074074075114E-3</v>
      </c>
      <c r="J1422" s="3">
        <v>3.0324074074075114E-3</v>
      </c>
      <c r="K1422" s="5">
        <f t="shared" si="107"/>
        <v>262</v>
      </c>
      <c r="L1422" s="3">
        <v>0</v>
      </c>
      <c r="N1422" s="1" t="s">
        <v>251</v>
      </c>
      <c r="O1422" s="1" t="s">
        <v>286</v>
      </c>
      <c r="P1422" s="1" t="s">
        <v>227</v>
      </c>
      <c r="Q1422" s="1" t="s">
        <v>132</v>
      </c>
      <c r="S1422" s="1" t="s">
        <v>46</v>
      </c>
      <c r="T1422" s="1" t="s">
        <v>47</v>
      </c>
      <c r="U1422" s="1" t="s">
        <v>92</v>
      </c>
      <c r="V1422" s="1" t="s">
        <v>49</v>
      </c>
      <c r="W1422" s="1" t="s">
        <v>77</v>
      </c>
      <c r="X1422" s="1" t="s">
        <v>538</v>
      </c>
      <c r="Y1422" s="1" t="s">
        <v>276</v>
      </c>
      <c r="Z1422" s="1" t="s">
        <v>277</v>
      </c>
      <c r="AA1422" s="1">
        <v>1</v>
      </c>
      <c r="AB1422" s="1" t="s">
        <v>539</v>
      </c>
      <c r="AC1422" s="1">
        <v>0</v>
      </c>
      <c r="AD1422" s="1" t="s">
        <v>56</v>
      </c>
      <c r="AE1422" s="1" t="s">
        <v>181</v>
      </c>
      <c r="AG1422" s="1" t="s">
        <v>1178</v>
      </c>
      <c r="AH1422" s="1" t="s">
        <v>115</v>
      </c>
      <c r="AI1422" s="1" t="s">
        <v>253</v>
      </c>
      <c r="AK1422" s="1" t="s">
        <v>86</v>
      </c>
      <c r="AL1422" s="1" t="s">
        <v>133</v>
      </c>
      <c r="AM1422" s="1">
        <v>2</v>
      </c>
      <c r="AN1422" s="1">
        <v>0</v>
      </c>
      <c r="AO1422" s="1">
        <f t="shared" si="108"/>
        <v>2</v>
      </c>
    </row>
    <row r="1423" spans="1:41" x14ac:dyDescent="0.4">
      <c r="A1423" s="1">
        <v>1</v>
      </c>
      <c r="B1423" s="1" t="s">
        <v>1033</v>
      </c>
      <c r="C1423" s="1" t="s">
        <v>119</v>
      </c>
      <c r="D1423" s="2">
        <v>38919</v>
      </c>
      <c r="E1423" s="1">
        <v>202</v>
      </c>
      <c r="F1423" s="1">
        <v>6.7</v>
      </c>
      <c r="G1423" s="3">
        <v>0.65836805555555555</v>
      </c>
      <c r="H1423" s="3">
        <v>0.6584606481481482</v>
      </c>
      <c r="I1423" s="3">
        <v>9.2592592592644074E-5</v>
      </c>
      <c r="J1423" s="3">
        <v>9.2592592592644074E-5</v>
      </c>
      <c r="K1423" s="5">
        <f t="shared" si="107"/>
        <v>8</v>
      </c>
      <c r="L1423" s="3" t="s">
        <v>120</v>
      </c>
      <c r="N1423" s="1" t="s">
        <v>42</v>
      </c>
      <c r="O1423" s="1" t="s">
        <v>286</v>
      </c>
      <c r="P1423" s="1" t="s">
        <v>44</v>
      </c>
      <c r="Q1423" s="1" t="s">
        <v>76</v>
      </c>
      <c r="S1423" s="1" t="s">
        <v>451</v>
      </c>
      <c r="AB1423" s="1" t="s">
        <v>93</v>
      </c>
      <c r="AC1423" s="1">
        <v>1</v>
      </c>
      <c r="AG1423" s="1" t="s">
        <v>1175</v>
      </c>
      <c r="AK1423" s="1" t="s">
        <v>86</v>
      </c>
      <c r="AL1423" s="1" t="s">
        <v>86</v>
      </c>
      <c r="AM1423" s="1">
        <v>5</v>
      </c>
      <c r="AN1423" s="1">
        <v>0</v>
      </c>
      <c r="AO1423" s="1">
        <f t="shared" si="108"/>
        <v>5</v>
      </c>
    </row>
    <row r="1424" spans="1:41" x14ac:dyDescent="0.4">
      <c r="A1424" s="1">
        <v>1</v>
      </c>
      <c r="B1424" s="1" t="s">
        <v>1033</v>
      </c>
      <c r="C1424" s="1" t="s">
        <v>119</v>
      </c>
      <c r="D1424" s="2">
        <v>38933</v>
      </c>
      <c r="E1424" s="1">
        <v>216</v>
      </c>
      <c r="F1424" s="1">
        <v>7.2</v>
      </c>
      <c r="G1424" s="3">
        <v>0.52733796296296298</v>
      </c>
      <c r="H1424" s="3">
        <v>0.52749999999999997</v>
      </c>
      <c r="I1424" s="3">
        <v>1.6203703703698835E-4</v>
      </c>
      <c r="J1424" s="3">
        <v>1.6203703703698835E-4</v>
      </c>
      <c r="K1424" s="5">
        <f t="shared" si="107"/>
        <v>14</v>
      </c>
      <c r="L1424" s="3">
        <v>0.14107638888888896</v>
      </c>
      <c r="N1424" s="1" t="s">
        <v>42</v>
      </c>
      <c r="O1424" s="1" t="s">
        <v>286</v>
      </c>
      <c r="P1424" s="1" t="s">
        <v>44</v>
      </c>
      <c r="Q1424" s="1" t="s">
        <v>132</v>
      </c>
      <c r="S1424" s="1" t="s">
        <v>451</v>
      </c>
      <c r="AB1424" s="1" t="s">
        <v>93</v>
      </c>
      <c r="AC1424" s="1">
        <v>1</v>
      </c>
      <c r="AG1424" s="1" t="s">
        <v>1130</v>
      </c>
      <c r="AK1424" s="1" t="s">
        <v>86</v>
      </c>
      <c r="AL1424" s="1" t="s">
        <v>87</v>
      </c>
      <c r="AM1424" s="1">
        <v>3</v>
      </c>
      <c r="AN1424" s="1">
        <v>0</v>
      </c>
      <c r="AO1424" s="1">
        <f t="shared" si="108"/>
        <v>3</v>
      </c>
    </row>
    <row r="1425" spans="1:41" x14ac:dyDescent="0.4">
      <c r="A1425" s="1">
        <v>1</v>
      </c>
      <c r="B1425" s="1" t="s">
        <v>1033</v>
      </c>
      <c r="C1425" s="1" t="s">
        <v>119</v>
      </c>
      <c r="D1425" s="2">
        <v>38933</v>
      </c>
      <c r="E1425" s="1">
        <v>216</v>
      </c>
      <c r="F1425" s="1">
        <v>10</v>
      </c>
      <c r="G1425" s="3">
        <v>0.66857638888888893</v>
      </c>
      <c r="H1425" s="3">
        <v>0.66962962962962969</v>
      </c>
      <c r="I1425" s="3">
        <v>1.0532407407407574E-3</v>
      </c>
      <c r="J1425" s="3">
        <v>1.0532407407407574E-3</v>
      </c>
      <c r="K1425" s="5">
        <f t="shared" si="107"/>
        <v>91</v>
      </c>
      <c r="L1425" s="3">
        <v>1.1805555555555181E-3</v>
      </c>
      <c r="N1425" s="1" t="s">
        <v>251</v>
      </c>
      <c r="O1425" s="1" t="s">
        <v>286</v>
      </c>
      <c r="P1425" s="1" t="s">
        <v>44</v>
      </c>
      <c r="Q1425" s="1" t="s">
        <v>45</v>
      </c>
      <c r="S1425" s="1" t="s">
        <v>451</v>
      </c>
      <c r="T1425" s="1" t="s">
        <v>124</v>
      </c>
      <c r="U1425" s="1" t="s">
        <v>156</v>
      </c>
      <c r="V1425" s="1" t="s">
        <v>102</v>
      </c>
      <c r="W1425" s="1" t="s">
        <v>231</v>
      </c>
      <c r="X1425" s="1" t="s">
        <v>96</v>
      </c>
      <c r="AB1425" s="1" t="s">
        <v>104</v>
      </c>
      <c r="AC1425" s="1">
        <v>0</v>
      </c>
      <c r="AD1425" s="1" t="s">
        <v>105</v>
      </c>
      <c r="AE1425" s="1" t="s">
        <v>70</v>
      </c>
      <c r="AG1425" s="1" t="s">
        <v>1179</v>
      </c>
      <c r="AH1425" s="1" t="s">
        <v>157</v>
      </c>
      <c r="AI1425" s="1" t="s">
        <v>255</v>
      </c>
      <c r="AK1425" s="1" t="s">
        <v>86</v>
      </c>
      <c r="AL1425" s="1" t="s">
        <v>133</v>
      </c>
      <c r="AM1425" s="1">
        <v>3</v>
      </c>
      <c r="AN1425" s="1">
        <v>0</v>
      </c>
      <c r="AO1425" s="1">
        <f t="shared" si="108"/>
        <v>3</v>
      </c>
    </row>
    <row r="1426" spans="1:41" x14ac:dyDescent="0.4">
      <c r="A1426" s="1">
        <v>1</v>
      </c>
      <c r="B1426" s="1" t="s">
        <v>1033</v>
      </c>
      <c r="C1426" s="1" t="s">
        <v>119</v>
      </c>
      <c r="D1426" s="2">
        <v>38937</v>
      </c>
      <c r="E1426" s="1">
        <v>220</v>
      </c>
      <c r="F1426" s="1">
        <v>10.5</v>
      </c>
      <c r="G1426" s="3">
        <v>0.69935185185185189</v>
      </c>
      <c r="H1426" s="3">
        <v>0.70843750000000005</v>
      </c>
      <c r="I1426" s="3">
        <v>9.0856481481481621E-3</v>
      </c>
      <c r="J1426" s="3">
        <v>1.6203703703709937E-4</v>
      </c>
      <c r="K1426" s="5">
        <f t="shared" si="107"/>
        <v>14</v>
      </c>
      <c r="L1426" s="3" t="s">
        <v>120</v>
      </c>
      <c r="N1426" s="1" t="s">
        <v>42</v>
      </c>
      <c r="O1426" s="1" t="s">
        <v>286</v>
      </c>
      <c r="P1426" s="1" t="s">
        <v>44</v>
      </c>
      <c r="Q1426" s="1" t="s">
        <v>76</v>
      </c>
      <c r="S1426" s="1" t="s">
        <v>451</v>
      </c>
      <c r="T1426" s="1" t="s">
        <v>45</v>
      </c>
      <c r="U1426" s="1" t="s">
        <v>66</v>
      </c>
      <c r="AB1426" s="1" t="s">
        <v>93</v>
      </c>
      <c r="AC1426" s="1">
        <v>1</v>
      </c>
      <c r="AG1426" s="1" t="s">
        <v>1133</v>
      </c>
      <c r="AI1426" s="1" t="s">
        <v>71</v>
      </c>
      <c r="AK1426" s="1" t="s">
        <v>86</v>
      </c>
      <c r="AL1426" s="1" t="s">
        <v>87</v>
      </c>
      <c r="AM1426" s="1">
        <v>6</v>
      </c>
      <c r="AN1426" s="1">
        <v>0</v>
      </c>
      <c r="AO1426" s="1">
        <f t="shared" si="108"/>
        <v>6</v>
      </c>
    </row>
    <row r="1427" spans="1:41" x14ac:dyDescent="0.4">
      <c r="A1427" s="1">
        <v>1</v>
      </c>
      <c r="B1427" s="1" t="s">
        <v>1033</v>
      </c>
      <c r="C1427" s="1" t="s">
        <v>119</v>
      </c>
      <c r="D1427" s="2">
        <v>38959</v>
      </c>
      <c r="E1427" s="1">
        <v>242</v>
      </c>
      <c r="F1427" s="1">
        <v>4</v>
      </c>
      <c r="G1427" s="3">
        <v>0.36054398148148148</v>
      </c>
      <c r="H1427" s="3">
        <v>0.36209490740740741</v>
      </c>
      <c r="I1427" s="3">
        <v>1.5509259259259278E-3</v>
      </c>
      <c r="J1427" s="3">
        <v>1.5509259259259278E-3</v>
      </c>
      <c r="K1427" s="5">
        <f t="shared" si="107"/>
        <v>134</v>
      </c>
      <c r="L1427" s="3">
        <v>9.490740740740744E-3</v>
      </c>
      <c r="N1427" s="1" t="s">
        <v>251</v>
      </c>
      <c r="O1427" s="1" t="s">
        <v>286</v>
      </c>
      <c r="P1427" s="1" t="s">
        <v>44</v>
      </c>
      <c r="Q1427" s="1" t="s">
        <v>76</v>
      </c>
      <c r="S1427" s="1" t="s">
        <v>451</v>
      </c>
      <c r="T1427" s="1" t="s">
        <v>47</v>
      </c>
      <c r="U1427" s="1" t="s">
        <v>156</v>
      </c>
      <c r="V1427" s="1" t="s">
        <v>49</v>
      </c>
      <c r="W1427" s="1" t="s">
        <v>50</v>
      </c>
      <c r="X1427" s="1" t="s">
        <v>96</v>
      </c>
      <c r="Y1427" s="1" t="s">
        <v>52</v>
      </c>
      <c r="Z1427" s="1" t="s">
        <v>53</v>
      </c>
      <c r="AA1427" s="1" t="s">
        <v>731</v>
      </c>
      <c r="AB1427" s="1" t="s">
        <v>732</v>
      </c>
      <c r="AC1427" s="1">
        <v>0</v>
      </c>
      <c r="AD1427" s="1" t="s">
        <v>56</v>
      </c>
      <c r="AE1427" s="1" t="s">
        <v>70</v>
      </c>
      <c r="AG1427" s="1" t="s">
        <v>1064</v>
      </c>
      <c r="AH1427" s="1" t="s">
        <v>59</v>
      </c>
      <c r="AI1427" s="1" t="s">
        <v>255</v>
      </c>
      <c r="AK1427" s="1" t="s">
        <v>86</v>
      </c>
      <c r="AL1427" s="1" t="s">
        <v>87</v>
      </c>
      <c r="AM1427" s="1">
        <v>4</v>
      </c>
      <c r="AN1427" s="1">
        <v>0</v>
      </c>
      <c r="AO1427" s="1">
        <f t="shared" si="108"/>
        <v>4</v>
      </c>
    </row>
    <row r="1428" spans="1:41" x14ac:dyDescent="0.4">
      <c r="A1428" s="1">
        <v>1</v>
      </c>
      <c r="B1428" s="1" t="s">
        <v>1033</v>
      </c>
      <c r="C1428" s="1" t="s">
        <v>119</v>
      </c>
      <c r="D1428" s="2">
        <v>38979</v>
      </c>
      <c r="E1428" s="1">
        <v>262</v>
      </c>
      <c r="F1428" s="1">
        <v>5</v>
      </c>
      <c r="G1428" s="3">
        <v>0.37841435185185185</v>
      </c>
      <c r="H1428" s="3">
        <v>0.37998842592592591</v>
      </c>
      <c r="I1428" s="3">
        <v>1.5740740740740611E-3</v>
      </c>
      <c r="J1428" s="3">
        <v>1.5740740740740611E-3</v>
      </c>
      <c r="K1428" s="5">
        <f t="shared" si="107"/>
        <v>136</v>
      </c>
      <c r="L1428" s="3">
        <v>3.9236111111111138E-3</v>
      </c>
      <c r="N1428" s="1" t="s">
        <v>42</v>
      </c>
      <c r="O1428" s="1" t="s">
        <v>286</v>
      </c>
      <c r="P1428" s="1" t="s">
        <v>44</v>
      </c>
      <c r="Q1428" s="1" t="s">
        <v>76</v>
      </c>
      <c r="S1428" s="1" t="s">
        <v>451</v>
      </c>
      <c r="T1428" s="1" t="s">
        <v>47</v>
      </c>
      <c r="U1428" s="1" t="s">
        <v>66</v>
      </c>
      <c r="V1428" s="1" t="s">
        <v>102</v>
      </c>
      <c r="W1428" s="1" t="s">
        <v>103</v>
      </c>
      <c r="X1428" s="1" t="s">
        <v>96</v>
      </c>
      <c r="AB1428" s="1" t="s">
        <v>104</v>
      </c>
      <c r="AC1428" s="1">
        <v>0</v>
      </c>
      <c r="AD1428" s="1" t="s">
        <v>56</v>
      </c>
      <c r="AE1428" s="1" t="s">
        <v>70</v>
      </c>
      <c r="AG1428" s="1" t="s">
        <v>1162</v>
      </c>
      <c r="AH1428" s="1" t="s">
        <v>157</v>
      </c>
      <c r="AI1428" s="1" t="s">
        <v>71</v>
      </c>
      <c r="AK1428" s="1" t="s">
        <v>86</v>
      </c>
      <c r="AL1428" s="1" t="s">
        <v>86</v>
      </c>
      <c r="AM1428" s="1">
        <v>8</v>
      </c>
      <c r="AN1428" s="1">
        <v>0</v>
      </c>
      <c r="AO1428" s="1">
        <f t="shared" si="108"/>
        <v>8</v>
      </c>
    </row>
    <row r="1429" spans="1:41" x14ac:dyDescent="0.4">
      <c r="A1429" s="1">
        <v>1</v>
      </c>
      <c r="B1429" s="1" t="s">
        <v>1033</v>
      </c>
      <c r="C1429" s="1" t="s">
        <v>119</v>
      </c>
      <c r="D1429" s="2">
        <v>38979</v>
      </c>
      <c r="E1429" s="1">
        <v>262</v>
      </c>
      <c r="F1429" s="1">
        <v>7.5</v>
      </c>
      <c r="G1429" s="3">
        <v>0.43621527777777774</v>
      </c>
      <c r="H1429" s="3">
        <v>0.43806712962962963</v>
      </c>
      <c r="I1429" s="3">
        <v>1.8518518518518823E-3</v>
      </c>
      <c r="J1429" s="3">
        <v>1.8518518518518823E-3</v>
      </c>
      <c r="K1429" s="5">
        <f t="shared" si="107"/>
        <v>160</v>
      </c>
      <c r="L1429" s="3">
        <v>8.6921296296296191E-3</v>
      </c>
      <c r="N1429" s="1" t="s">
        <v>42</v>
      </c>
      <c r="O1429" s="1" t="s">
        <v>286</v>
      </c>
      <c r="P1429" s="1" t="s">
        <v>44</v>
      </c>
      <c r="Q1429" s="1" t="s">
        <v>76</v>
      </c>
      <c r="S1429" s="1" t="s">
        <v>451</v>
      </c>
      <c r="T1429" s="1" t="s">
        <v>47</v>
      </c>
      <c r="U1429" s="1" t="s">
        <v>156</v>
      </c>
      <c r="V1429" s="1" t="s">
        <v>49</v>
      </c>
      <c r="W1429" s="1" t="s">
        <v>77</v>
      </c>
      <c r="X1429" s="1" t="s">
        <v>375</v>
      </c>
      <c r="Y1429" s="1" t="s">
        <v>376</v>
      </c>
      <c r="Z1429" s="1">
        <v>2</v>
      </c>
      <c r="AB1429" s="1" t="s">
        <v>377</v>
      </c>
      <c r="AC1429" s="1">
        <v>0</v>
      </c>
      <c r="AD1429" s="1" t="s">
        <v>56</v>
      </c>
      <c r="AE1429" s="1" t="s">
        <v>83</v>
      </c>
      <c r="AH1429" s="1" t="s">
        <v>59</v>
      </c>
      <c r="AI1429" s="1" t="s">
        <v>75</v>
      </c>
      <c r="AK1429" s="1" t="s">
        <v>61</v>
      </c>
      <c r="AL1429" s="1" t="s">
        <v>133</v>
      </c>
      <c r="AN1429" s="1">
        <v>1</v>
      </c>
      <c r="AO1429" s="1">
        <f t="shared" si="108"/>
        <v>1</v>
      </c>
    </row>
    <row r="1430" spans="1:41" x14ac:dyDescent="0.4">
      <c r="A1430" s="1">
        <v>1</v>
      </c>
      <c r="B1430" s="1" t="s">
        <v>1033</v>
      </c>
      <c r="C1430" s="1" t="s">
        <v>119</v>
      </c>
      <c r="D1430" s="2">
        <v>38979</v>
      </c>
      <c r="E1430" s="1">
        <v>262</v>
      </c>
      <c r="F1430" s="1">
        <v>10</v>
      </c>
      <c r="G1430" s="3">
        <v>0.47847222222222219</v>
      </c>
      <c r="H1430" s="3">
        <v>0.4798263888888889</v>
      </c>
      <c r="I1430" s="3">
        <v>1.3541666666667118E-3</v>
      </c>
      <c r="J1430" s="3">
        <v>1.3541666666667118E-3</v>
      </c>
      <c r="K1430" s="5">
        <f t="shared" si="107"/>
        <v>117</v>
      </c>
      <c r="L1430" s="3">
        <v>9.0671296296296278E-2</v>
      </c>
      <c r="N1430" s="1" t="s">
        <v>42</v>
      </c>
      <c r="O1430" s="1" t="s">
        <v>286</v>
      </c>
      <c r="P1430" s="1" t="s">
        <v>44</v>
      </c>
      <c r="Q1430" s="1" t="s">
        <v>45</v>
      </c>
      <c r="S1430" s="1" t="s">
        <v>451</v>
      </c>
      <c r="T1430" s="1" t="s">
        <v>45</v>
      </c>
      <c r="U1430" s="1" t="s">
        <v>66</v>
      </c>
      <c r="V1430" s="1" t="s">
        <v>102</v>
      </c>
      <c r="W1430" s="1" t="s">
        <v>103</v>
      </c>
      <c r="X1430" s="1" t="s">
        <v>96</v>
      </c>
      <c r="AB1430" s="1" t="s">
        <v>104</v>
      </c>
      <c r="AC1430" s="1">
        <v>0</v>
      </c>
      <c r="AD1430" s="1" t="s">
        <v>105</v>
      </c>
      <c r="AE1430" s="1" t="s">
        <v>70</v>
      </c>
      <c r="AG1430" s="1" t="s">
        <v>1131</v>
      </c>
      <c r="AH1430" s="1" t="s">
        <v>157</v>
      </c>
      <c r="AI1430" s="1" t="s">
        <v>71</v>
      </c>
      <c r="AK1430" s="1" t="s">
        <v>86</v>
      </c>
      <c r="AL1430" s="1" t="s">
        <v>87</v>
      </c>
      <c r="AM1430" s="1">
        <v>6</v>
      </c>
      <c r="AN1430" s="1">
        <v>0</v>
      </c>
      <c r="AO1430" s="1">
        <f t="shared" si="108"/>
        <v>6</v>
      </c>
    </row>
    <row r="1431" spans="1:41" x14ac:dyDescent="0.4">
      <c r="A1431" s="1">
        <v>1</v>
      </c>
      <c r="B1431" s="1" t="s">
        <v>1033</v>
      </c>
      <c r="C1431" s="1" t="s">
        <v>119</v>
      </c>
      <c r="D1431" s="2">
        <v>38979</v>
      </c>
      <c r="E1431" s="1">
        <v>262</v>
      </c>
      <c r="F1431" s="1">
        <v>13</v>
      </c>
      <c r="G1431" s="3">
        <v>0.57049768518518518</v>
      </c>
      <c r="H1431" s="3">
        <v>0.57145833333333329</v>
      </c>
      <c r="I1431" s="3">
        <v>9.6064814814811328E-4</v>
      </c>
      <c r="J1431" s="3">
        <v>9.6064814814811328E-4</v>
      </c>
      <c r="K1431" s="5">
        <f t="shared" si="107"/>
        <v>83</v>
      </c>
      <c r="L1431" s="3">
        <v>8.4259259259259478E-3</v>
      </c>
      <c r="N1431" s="1" t="s">
        <v>42</v>
      </c>
      <c r="O1431" s="1" t="s">
        <v>286</v>
      </c>
      <c r="P1431" s="1" t="s">
        <v>44</v>
      </c>
      <c r="S1431" s="1" t="s">
        <v>451</v>
      </c>
      <c r="T1431" s="1" t="s">
        <v>47</v>
      </c>
      <c r="U1431" s="1" t="s">
        <v>48</v>
      </c>
      <c r="V1431" s="1" t="s">
        <v>49</v>
      </c>
      <c r="W1431" s="1" t="s">
        <v>77</v>
      </c>
      <c r="X1431" s="1" t="s">
        <v>309</v>
      </c>
      <c r="Y1431" s="1" t="s">
        <v>79</v>
      </c>
      <c r="Z1431" s="1" t="s">
        <v>656</v>
      </c>
      <c r="AA1431" s="1" t="s">
        <v>657</v>
      </c>
      <c r="AB1431" s="1" t="s">
        <v>658</v>
      </c>
      <c r="AC1431" s="1">
        <v>0</v>
      </c>
      <c r="AD1431" s="1" t="s">
        <v>56</v>
      </c>
      <c r="AE1431" s="1" t="s">
        <v>83</v>
      </c>
      <c r="AG1431" s="1" t="s">
        <v>1136</v>
      </c>
      <c r="AH1431" s="1" t="s">
        <v>115</v>
      </c>
      <c r="AI1431" s="1" t="s">
        <v>60</v>
      </c>
      <c r="AK1431" s="1" t="s">
        <v>86</v>
      </c>
      <c r="AL1431" s="1" t="s">
        <v>133</v>
      </c>
      <c r="AM1431" s="1">
        <v>10</v>
      </c>
      <c r="AN1431" s="1">
        <v>0</v>
      </c>
      <c r="AO1431" s="1">
        <f t="shared" si="108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M132"/>
  <sheetViews>
    <sheetView topLeftCell="J1" workbookViewId="0">
      <pane ySplit="2" topLeftCell="A87" activePane="bottomLeft" state="frozen"/>
      <selection activeCell="AX1" sqref="AX1"/>
      <selection pane="bottomLeft" activeCell="BA97" sqref="BA97"/>
    </sheetView>
  </sheetViews>
  <sheetFormatPr defaultColWidth="9.15234375" defaultRowHeight="14.6" x14ac:dyDescent="0.4"/>
  <cols>
    <col min="1" max="1" width="6.3828125" style="8" bestFit="1" customWidth="1"/>
    <col min="2" max="2" width="8.53515625" style="8" bestFit="1" customWidth="1"/>
    <col min="3" max="3" width="12.3046875" style="8" bestFit="1" customWidth="1"/>
    <col min="4" max="4" width="12" style="8" bestFit="1" customWidth="1"/>
    <col min="5" max="5" width="7.15234375" style="8" bestFit="1" customWidth="1"/>
    <col min="6" max="6" width="12" style="9" bestFit="1" customWidth="1"/>
    <col min="7" max="7" width="12" style="8" bestFit="1" customWidth="1"/>
    <col min="8" max="8" width="12" style="9" bestFit="1" customWidth="1"/>
    <col min="9" max="9" width="5.15234375" style="8" bestFit="1" customWidth="1"/>
    <col min="10" max="10" width="12" style="9" bestFit="1" customWidth="1"/>
    <col min="11" max="11" width="8" style="8" bestFit="1" customWidth="1"/>
    <col min="12" max="12" width="12" style="9" bestFit="1" customWidth="1"/>
    <col min="13" max="13" width="6.3046875" style="8" bestFit="1" customWidth="1"/>
    <col min="14" max="14" width="12" style="9" bestFit="1" customWidth="1"/>
    <col min="15" max="15" width="12" style="8" bestFit="1" customWidth="1"/>
    <col min="16" max="16" width="12" style="9" bestFit="1" customWidth="1"/>
    <col min="17" max="17" width="9.3046875" style="8" bestFit="1" customWidth="1"/>
    <col min="18" max="18" width="12" style="9" bestFit="1" customWidth="1"/>
    <col min="19" max="19" width="12" style="8" bestFit="1" customWidth="1"/>
    <col min="20" max="20" width="12" style="9" bestFit="1" customWidth="1"/>
    <col min="21" max="21" width="9.3828125" style="8" bestFit="1" customWidth="1"/>
    <col min="22" max="22" width="12" style="9" bestFit="1" customWidth="1"/>
    <col min="23" max="23" width="10.3828125" style="8" bestFit="1" customWidth="1"/>
    <col min="24" max="24" width="12" style="9" bestFit="1" customWidth="1"/>
    <col min="25" max="25" width="4.69140625" style="8" bestFit="1" customWidth="1"/>
    <col min="26" max="26" width="12" style="9" bestFit="1" customWidth="1"/>
    <col min="27" max="27" width="12" style="8" bestFit="1" customWidth="1"/>
    <col min="28" max="28" width="12" style="9" bestFit="1" customWidth="1"/>
    <col min="29" max="29" width="8" style="8" bestFit="1" customWidth="1"/>
    <col min="30" max="30" width="12" style="9" bestFit="1" customWidth="1"/>
    <col min="31" max="31" width="12" style="8" bestFit="1" customWidth="1"/>
    <col min="32" max="32" width="12" style="9" bestFit="1" customWidth="1"/>
    <col min="33" max="33" width="11.3046875" style="8" bestFit="1" customWidth="1"/>
    <col min="34" max="34" width="12.3828125" style="9" bestFit="1" customWidth="1"/>
    <col min="35" max="35" width="12.3046875" style="8" bestFit="1" customWidth="1"/>
    <col min="36" max="36" width="12.3046875" style="9" customWidth="1"/>
    <col min="37" max="40" width="12.3046875" style="17" customWidth="1"/>
    <col min="41" max="41" width="8.3828125" style="8" bestFit="1" customWidth="1"/>
    <col min="42" max="42" width="12" style="9" bestFit="1" customWidth="1"/>
    <col min="43" max="43" width="9.3828125" style="8" bestFit="1" customWidth="1"/>
    <col min="44" max="44" width="12" style="9" bestFit="1" customWidth="1"/>
    <col min="45" max="45" width="7.84375" style="8" bestFit="1" customWidth="1"/>
    <col min="46" max="46" width="12" style="9" bestFit="1" customWidth="1"/>
    <col min="47" max="47" width="12" style="8" bestFit="1" customWidth="1"/>
    <col min="48" max="48" width="12" style="9" bestFit="1" customWidth="1"/>
    <col min="49" max="49" width="10.3828125" style="8" bestFit="1" customWidth="1"/>
    <col min="50" max="50" width="12.84375" style="9" bestFit="1" customWidth="1"/>
    <col min="51" max="51" width="12" style="9" bestFit="1" customWidth="1"/>
    <col min="52" max="52" width="11.84375" style="8" bestFit="1" customWidth="1"/>
    <col min="53" max="53" width="16.69140625" style="9" bestFit="1" customWidth="1"/>
    <col min="54" max="54" width="15.53515625" style="9" bestFit="1" customWidth="1"/>
    <col min="55" max="55" width="13.69140625" style="8" bestFit="1" customWidth="1"/>
    <col min="56" max="56" width="14.84375" style="9" bestFit="1" customWidth="1"/>
    <col min="57" max="57" width="16" style="9" bestFit="1" customWidth="1"/>
    <col min="58" max="58" width="13.3828125" style="8" bestFit="1" customWidth="1"/>
    <col min="59" max="59" width="14.53515625" style="9" bestFit="1" customWidth="1"/>
    <col min="60" max="60" width="16" style="9" bestFit="1" customWidth="1"/>
    <col min="61" max="61" width="21.15234375" style="8" bestFit="1" customWidth="1"/>
    <col min="62" max="62" width="12" style="8" bestFit="1" customWidth="1"/>
    <col min="63" max="63" width="12" style="9" bestFit="1" customWidth="1"/>
    <col min="64" max="64" width="12.84375" style="8" bestFit="1" customWidth="1"/>
    <col min="65" max="65" width="15.3828125" style="9" bestFit="1" customWidth="1"/>
    <col min="66" max="16384" width="9.15234375" style="8"/>
  </cols>
  <sheetData>
    <row r="1" spans="1:65" x14ac:dyDescent="0.4">
      <c r="A1" s="13" t="s">
        <v>1285</v>
      </c>
      <c r="AK1" s="17" t="s">
        <v>1290</v>
      </c>
      <c r="AL1" s="17" t="s">
        <v>1292</v>
      </c>
      <c r="AM1" s="17" t="s">
        <v>1292</v>
      </c>
      <c r="AN1" s="17" t="s">
        <v>1292</v>
      </c>
    </row>
    <row r="2" spans="1:65" x14ac:dyDescent="0.4">
      <c r="A2" s="8" t="s">
        <v>1</v>
      </c>
      <c r="B2" s="8" t="s">
        <v>4</v>
      </c>
      <c r="C2" s="8" t="s">
        <v>1233</v>
      </c>
      <c r="D2" s="8" t="s">
        <v>1234</v>
      </c>
      <c r="E2" s="8" t="s">
        <v>297</v>
      </c>
      <c r="F2" s="9" t="s">
        <v>1258</v>
      </c>
      <c r="G2" s="8" t="s">
        <v>1235</v>
      </c>
      <c r="H2" s="9" t="s">
        <v>1235</v>
      </c>
      <c r="I2" s="8" t="s">
        <v>49</v>
      </c>
      <c r="J2" s="9" t="s">
        <v>1259</v>
      </c>
      <c r="K2" s="8" t="s">
        <v>1236</v>
      </c>
      <c r="L2" s="9" t="s">
        <v>1236</v>
      </c>
      <c r="M2" s="8" t="s">
        <v>67</v>
      </c>
      <c r="N2" s="9" t="s">
        <v>1260</v>
      </c>
      <c r="O2" s="8" t="s">
        <v>1237</v>
      </c>
      <c r="P2" s="9" t="s">
        <v>1237</v>
      </c>
      <c r="Q2" s="8" t="s">
        <v>1238</v>
      </c>
      <c r="R2" s="9" t="s">
        <v>1261</v>
      </c>
      <c r="S2" s="8" t="s">
        <v>1239</v>
      </c>
      <c r="T2" s="9" t="s">
        <v>1239</v>
      </c>
      <c r="U2" s="8" t="s">
        <v>1240</v>
      </c>
      <c r="V2" s="9" t="s">
        <v>1262</v>
      </c>
      <c r="W2" s="8" t="s">
        <v>1241</v>
      </c>
      <c r="X2" s="9" t="s">
        <v>1241</v>
      </c>
      <c r="Y2" s="8" t="s">
        <v>181</v>
      </c>
      <c r="Z2" s="9" t="s">
        <v>1263</v>
      </c>
      <c r="AA2" s="8" t="s">
        <v>1242</v>
      </c>
      <c r="AB2" s="9" t="s">
        <v>1242</v>
      </c>
      <c r="AC2" s="8" t="s">
        <v>1243</v>
      </c>
      <c r="AD2" s="9" t="s">
        <v>1264</v>
      </c>
      <c r="AE2" s="8" t="s">
        <v>1244</v>
      </c>
      <c r="AF2" s="9" t="s">
        <v>1244</v>
      </c>
      <c r="AG2" s="8" t="s">
        <v>1245</v>
      </c>
      <c r="AH2" s="9" t="s">
        <v>1265</v>
      </c>
      <c r="AI2" s="8" t="s">
        <v>1246</v>
      </c>
      <c r="AJ2" s="9" t="s">
        <v>1246</v>
      </c>
      <c r="AK2" s="17" t="s">
        <v>1291</v>
      </c>
      <c r="AL2" s="17" t="s">
        <v>1293</v>
      </c>
      <c r="AM2" s="17" t="s">
        <v>1294</v>
      </c>
      <c r="AN2" s="17" t="s">
        <v>1295</v>
      </c>
      <c r="AO2" s="8" t="s">
        <v>1247</v>
      </c>
      <c r="AP2" s="9" t="s">
        <v>1266</v>
      </c>
      <c r="AQ2" s="8" t="s">
        <v>1248</v>
      </c>
      <c r="AR2" s="9" t="s">
        <v>1248</v>
      </c>
      <c r="AS2" s="8" t="s">
        <v>1249</v>
      </c>
      <c r="AT2" s="9" t="s">
        <v>1267</v>
      </c>
      <c r="AU2" s="8" t="s">
        <v>1250</v>
      </c>
      <c r="AV2" s="9" t="s">
        <v>1250</v>
      </c>
      <c r="AW2" s="8" t="s">
        <v>1251</v>
      </c>
      <c r="AX2" s="9" t="s">
        <v>1268</v>
      </c>
      <c r="AY2" s="9" t="s">
        <v>1269</v>
      </c>
      <c r="AZ2" s="8" t="s">
        <v>1252</v>
      </c>
      <c r="BA2" s="9" t="s">
        <v>1270</v>
      </c>
      <c r="BB2" s="9" t="s">
        <v>1271</v>
      </c>
      <c r="BC2" s="8" t="s">
        <v>1253</v>
      </c>
      <c r="BD2" s="9" t="s">
        <v>1272</v>
      </c>
      <c r="BE2" s="9" t="s">
        <v>1284</v>
      </c>
      <c r="BF2" s="8" t="s">
        <v>1254</v>
      </c>
      <c r="BG2" s="9" t="s">
        <v>1273</v>
      </c>
      <c r="BH2" s="9" t="s">
        <v>1284</v>
      </c>
      <c r="BI2" s="8" t="s">
        <v>1255</v>
      </c>
      <c r="BJ2" s="8" t="s">
        <v>1256</v>
      </c>
      <c r="BK2" s="9" t="s">
        <v>1274</v>
      </c>
      <c r="BL2" s="8" t="s">
        <v>1257</v>
      </c>
      <c r="BM2" s="9" t="s">
        <v>1275</v>
      </c>
    </row>
    <row r="3" spans="1:65" x14ac:dyDescent="0.4">
      <c r="A3" s="8">
        <v>1</v>
      </c>
      <c r="B3" s="8">
        <v>27</v>
      </c>
      <c r="C3" s="8">
        <v>8</v>
      </c>
      <c r="D3" s="8">
        <v>3099</v>
      </c>
      <c r="F3" s="9">
        <f>E3/$C3</f>
        <v>0</v>
      </c>
      <c r="H3" s="9">
        <f>G3/$D3</f>
        <v>0</v>
      </c>
      <c r="I3" s="8">
        <v>4</v>
      </c>
      <c r="J3" s="9">
        <f>I3/$C3</f>
        <v>0.5</v>
      </c>
      <c r="K3" s="8">
        <v>1962</v>
      </c>
      <c r="L3" s="9">
        <f>K3/$D3</f>
        <v>0.63310745401742496</v>
      </c>
      <c r="M3" s="8">
        <v>1</v>
      </c>
      <c r="N3" s="9">
        <f>M3/$C3</f>
        <v>0.125</v>
      </c>
      <c r="O3" s="8">
        <v>185</v>
      </c>
      <c r="P3" s="9">
        <f>O3/$D3</f>
        <v>5.969667634720878E-2</v>
      </c>
      <c r="Q3" s="8">
        <v>2</v>
      </c>
      <c r="R3" s="9">
        <f>Q3/$C3</f>
        <v>0.25</v>
      </c>
      <c r="S3" s="8">
        <v>378</v>
      </c>
      <c r="T3" s="9">
        <f>S3/$D3</f>
        <v>0.12197483059051308</v>
      </c>
      <c r="U3" s="8">
        <v>1</v>
      </c>
      <c r="V3" s="9">
        <f>U3/$C3</f>
        <v>0.125</v>
      </c>
      <c r="W3" s="8">
        <v>574</v>
      </c>
      <c r="X3" s="9">
        <f>W3/$D3</f>
        <v>0.18522103904485318</v>
      </c>
      <c r="Y3" s="8">
        <v>1</v>
      </c>
      <c r="Z3" s="9">
        <f>Y3/$C3</f>
        <v>0.125</v>
      </c>
      <c r="AA3" s="8">
        <v>375</v>
      </c>
      <c r="AB3" s="9">
        <f>AA3/$D3</f>
        <v>0.12100677637947725</v>
      </c>
      <c r="AC3" s="8">
        <v>7</v>
      </c>
      <c r="AD3" s="9">
        <f>AC3/$C3</f>
        <v>0.875</v>
      </c>
      <c r="AE3" s="8">
        <v>2724</v>
      </c>
      <c r="AF3" s="9">
        <f>AE3/$D3</f>
        <v>0.87899322362052279</v>
      </c>
      <c r="AG3" s="8">
        <v>3</v>
      </c>
      <c r="AH3" s="9">
        <f>AG3/$C3</f>
        <v>0.375</v>
      </c>
      <c r="AI3" s="8">
        <v>993</v>
      </c>
      <c r="AJ3" s="9">
        <f>AI3/$D3</f>
        <v>0.32042594385285578</v>
      </c>
      <c r="AK3" s="17">
        <f>IF(AG3&lt;&gt;0, AI3/AG3, "")</f>
        <v>331</v>
      </c>
      <c r="AL3" s="17">
        <f>C3-AG3</f>
        <v>5</v>
      </c>
      <c r="AM3" s="17">
        <f>D3-AI3</f>
        <v>2106</v>
      </c>
      <c r="AN3" s="17">
        <f t="shared" ref="AN3" si="0">IF(AL3&lt;&gt;0, AM3/AL3, "")</f>
        <v>421.2</v>
      </c>
      <c r="AO3" s="8">
        <v>5</v>
      </c>
      <c r="AP3" s="9">
        <f>AO3/$C3</f>
        <v>0.625</v>
      </c>
      <c r="AQ3" s="8">
        <v>2106</v>
      </c>
      <c r="AR3" s="9">
        <f>AQ3/$D3</f>
        <v>0.67957405614714428</v>
      </c>
      <c r="AT3" s="9">
        <f>AS3/$C3</f>
        <v>0</v>
      </c>
      <c r="AV3" s="9">
        <f>AU3/$D3</f>
        <v>0</v>
      </c>
      <c r="AX3" s="9">
        <f>IF(SUM($AO3, $AS3)&lt;&gt;0, AW3/SUM($AO3,$AS3), 0)</f>
        <v>0</v>
      </c>
      <c r="AY3" s="9">
        <f>AW3/$C3</f>
        <v>0</v>
      </c>
      <c r="AZ3" s="8">
        <v>5</v>
      </c>
      <c r="BA3" s="9">
        <f>IF(SUM($AO3, $AS3)&lt;&gt;0, AZ3/SUM($AO3,$AS3), 0)</f>
        <v>1</v>
      </c>
      <c r="BB3" s="9">
        <f>AZ3/$C3</f>
        <v>0.625</v>
      </c>
      <c r="BD3" s="9">
        <f>IF(($AW3-$BI3)&lt;&gt;0, BC3/($AW3-$BI3), 0)</f>
        <v>0</v>
      </c>
      <c r="BE3" s="9" t="str">
        <f>IF($AW3="", "", BD3)</f>
        <v/>
      </c>
      <c r="BG3" s="9">
        <f>IF(($AW3-$BI3)&lt;&gt;0, BF3/($AW3-$BI3), 0)</f>
        <v>0</v>
      </c>
      <c r="BH3" s="9" t="str">
        <f>IF($AW3="", "", BG3)</f>
        <v/>
      </c>
      <c r="BK3" s="9">
        <f>BJ3/$D3</f>
        <v>0</v>
      </c>
      <c r="BL3" s="8">
        <v>2106</v>
      </c>
      <c r="BM3" s="9">
        <f>BL3/$D3</f>
        <v>0.67957405614714428</v>
      </c>
    </row>
    <row r="4" spans="1:65" x14ac:dyDescent="0.4">
      <c r="A4" s="8">
        <v>1</v>
      </c>
      <c r="B4" s="8">
        <v>38</v>
      </c>
      <c r="C4" s="8">
        <v>5</v>
      </c>
      <c r="D4" s="8">
        <v>2264</v>
      </c>
      <c r="F4" s="9">
        <f t="shared" ref="F4:F67" si="1">E4/$C4</f>
        <v>0</v>
      </c>
      <c r="H4" s="9">
        <f t="shared" ref="H4:H67" si="2">G4/$D4</f>
        <v>0</v>
      </c>
      <c r="I4" s="8">
        <v>2</v>
      </c>
      <c r="J4" s="9">
        <f>I4/$C4</f>
        <v>0.4</v>
      </c>
      <c r="K4" s="8">
        <v>2204</v>
      </c>
      <c r="L4" s="9">
        <f>K4/$D4</f>
        <v>0.97349823321554774</v>
      </c>
      <c r="M4" s="8">
        <v>3</v>
      </c>
      <c r="N4" s="9">
        <f>M4/$C4</f>
        <v>0.6</v>
      </c>
      <c r="O4" s="8">
        <v>60</v>
      </c>
      <c r="P4" s="9">
        <f>O4/$D4</f>
        <v>2.6501766784452298E-2</v>
      </c>
      <c r="R4" s="9">
        <f>Q4/$C4</f>
        <v>0</v>
      </c>
      <c r="T4" s="9">
        <f>S4/$D4</f>
        <v>0</v>
      </c>
      <c r="V4" s="9">
        <f>U4/$C4</f>
        <v>0</v>
      </c>
      <c r="X4" s="9">
        <f>W4/$D4</f>
        <v>0</v>
      </c>
      <c r="Z4" s="9">
        <f>Y4/$C4</f>
        <v>0</v>
      </c>
      <c r="AB4" s="9">
        <f>AA4/$D4</f>
        <v>0</v>
      </c>
      <c r="AC4" s="8">
        <v>5</v>
      </c>
      <c r="AD4" s="9">
        <f>AC4/$C4</f>
        <v>1</v>
      </c>
      <c r="AE4" s="8">
        <v>2264</v>
      </c>
      <c r="AF4" s="9">
        <f>AE4/$D4</f>
        <v>1</v>
      </c>
      <c r="AG4" s="8">
        <v>2</v>
      </c>
      <c r="AH4" s="9">
        <f>AG4/$C4</f>
        <v>0.4</v>
      </c>
      <c r="AI4" s="8">
        <v>2204</v>
      </c>
      <c r="AJ4" s="9">
        <f>AI4/$D4</f>
        <v>0.97349823321554774</v>
      </c>
      <c r="AK4" s="17">
        <f t="shared" ref="AK4:AK67" si="3">IF(AG4&lt;&gt;0, AI4/AG4, "")</f>
        <v>1102</v>
      </c>
      <c r="AL4" s="17">
        <f t="shared" ref="AL4:AL67" si="4">C4-AG4</f>
        <v>3</v>
      </c>
      <c r="AM4" s="17">
        <f t="shared" ref="AM4:AM67" si="5">D4-AI4</f>
        <v>60</v>
      </c>
      <c r="AN4" s="17">
        <f t="shared" ref="AN4:AN67" si="6">IF(AL4&lt;&gt;0, AM4/AL4, "")</f>
        <v>20</v>
      </c>
      <c r="AO4" s="8">
        <v>3</v>
      </c>
      <c r="AP4" s="9">
        <f>AO4/$C4</f>
        <v>0.6</v>
      </c>
      <c r="AQ4" s="8">
        <v>60</v>
      </c>
      <c r="AR4" s="9">
        <f>AQ4/$D4</f>
        <v>2.6501766784452298E-2</v>
      </c>
      <c r="AT4" s="9">
        <f>AS4/$C4</f>
        <v>0</v>
      </c>
      <c r="AV4" s="9">
        <f>AU4/$D4</f>
        <v>0</v>
      </c>
      <c r="AX4" s="9">
        <f>IF(SUM($AO4, $AS4)&lt;&gt;0, AW4/SUM($AO4,$AS4), 0)</f>
        <v>0</v>
      </c>
      <c r="AY4" s="9">
        <f>AW4/$C4</f>
        <v>0</v>
      </c>
      <c r="AZ4" s="8">
        <v>3</v>
      </c>
      <c r="BA4" s="9">
        <f t="shared" ref="BA4:BA20" si="7">IF(SUM($AO4, $AS4)&lt;&gt;0, AZ4/SUM($AO4,$AS4), 0)</f>
        <v>1</v>
      </c>
      <c r="BB4" s="9">
        <f t="shared" ref="BB4:BB6" si="8">AZ4/$C4</f>
        <v>0.6</v>
      </c>
      <c r="BD4" s="9">
        <f t="shared" ref="BD4:BD67" si="9">IF(($AW4-$BI4)&lt;&gt;0, BC4/($AW4-$BI4), 0)</f>
        <v>0</v>
      </c>
      <c r="BE4" s="9" t="str">
        <f t="shared" ref="BE4:BE67" si="10">IF($AW4="", "", BD4)</f>
        <v/>
      </c>
      <c r="BG4" s="9">
        <f>IF(($AW4-$BI4)&lt;&gt;0, BF4/($AW4-$BI4), 0)</f>
        <v>0</v>
      </c>
      <c r="BH4" s="9" t="str">
        <f>IF($AW4="", "", BG4)</f>
        <v/>
      </c>
      <c r="BK4" s="9">
        <f t="shared" ref="BK4:BK67" si="11">BJ4/$D4</f>
        <v>0</v>
      </c>
      <c r="BL4" s="8">
        <v>60</v>
      </c>
      <c r="BM4" s="9">
        <f t="shared" ref="BM4:BM67" si="12">BL4/$D4</f>
        <v>2.6501766784452298E-2</v>
      </c>
    </row>
    <row r="5" spans="1:65" x14ac:dyDescent="0.4">
      <c r="A5" s="8">
        <v>1</v>
      </c>
      <c r="B5" s="8">
        <v>46</v>
      </c>
      <c r="C5" s="8">
        <v>6</v>
      </c>
      <c r="D5" s="8">
        <v>4478</v>
      </c>
      <c r="F5" s="9">
        <f t="shared" si="1"/>
        <v>0</v>
      </c>
      <c r="H5" s="9">
        <f t="shared" si="2"/>
        <v>0</v>
      </c>
      <c r="I5" s="8">
        <v>4</v>
      </c>
      <c r="J5" s="9">
        <f t="shared" ref="J5:J68" si="13">I5/$C5</f>
        <v>0.66666666666666663</v>
      </c>
      <c r="K5" s="8">
        <v>4399</v>
      </c>
      <c r="L5" s="9">
        <f t="shared" ref="L5:L68" si="14">K5/$D5</f>
        <v>0.98235819562304605</v>
      </c>
      <c r="N5" s="9">
        <f t="shared" ref="N5:N68" si="15">M5/$C5</f>
        <v>0</v>
      </c>
      <c r="P5" s="9">
        <f t="shared" ref="P5:P68" si="16">O5/$D5</f>
        <v>0</v>
      </c>
      <c r="Q5" s="8">
        <v>1</v>
      </c>
      <c r="R5" s="9">
        <f t="shared" ref="R5:R68" si="17">Q5/$C5</f>
        <v>0.16666666666666666</v>
      </c>
      <c r="S5" s="8">
        <v>67</v>
      </c>
      <c r="T5" s="9">
        <f t="shared" ref="T5:T68" si="18">S5/$D5</f>
        <v>1.4962036623492631E-2</v>
      </c>
      <c r="U5" s="8">
        <v>1</v>
      </c>
      <c r="V5" s="9">
        <f t="shared" ref="V5:V68" si="19">U5/$C5</f>
        <v>0.16666666666666666</v>
      </c>
      <c r="W5" s="8">
        <v>12</v>
      </c>
      <c r="X5" s="9">
        <f>W5/$D5</f>
        <v>2.6797677534613666E-3</v>
      </c>
      <c r="Y5" s="8">
        <v>3</v>
      </c>
      <c r="Z5" s="9">
        <f>Y5/$C5</f>
        <v>0.5</v>
      </c>
      <c r="AA5" s="8">
        <v>3397</v>
      </c>
      <c r="AB5" s="9">
        <f>AA5/$D5</f>
        <v>0.7585975882090219</v>
      </c>
      <c r="AC5" s="8">
        <v>3</v>
      </c>
      <c r="AD5" s="9">
        <f>AC5/$C5</f>
        <v>0.5</v>
      </c>
      <c r="AE5" s="8">
        <v>1081</v>
      </c>
      <c r="AF5" s="9">
        <f>AE5/$D5</f>
        <v>0.24140241179097813</v>
      </c>
      <c r="AG5" s="8">
        <v>5</v>
      </c>
      <c r="AH5" s="9">
        <f>AG5/$C5</f>
        <v>0.83333333333333337</v>
      </c>
      <c r="AI5" s="8">
        <v>4466</v>
      </c>
      <c r="AJ5" s="9">
        <f>AI5/$D5</f>
        <v>0.99732023224653865</v>
      </c>
      <c r="AK5" s="17">
        <f t="shared" si="3"/>
        <v>893.2</v>
      </c>
      <c r="AL5" s="17">
        <f t="shared" si="4"/>
        <v>1</v>
      </c>
      <c r="AM5" s="17">
        <f t="shared" si="5"/>
        <v>12</v>
      </c>
      <c r="AN5" s="17">
        <f t="shared" si="6"/>
        <v>12</v>
      </c>
      <c r="AO5" s="8">
        <v>1</v>
      </c>
      <c r="AP5" s="9">
        <f>AO5/$C5</f>
        <v>0.16666666666666666</v>
      </c>
      <c r="AQ5" s="8">
        <v>12</v>
      </c>
      <c r="AR5" s="9">
        <f>AQ5/$D5</f>
        <v>2.6797677534613666E-3</v>
      </c>
      <c r="AT5" s="9">
        <f>AS5/$C5</f>
        <v>0</v>
      </c>
      <c r="AV5" s="9">
        <f>AU5/$D5</f>
        <v>0</v>
      </c>
      <c r="AX5" s="9">
        <f t="shared" ref="AX5:AX20" si="20">IF(SUM($AO5, $AS5)&lt;&gt;0, AW5/SUM($AO5,$AS5), 0)</f>
        <v>0</v>
      </c>
      <c r="AY5" s="9">
        <f t="shared" ref="AY5:AY67" si="21">AW5/$C5</f>
        <v>0</v>
      </c>
      <c r="AZ5" s="8">
        <v>1</v>
      </c>
      <c r="BA5" s="9">
        <f t="shared" si="7"/>
        <v>1</v>
      </c>
      <c r="BB5" s="9">
        <f t="shared" si="8"/>
        <v>0.16666666666666666</v>
      </c>
      <c r="BD5" s="9">
        <f t="shared" si="9"/>
        <v>0</v>
      </c>
      <c r="BE5" s="9" t="str">
        <f t="shared" si="10"/>
        <v/>
      </c>
      <c r="BG5" s="9">
        <f>IF(($AW5-$BI5)&lt;&gt;0, BF5/($AW5-$BI5), 0)</f>
        <v>0</v>
      </c>
      <c r="BH5" s="9" t="str">
        <f t="shared" ref="BH5:BH67" si="22">IF($AW5="", "", BG5)</f>
        <v/>
      </c>
      <c r="BK5" s="9">
        <f t="shared" si="11"/>
        <v>0</v>
      </c>
      <c r="BL5" s="8">
        <v>12</v>
      </c>
      <c r="BM5" s="9">
        <f t="shared" si="12"/>
        <v>2.6797677534613666E-3</v>
      </c>
    </row>
    <row r="6" spans="1:65" x14ac:dyDescent="0.4">
      <c r="A6" s="8">
        <v>1</v>
      </c>
      <c r="B6" s="8">
        <v>68</v>
      </c>
      <c r="C6" s="8">
        <v>2</v>
      </c>
      <c r="D6" s="8">
        <v>2469</v>
      </c>
      <c r="F6" s="9">
        <f t="shared" si="1"/>
        <v>0</v>
      </c>
      <c r="H6" s="9">
        <f t="shared" si="2"/>
        <v>0</v>
      </c>
      <c r="I6" s="8">
        <v>2</v>
      </c>
      <c r="J6" s="9">
        <f t="shared" si="13"/>
        <v>1</v>
      </c>
      <c r="K6" s="8">
        <v>2469</v>
      </c>
      <c r="L6" s="9">
        <f t="shared" si="14"/>
        <v>1</v>
      </c>
      <c r="N6" s="9">
        <f t="shared" si="15"/>
        <v>0</v>
      </c>
      <c r="P6" s="9">
        <f t="shared" si="16"/>
        <v>0</v>
      </c>
      <c r="R6" s="9">
        <f t="shared" si="17"/>
        <v>0</v>
      </c>
      <c r="T6" s="9">
        <f t="shared" si="18"/>
        <v>0</v>
      </c>
      <c r="V6" s="9">
        <f t="shared" si="19"/>
        <v>0</v>
      </c>
      <c r="X6" s="9">
        <f t="shared" ref="X6:X69" si="23">W6/$D6</f>
        <v>0</v>
      </c>
      <c r="Y6" s="8">
        <v>1</v>
      </c>
      <c r="Z6" s="9">
        <f t="shared" ref="Z6:Z69" si="24">Y6/$C6</f>
        <v>0.5</v>
      </c>
      <c r="AA6" s="8">
        <v>2326</v>
      </c>
      <c r="AB6" s="9">
        <f t="shared" ref="AB6:AB69" si="25">AA6/$D6</f>
        <v>0.94208181449979744</v>
      </c>
      <c r="AC6" s="8">
        <v>1</v>
      </c>
      <c r="AD6" s="9">
        <f t="shared" ref="AD6:AD69" si="26">AC6/$C6</f>
        <v>0.5</v>
      </c>
      <c r="AE6" s="8">
        <v>143</v>
      </c>
      <c r="AF6" s="9">
        <f t="shared" ref="AF6:AF69" si="27">AE6/$D6</f>
        <v>5.7918185500202508E-2</v>
      </c>
      <c r="AG6" s="8">
        <v>2</v>
      </c>
      <c r="AH6" s="9">
        <f t="shared" ref="AH6:AH69" si="28">AG6/$C6</f>
        <v>1</v>
      </c>
      <c r="AI6" s="8">
        <v>2469</v>
      </c>
      <c r="AJ6" s="9">
        <f t="shared" ref="AJ6:AJ69" si="29">AI6/$D6</f>
        <v>1</v>
      </c>
      <c r="AK6" s="17">
        <f t="shared" si="3"/>
        <v>1234.5</v>
      </c>
      <c r="AL6" s="17">
        <f t="shared" si="4"/>
        <v>0</v>
      </c>
      <c r="AM6" s="17">
        <f t="shared" si="5"/>
        <v>0</v>
      </c>
      <c r="AN6" s="17" t="str">
        <f t="shared" si="6"/>
        <v/>
      </c>
      <c r="AP6" s="9">
        <f t="shared" ref="AP6:AP69" si="30">AO6/$C6</f>
        <v>0</v>
      </c>
      <c r="AR6" s="9">
        <f t="shared" ref="AR6:AR69" si="31">AQ6/$D6</f>
        <v>0</v>
      </c>
      <c r="AT6" s="9">
        <f t="shared" ref="AT6:AT69" si="32">AS6/$C6</f>
        <v>0</v>
      </c>
      <c r="AV6" s="9">
        <f t="shared" ref="AV6:AV69" si="33">AU6/$D6</f>
        <v>0</v>
      </c>
      <c r="AX6" s="9">
        <f t="shared" si="20"/>
        <v>0</v>
      </c>
      <c r="AY6" s="9">
        <f t="shared" si="21"/>
        <v>0</v>
      </c>
      <c r="BA6" s="9">
        <f t="shared" si="7"/>
        <v>0</v>
      </c>
      <c r="BB6" s="9">
        <f t="shared" si="8"/>
        <v>0</v>
      </c>
      <c r="BD6" s="9">
        <f t="shared" si="9"/>
        <v>0</v>
      </c>
      <c r="BE6" s="9" t="str">
        <f t="shared" si="10"/>
        <v/>
      </c>
      <c r="BG6" s="9">
        <f t="shared" ref="BG6:BG67" si="34">IF(($AW6-$BI6)&lt;&gt;0, BF6/($AW6-$BI6), 0)</f>
        <v>0</v>
      </c>
      <c r="BH6" s="9" t="str">
        <f t="shared" si="22"/>
        <v/>
      </c>
      <c r="BK6" s="9">
        <f t="shared" si="11"/>
        <v>0</v>
      </c>
      <c r="BM6" s="9">
        <f t="shared" si="12"/>
        <v>0</v>
      </c>
    </row>
    <row r="7" spans="1:65" x14ac:dyDescent="0.4">
      <c r="A7" s="8">
        <v>1</v>
      </c>
      <c r="B7" s="8">
        <v>79</v>
      </c>
      <c r="C7" s="8">
        <v>6</v>
      </c>
      <c r="D7" s="8">
        <v>2188</v>
      </c>
      <c r="F7" s="9">
        <f t="shared" si="1"/>
        <v>0</v>
      </c>
      <c r="H7" s="9">
        <f t="shared" si="2"/>
        <v>0</v>
      </c>
      <c r="I7" s="8">
        <v>4</v>
      </c>
      <c r="J7" s="9">
        <f t="shared" si="13"/>
        <v>0.66666666666666663</v>
      </c>
      <c r="K7" s="8">
        <v>2092</v>
      </c>
      <c r="L7" s="9">
        <f t="shared" si="14"/>
        <v>0.95612431444241319</v>
      </c>
      <c r="N7" s="9">
        <f t="shared" si="15"/>
        <v>0</v>
      </c>
      <c r="P7" s="9">
        <f t="shared" si="16"/>
        <v>0</v>
      </c>
      <c r="Q7" s="8">
        <v>2</v>
      </c>
      <c r="R7" s="9">
        <f t="shared" si="17"/>
        <v>0.33333333333333331</v>
      </c>
      <c r="S7" s="8">
        <v>96</v>
      </c>
      <c r="T7" s="9">
        <f t="shared" si="18"/>
        <v>4.3875685557586835E-2</v>
      </c>
      <c r="V7" s="9">
        <f t="shared" si="19"/>
        <v>0</v>
      </c>
      <c r="X7" s="9">
        <f t="shared" si="23"/>
        <v>0</v>
      </c>
      <c r="Y7" s="8">
        <v>4</v>
      </c>
      <c r="Z7" s="9">
        <f t="shared" si="24"/>
        <v>0.66666666666666663</v>
      </c>
      <c r="AA7" s="8">
        <v>2092</v>
      </c>
      <c r="AB7" s="9">
        <f t="shared" si="25"/>
        <v>0.95612431444241319</v>
      </c>
      <c r="AC7" s="8">
        <v>2</v>
      </c>
      <c r="AD7" s="9">
        <f t="shared" si="26"/>
        <v>0.33333333333333331</v>
      </c>
      <c r="AE7" s="8">
        <v>96</v>
      </c>
      <c r="AF7" s="9">
        <f t="shared" si="27"/>
        <v>4.3875685557586835E-2</v>
      </c>
      <c r="AG7" s="8">
        <v>3</v>
      </c>
      <c r="AH7" s="9">
        <f t="shared" si="28"/>
        <v>0.5</v>
      </c>
      <c r="AI7" s="8">
        <v>1630</v>
      </c>
      <c r="AJ7" s="9">
        <f t="shared" si="29"/>
        <v>0.74497257769652647</v>
      </c>
      <c r="AK7" s="17">
        <f t="shared" si="3"/>
        <v>543.33333333333337</v>
      </c>
      <c r="AL7" s="17">
        <f t="shared" si="4"/>
        <v>3</v>
      </c>
      <c r="AM7" s="17">
        <f t="shared" si="5"/>
        <v>558</v>
      </c>
      <c r="AN7" s="17">
        <f t="shared" si="6"/>
        <v>186</v>
      </c>
      <c r="AO7" s="8">
        <v>2</v>
      </c>
      <c r="AP7" s="9">
        <f t="shared" si="30"/>
        <v>0.33333333333333331</v>
      </c>
      <c r="AQ7" s="8">
        <v>96</v>
      </c>
      <c r="AR7" s="9">
        <f t="shared" si="31"/>
        <v>4.3875685557586835E-2</v>
      </c>
      <c r="AS7" s="8">
        <v>1</v>
      </c>
      <c r="AT7" s="9">
        <f t="shared" si="32"/>
        <v>0.16666666666666666</v>
      </c>
      <c r="AU7" s="8">
        <v>462</v>
      </c>
      <c r="AV7" s="9">
        <f t="shared" si="33"/>
        <v>0.21115173674588666</v>
      </c>
      <c r="AW7" s="8">
        <v>1</v>
      </c>
      <c r="AX7" s="9">
        <f t="shared" si="20"/>
        <v>0.33333333333333331</v>
      </c>
      <c r="AY7" s="9">
        <f>AW7/$C7</f>
        <v>0.16666666666666666</v>
      </c>
      <c r="AZ7" s="8">
        <v>2</v>
      </c>
      <c r="BA7" s="9">
        <f t="shared" si="7"/>
        <v>0.66666666666666663</v>
      </c>
      <c r="BB7" s="9">
        <f>AZ7/$C7</f>
        <v>0.33333333333333331</v>
      </c>
      <c r="BC7" s="8">
        <v>1</v>
      </c>
      <c r="BD7" s="9">
        <f t="shared" si="9"/>
        <v>1</v>
      </c>
      <c r="BE7" s="9">
        <f t="shared" si="10"/>
        <v>1</v>
      </c>
      <c r="BG7" s="9">
        <f t="shared" si="34"/>
        <v>0</v>
      </c>
      <c r="BH7" s="9">
        <f t="shared" si="22"/>
        <v>0</v>
      </c>
      <c r="BJ7" s="8">
        <v>462</v>
      </c>
      <c r="BK7" s="9">
        <f t="shared" si="11"/>
        <v>0.21115173674588666</v>
      </c>
      <c r="BL7" s="8">
        <v>96</v>
      </c>
      <c r="BM7" s="9">
        <f t="shared" si="12"/>
        <v>4.3875685557586835E-2</v>
      </c>
    </row>
    <row r="8" spans="1:65" x14ac:dyDescent="0.4">
      <c r="A8" s="8">
        <v>1</v>
      </c>
      <c r="B8" s="8">
        <v>80</v>
      </c>
      <c r="C8" s="8">
        <v>9</v>
      </c>
      <c r="D8" s="8">
        <v>3319</v>
      </c>
      <c r="F8" s="9">
        <f t="shared" si="1"/>
        <v>0</v>
      </c>
      <c r="H8" s="9">
        <f t="shared" si="2"/>
        <v>0</v>
      </c>
      <c r="I8" s="8">
        <v>3</v>
      </c>
      <c r="J8" s="9">
        <f t="shared" si="13"/>
        <v>0.33333333333333331</v>
      </c>
      <c r="K8" s="8">
        <v>2532</v>
      </c>
      <c r="L8" s="9">
        <f t="shared" si="14"/>
        <v>0.76288038565833083</v>
      </c>
      <c r="M8" s="8">
        <v>1</v>
      </c>
      <c r="N8" s="9">
        <f t="shared" si="15"/>
        <v>0.1111111111111111</v>
      </c>
      <c r="O8" s="8">
        <v>23</v>
      </c>
      <c r="P8" s="9">
        <f t="shared" si="16"/>
        <v>6.9297981319674604E-3</v>
      </c>
      <c r="Q8" s="8">
        <v>4</v>
      </c>
      <c r="R8" s="9">
        <f t="shared" si="17"/>
        <v>0.44444444444444442</v>
      </c>
      <c r="S8" s="8">
        <v>759</v>
      </c>
      <c r="T8" s="9">
        <f t="shared" si="18"/>
        <v>0.22868333835492619</v>
      </c>
      <c r="U8" s="8">
        <v>1</v>
      </c>
      <c r="V8" s="9">
        <f t="shared" si="19"/>
        <v>0.1111111111111111</v>
      </c>
      <c r="W8" s="8">
        <v>5</v>
      </c>
      <c r="X8" s="9">
        <f t="shared" si="23"/>
        <v>1.5064778547755348E-3</v>
      </c>
      <c r="Y8" s="8">
        <v>3</v>
      </c>
      <c r="Z8" s="9">
        <f t="shared" si="24"/>
        <v>0.33333333333333331</v>
      </c>
      <c r="AA8" s="8">
        <v>2532</v>
      </c>
      <c r="AB8" s="9">
        <f t="shared" si="25"/>
        <v>0.76288038565833083</v>
      </c>
      <c r="AC8" s="8">
        <v>6</v>
      </c>
      <c r="AD8" s="9">
        <f t="shared" si="26"/>
        <v>0.66666666666666663</v>
      </c>
      <c r="AE8" s="8">
        <v>787</v>
      </c>
      <c r="AF8" s="9">
        <f t="shared" si="27"/>
        <v>0.23711961434166917</v>
      </c>
      <c r="AG8" s="8">
        <v>6</v>
      </c>
      <c r="AH8" s="9">
        <f t="shared" si="28"/>
        <v>0.66666666666666663</v>
      </c>
      <c r="AI8" s="8">
        <v>3237</v>
      </c>
      <c r="AJ8" s="9">
        <f t="shared" si="29"/>
        <v>0.97529376318168126</v>
      </c>
      <c r="AK8" s="17">
        <f t="shared" si="3"/>
        <v>539.5</v>
      </c>
      <c r="AL8" s="17">
        <f t="shared" si="4"/>
        <v>3</v>
      </c>
      <c r="AM8" s="17">
        <f t="shared" si="5"/>
        <v>82</v>
      </c>
      <c r="AN8" s="17">
        <f t="shared" si="6"/>
        <v>27.333333333333332</v>
      </c>
      <c r="AO8" s="8">
        <v>1</v>
      </c>
      <c r="AP8" s="9">
        <f t="shared" si="30"/>
        <v>0.1111111111111111</v>
      </c>
      <c r="AQ8" s="8">
        <v>54</v>
      </c>
      <c r="AR8" s="9">
        <f t="shared" si="31"/>
        <v>1.6269960831575777E-2</v>
      </c>
      <c r="AS8" s="8">
        <v>2</v>
      </c>
      <c r="AT8" s="9">
        <f t="shared" si="32"/>
        <v>0.22222222222222221</v>
      </c>
      <c r="AU8" s="8">
        <v>28</v>
      </c>
      <c r="AV8" s="9">
        <f t="shared" si="33"/>
        <v>8.4362759867429946E-3</v>
      </c>
      <c r="AX8" s="9">
        <f t="shared" si="20"/>
        <v>0</v>
      </c>
      <c r="AY8" s="9">
        <f t="shared" si="21"/>
        <v>0</v>
      </c>
      <c r="AZ8" s="8">
        <v>3</v>
      </c>
      <c r="BA8" s="9">
        <f t="shared" si="7"/>
        <v>1</v>
      </c>
      <c r="BB8" s="9">
        <f t="shared" ref="BB8:BB71" si="35">AZ8/$C8</f>
        <v>0.33333333333333331</v>
      </c>
      <c r="BD8" s="9">
        <f t="shared" si="9"/>
        <v>0</v>
      </c>
      <c r="BE8" s="9" t="str">
        <f t="shared" si="10"/>
        <v/>
      </c>
      <c r="BG8" s="9">
        <f t="shared" si="34"/>
        <v>0</v>
      </c>
      <c r="BH8" s="9" t="str">
        <f t="shared" si="22"/>
        <v/>
      </c>
      <c r="BK8" s="9">
        <f t="shared" si="11"/>
        <v>0</v>
      </c>
      <c r="BL8" s="8">
        <v>82</v>
      </c>
      <c r="BM8" s="9">
        <f t="shared" si="12"/>
        <v>2.470623681831877E-2</v>
      </c>
    </row>
    <row r="9" spans="1:65" x14ac:dyDescent="0.4">
      <c r="A9" s="8">
        <v>1</v>
      </c>
      <c r="B9" s="8">
        <v>86</v>
      </c>
      <c r="C9" s="8">
        <v>7</v>
      </c>
      <c r="D9" s="8">
        <v>6181</v>
      </c>
      <c r="F9" s="9">
        <f t="shared" si="1"/>
        <v>0</v>
      </c>
      <c r="H9" s="9">
        <f t="shared" si="2"/>
        <v>0</v>
      </c>
      <c r="I9" s="8">
        <v>3</v>
      </c>
      <c r="J9" s="9">
        <f t="shared" si="13"/>
        <v>0.42857142857142855</v>
      </c>
      <c r="K9" s="8">
        <v>3697</v>
      </c>
      <c r="L9" s="9">
        <f t="shared" si="14"/>
        <v>0.59812328102248824</v>
      </c>
      <c r="M9" s="8">
        <v>1</v>
      </c>
      <c r="N9" s="9">
        <f t="shared" si="15"/>
        <v>0.14285714285714285</v>
      </c>
      <c r="O9" s="8">
        <v>283</v>
      </c>
      <c r="P9" s="9">
        <f t="shared" si="16"/>
        <v>4.5785471606536156E-2</v>
      </c>
      <c r="Q9" s="8">
        <v>3</v>
      </c>
      <c r="R9" s="9">
        <f t="shared" si="17"/>
        <v>0.42857142857142855</v>
      </c>
      <c r="S9" s="8">
        <v>2201</v>
      </c>
      <c r="T9" s="9">
        <f t="shared" si="18"/>
        <v>0.35609124737097558</v>
      </c>
      <c r="V9" s="9">
        <f t="shared" si="19"/>
        <v>0</v>
      </c>
      <c r="X9" s="9">
        <f t="shared" si="23"/>
        <v>0</v>
      </c>
      <c r="Y9" s="8">
        <v>3</v>
      </c>
      <c r="Z9" s="9">
        <f t="shared" si="24"/>
        <v>0.42857142857142855</v>
      </c>
      <c r="AA9" s="8">
        <v>3697</v>
      </c>
      <c r="AB9" s="9">
        <f t="shared" si="25"/>
        <v>0.59812328102248824</v>
      </c>
      <c r="AC9" s="8">
        <v>4</v>
      </c>
      <c r="AD9" s="9">
        <f t="shared" si="26"/>
        <v>0.5714285714285714</v>
      </c>
      <c r="AE9" s="8">
        <v>2484</v>
      </c>
      <c r="AF9" s="9">
        <f t="shared" si="27"/>
        <v>0.4018767189775117</v>
      </c>
      <c r="AG9" s="8">
        <v>5</v>
      </c>
      <c r="AH9" s="9">
        <f t="shared" si="28"/>
        <v>0.7142857142857143</v>
      </c>
      <c r="AI9" s="8">
        <v>5859</v>
      </c>
      <c r="AJ9" s="9">
        <f t="shared" si="29"/>
        <v>0.94790486976217436</v>
      </c>
      <c r="AK9" s="17">
        <f t="shared" si="3"/>
        <v>1171.8</v>
      </c>
      <c r="AL9" s="17">
        <f t="shared" si="4"/>
        <v>2</v>
      </c>
      <c r="AM9" s="17">
        <f t="shared" si="5"/>
        <v>322</v>
      </c>
      <c r="AN9" s="17">
        <f t="shared" si="6"/>
        <v>161</v>
      </c>
      <c r="AO9" s="8">
        <v>1</v>
      </c>
      <c r="AP9" s="9">
        <f t="shared" si="30"/>
        <v>0.14285714285714285</v>
      </c>
      <c r="AQ9" s="8">
        <v>39</v>
      </c>
      <c r="AR9" s="9">
        <f t="shared" si="31"/>
        <v>6.3096586312894358E-3</v>
      </c>
      <c r="AS9" s="8">
        <v>1</v>
      </c>
      <c r="AT9" s="9">
        <f t="shared" si="32"/>
        <v>0.14285714285714285</v>
      </c>
      <c r="AU9" s="8">
        <v>283</v>
      </c>
      <c r="AV9" s="9">
        <f t="shared" si="33"/>
        <v>4.5785471606536156E-2</v>
      </c>
      <c r="AX9" s="9">
        <f t="shared" si="20"/>
        <v>0</v>
      </c>
      <c r="AY9" s="9">
        <f t="shared" si="21"/>
        <v>0</v>
      </c>
      <c r="AZ9" s="8">
        <v>2</v>
      </c>
      <c r="BA9" s="9">
        <f t="shared" si="7"/>
        <v>1</v>
      </c>
      <c r="BB9" s="9">
        <f t="shared" si="35"/>
        <v>0.2857142857142857</v>
      </c>
      <c r="BD9" s="9">
        <f t="shared" si="9"/>
        <v>0</v>
      </c>
      <c r="BE9" s="9" t="str">
        <f t="shared" si="10"/>
        <v/>
      </c>
      <c r="BG9" s="9">
        <f t="shared" si="34"/>
        <v>0</v>
      </c>
      <c r="BH9" s="9" t="str">
        <f t="shared" si="22"/>
        <v/>
      </c>
      <c r="BK9" s="9">
        <f t="shared" si="11"/>
        <v>0</v>
      </c>
      <c r="BL9" s="8">
        <v>322</v>
      </c>
      <c r="BM9" s="9">
        <f t="shared" si="12"/>
        <v>5.2095130237825596E-2</v>
      </c>
    </row>
    <row r="10" spans="1:65" x14ac:dyDescent="0.4">
      <c r="A10" s="8">
        <v>1</v>
      </c>
      <c r="B10" s="8">
        <v>89</v>
      </c>
      <c r="C10" s="8">
        <v>2</v>
      </c>
      <c r="D10" s="8">
        <v>403</v>
      </c>
      <c r="F10" s="9">
        <f t="shared" si="1"/>
        <v>0</v>
      </c>
      <c r="H10" s="9">
        <f t="shared" si="2"/>
        <v>0</v>
      </c>
      <c r="I10" s="8">
        <v>1</v>
      </c>
      <c r="J10" s="9">
        <f t="shared" si="13"/>
        <v>0.5</v>
      </c>
      <c r="K10" s="8">
        <v>387</v>
      </c>
      <c r="L10" s="9">
        <f t="shared" si="14"/>
        <v>0.96029776674937961</v>
      </c>
      <c r="N10" s="9">
        <f t="shared" si="15"/>
        <v>0</v>
      </c>
      <c r="P10" s="9">
        <f t="shared" si="16"/>
        <v>0</v>
      </c>
      <c r="R10" s="9">
        <f t="shared" si="17"/>
        <v>0</v>
      </c>
      <c r="T10" s="9">
        <f t="shared" si="18"/>
        <v>0</v>
      </c>
      <c r="U10" s="8">
        <v>1</v>
      </c>
      <c r="V10" s="9">
        <f t="shared" si="19"/>
        <v>0.5</v>
      </c>
      <c r="W10" s="8">
        <v>16</v>
      </c>
      <c r="X10" s="9">
        <f t="shared" si="23"/>
        <v>3.9702233250620347E-2</v>
      </c>
      <c r="Y10" s="8">
        <v>1</v>
      </c>
      <c r="Z10" s="9">
        <f t="shared" si="24"/>
        <v>0.5</v>
      </c>
      <c r="AA10" s="8">
        <v>387</v>
      </c>
      <c r="AB10" s="9">
        <f t="shared" si="25"/>
        <v>0.96029776674937961</v>
      </c>
      <c r="AC10" s="8">
        <v>1</v>
      </c>
      <c r="AD10" s="9">
        <f t="shared" si="26"/>
        <v>0.5</v>
      </c>
      <c r="AE10" s="8">
        <v>16</v>
      </c>
      <c r="AF10" s="9">
        <f t="shared" si="27"/>
        <v>3.9702233250620347E-2</v>
      </c>
      <c r="AG10" s="8">
        <v>1</v>
      </c>
      <c r="AH10" s="9">
        <f t="shared" si="28"/>
        <v>0.5</v>
      </c>
      <c r="AI10" s="8">
        <v>387</v>
      </c>
      <c r="AJ10" s="9">
        <f t="shared" si="29"/>
        <v>0.96029776674937961</v>
      </c>
      <c r="AK10" s="17">
        <f t="shared" si="3"/>
        <v>387</v>
      </c>
      <c r="AL10" s="17">
        <f t="shared" si="4"/>
        <v>1</v>
      </c>
      <c r="AM10" s="17">
        <f t="shared" si="5"/>
        <v>16</v>
      </c>
      <c r="AN10" s="17">
        <f t="shared" si="6"/>
        <v>16</v>
      </c>
      <c r="AO10" s="8">
        <v>1</v>
      </c>
      <c r="AP10" s="9">
        <f t="shared" si="30"/>
        <v>0.5</v>
      </c>
      <c r="AQ10" s="8">
        <v>16</v>
      </c>
      <c r="AR10" s="9">
        <f t="shared" si="31"/>
        <v>3.9702233250620347E-2</v>
      </c>
      <c r="AT10" s="9">
        <f t="shared" si="32"/>
        <v>0</v>
      </c>
      <c r="AV10" s="9">
        <f t="shared" si="33"/>
        <v>0</v>
      </c>
      <c r="AX10" s="9">
        <f t="shared" si="20"/>
        <v>0</v>
      </c>
      <c r="AY10" s="9">
        <f t="shared" si="21"/>
        <v>0</v>
      </c>
      <c r="AZ10" s="8">
        <v>1</v>
      </c>
      <c r="BA10" s="9">
        <f t="shared" si="7"/>
        <v>1</v>
      </c>
      <c r="BB10" s="9">
        <f t="shared" si="35"/>
        <v>0.5</v>
      </c>
      <c r="BD10" s="9">
        <f t="shared" si="9"/>
        <v>0</v>
      </c>
      <c r="BE10" s="9" t="str">
        <f t="shared" si="10"/>
        <v/>
      </c>
      <c r="BG10" s="9">
        <f t="shared" si="34"/>
        <v>0</v>
      </c>
      <c r="BH10" s="9" t="str">
        <f t="shared" si="22"/>
        <v/>
      </c>
      <c r="BK10" s="9">
        <f t="shared" si="11"/>
        <v>0</v>
      </c>
      <c r="BL10" s="8">
        <v>16</v>
      </c>
      <c r="BM10" s="9">
        <f t="shared" si="12"/>
        <v>3.9702233250620347E-2</v>
      </c>
    </row>
    <row r="11" spans="1:65" x14ac:dyDescent="0.4">
      <c r="A11" s="8">
        <v>1</v>
      </c>
      <c r="B11" s="8">
        <v>94</v>
      </c>
      <c r="C11" s="8">
        <v>6</v>
      </c>
      <c r="D11" s="8">
        <v>3252</v>
      </c>
      <c r="F11" s="9">
        <f t="shared" si="1"/>
        <v>0</v>
      </c>
      <c r="H11" s="9">
        <f t="shared" si="2"/>
        <v>0</v>
      </c>
      <c r="I11" s="8">
        <v>3</v>
      </c>
      <c r="J11" s="9">
        <f t="shared" si="13"/>
        <v>0.5</v>
      </c>
      <c r="K11" s="8">
        <v>3188</v>
      </c>
      <c r="L11" s="9">
        <f t="shared" si="14"/>
        <v>0.98031980319803202</v>
      </c>
      <c r="N11" s="9">
        <f t="shared" si="15"/>
        <v>0</v>
      </c>
      <c r="P11" s="9">
        <f t="shared" si="16"/>
        <v>0</v>
      </c>
      <c r="R11" s="9">
        <f t="shared" si="17"/>
        <v>0</v>
      </c>
      <c r="T11" s="9">
        <f t="shared" si="18"/>
        <v>0</v>
      </c>
      <c r="U11" s="8">
        <v>3</v>
      </c>
      <c r="V11" s="9">
        <f t="shared" si="19"/>
        <v>0.5</v>
      </c>
      <c r="W11" s="8">
        <v>64</v>
      </c>
      <c r="X11" s="9">
        <f t="shared" si="23"/>
        <v>1.968019680196802E-2</v>
      </c>
      <c r="Y11" s="8">
        <v>4</v>
      </c>
      <c r="Z11" s="9">
        <f t="shared" si="24"/>
        <v>0.66666666666666663</v>
      </c>
      <c r="AA11" s="8">
        <v>3244</v>
      </c>
      <c r="AB11" s="9">
        <f t="shared" si="25"/>
        <v>0.99753997539975403</v>
      </c>
      <c r="AC11" s="8">
        <v>2</v>
      </c>
      <c r="AD11" s="9">
        <f t="shared" si="26"/>
        <v>0.33333333333333331</v>
      </c>
      <c r="AE11" s="8">
        <v>8</v>
      </c>
      <c r="AF11" s="9">
        <f t="shared" si="27"/>
        <v>2.4600246002460025E-3</v>
      </c>
      <c r="AG11" s="8">
        <v>2</v>
      </c>
      <c r="AH11" s="9">
        <f t="shared" si="28"/>
        <v>0.33333333333333331</v>
      </c>
      <c r="AI11" s="8">
        <v>2951</v>
      </c>
      <c r="AJ11" s="9">
        <f t="shared" si="29"/>
        <v>0.90744157441574413</v>
      </c>
      <c r="AK11" s="17">
        <f t="shared" si="3"/>
        <v>1475.5</v>
      </c>
      <c r="AL11" s="17">
        <f t="shared" si="4"/>
        <v>4</v>
      </c>
      <c r="AM11" s="17">
        <f t="shared" si="5"/>
        <v>301</v>
      </c>
      <c r="AN11" s="17">
        <f t="shared" si="6"/>
        <v>75.25</v>
      </c>
      <c r="AO11" s="8">
        <v>4</v>
      </c>
      <c r="AP11" s="9">
        <f t="shared" si="30"/>
        <v>0.66666666666666663</v>
      </c>
      <c r="AQ11" s="8">
        <v>301</v>
      </c>
      <c r="AR11" s="9">
        <f t="shared" si="31"/>
        <v>9.2558425584255838E-2</v>
      </c>
      <c r="AT11" s="9">
        <f t="shared" si="32"/>
        <v>0</v>
      </c>
      <c r="AV11" s="9">
        <f t="shared" si="33"/>
        <v>0</v>
      </c>
      <c r="AW11" s="8">
        <v>2</v>
      </c>
      <c r="AX11" s="9">
        <f t="shared" si="20"/>
        <v>0.5</v>
      </c>
      <c r="AY11" s="9">
        <f t="shared" si="21"/>
        <v>0.33333333333333331</v>
      </c>
      <c r="AZ11" s="8">
        <v>2</v>
      </c>
      <c r="BA11" s="9">
        <f t="shared" si="7"/>
        <v>0.5</v>
      </c>
      <c r="BB11" s="9">
        <f t="shared" si="35"/>
        <v>0.33333333333333331</v>
      </c>
      <c r="BC11" s="8">
        <v>2</v>
      </c>
      <c r="BD11" s="9">
        <f t="shared" si="9"/>
        <v>1</v>
      </c>
      <c r="BE11" s="9">
        <f t="shared" si="10"/>
        <v>1</v>
      </c>
      <c r="BF11" s="8">
        <v>1</v>
      </c>
      <c r="BG11" s="9">
        <f>IF(($AW11-$BI11)&lt;&gt;0, BF11/($AW11-$BI11), 0)</f>
        <v>0.5</v>
      </c>
      <c r="BH11" s="9">
        <f t="shared" si="22"/>
        <v>0.5</v>
      </c>
      <c r="BJ11" s="8">
        <v>293</v>
      </c>
      <c r="BK11" s="9">
        <f t="shared" si="11"/>
        <v>9.0098400984009841E-2</v>
      </c>
      <c r="BL11" s="8">
        <v>8</v>
      </c>
      <c r="BM11" s="9">
        <f t="shared" si="12"/>
        <v>2.4600246002460025E-3</v>
      </c>
    </row>
    <row r="12" spans="1:65" x14ac:dyDescent="0.4">
      <c r="A12" s="8">
        <v>1</v>
      </c>
      <c r="B12" s="8">
        <v>97</v>
      </c>
      <c r="C12" s="8">
        <v>10</v>
      </c>
      <c r="D12" s="8">
        <v>3972</v>
      </c>
      <c r="F12" s="9">
        <f t="shared" si="1"/>
        <v>0</v>
      </c>
      <c r="H12" s="9">
        <f t="shared" si="2"/>
        <v>0</v>
      </c>
      <c r="I12" s="8">
        <v>5</v>
      </c>
      <c r="J12" s="9">
        <f t="shared" si="13"/>
        <v>0.5</v>
      </c>
      <c r="K12" s="8">
        <v>3192</v>
      </c>
      <c r="L12" s="9">
        <f t="shared" si="14"/>
        <v>0.8036253776435045</v>
      </c>
      <c r="M12" s="8">
        <v>1</v>
      </c>
      <c r="N12" s="9">
        <f t="shared" si="15"/>
        <v>0.1</v>
      </c>
      <c r="O12" s="8">
        <v>62</v>
      </c>
      <c r="P12" s="9">
        <f t="shared" si="16"/>
        <v>1.5609264853977844E-2</v>
      </c>
      <c r="Q12" s="8">
        <v>3</v>
      </c>
      <c r="R12" s="9">
        <f t="shared" si="17"/>
        <v>0.3</v>
      </c>
      <c r="S12" s="8">
        <v>708</v>
      </c>
      <c r="T12" s="9">
        <f t="shared" si="18"/>
        <v>0.1782477341389728</v>
      </c>
      <c r="U12" s="8">
        <v>1</v>
      </c>
      <c r="V12" s="9">
        <f t="shared" si="19"/>
        <v>0.1</v>
      </c>
      <c r="W12" s="8">
        <v>10</v>
      </c>
      <c r="X12" s="9">
        <f t="shared" si="23"/>
        <v>2.5176233635448137E-3</v>
      </c>
      <c r="Y12" s="8">
        <v>5</v>
      </c>
      <c r="Z12" s="9">
        <f t="shared" si="24"/>
        <v>0.5</v>
      </c>
      <c r="AA12" s="8">
        <v>3192</v>
      </c>
      <c r="AB12" s="9">
        <f t="shared" si="25"/>
        <v>0.8036253776435045</v>
      </c>
      <c r="AC12" s="8">
        <v>5</v>
      </c>
      <c r="AD12" s="9">
        <f t="shared" si="26"/>
        <v>0.5</v>
      </c>
      <c r="AE12" s="8">
        <v>780</v>
      </c>
      <c r="AF12" s="9">
        <f t="shared" si="27"/>
        <v>0.19637462235649547</v>
      </c>
      <c r="AG12" s="8">
        <v>5</v>
      </c>
      <c r="AH12" s="9">
        <f t="shared" si="28"/>
        <v>0.5</v>
      </c>
      <c r="AI12" s="8">
        <v>3291</v>
      </c>
      <c r="AJ12" s="9">
        <f t="shared" si="29"/>
        <v>0.8285498489425982</v>
      </c>
      <c r="AK12" s="17">
        <f t="shared" si="3"/>
        <v>658.2</v>
      </c>
      <c r="AL12" s="17">
        <f t="shared" si="4"/>
        <v>5</v>
      </c>
      <c r="AM12" s="17">
        <f t="shared" si="5"/>
        <v>681</v>
      </c>
      <c r="AN12" s="17">
        <f t="shared" si="6"/>
        <v>136.19999999999999</v>
      </c>
      <c r="AO12" s="8">
        <v>4</v>
      </c>
      <c r="AP12" s="9">
        <f t="shared" si="30"/>
        <v>0.4</v>
      </c>
      <c r="AQ12" s="8">
        <v>619</v>
      </c>
      <c r="AR12" s="9">
        <f t="shared" si="31"/>
        <v>0.15584088620342396</v>
      </c>
      <c r="AS12" s="8">
        <v>1</v>
      </c>
      <c r="AT12" s="9">
        <f t="shared" si="32"/>
        <v>0.1</v>
      </c>
      <c r="AU12" s="8">
        <v>62</v>
      </c>
      <c r="AV12" s="9">
        <f t="shared" si="33"/>
        <v>1.5609264853977844E-2</v>
      </c>
      <c r="AW12" s="8">
        <v>1</v>
      </c>
      <c r="AX12" s="9">
        <f t="shared" si="20"/>
        <v>0.2</v>
      </c>
      <c r="AY12" s="9">
        <f t="shared" si="21"/>
        <v>0.1</v>
      </c>
      <c r="AZ12" s="8">
        <v>4</v>
      </c>
      <c r="BA12" s="9">
        <f t="shared" si="7"/>
        <v>0.8</v>
      </c>
      <c r="BB12" s="9">
        <f t="shared" si="35"/>
        <v>0.4</v>
      </c>
      <c r="BC12" s="8">
        <v>1</v>
      </c>
      <c r="BD12" s="9">
        <f t="shared" si="9"/>
        <v>1</v>
      </c>
      <c r="BE12" s="9">
        <f t="shared" si="10"/>
        <v>1</v>
      </c>
      <c r="BF12" s="8">
        <v>1</v>
      </c>
      <c r="BG12" s="9">
        <f t="shared" si="34"/>
        <v>1</v>
      </c>
      <c r="BH12" s="9">
        <f t="shared" si="22"/>
        <v>1</v>
      </c>
      <c r="BJ12" s="8">
        <v>72</v>
      </c>
      <c r="BK12" s="9">
        <f t="shared" si="11"/>
        <v>1.812688821752266E-2</v>
      </c>
      <c r="BL12" s="8">
        <v>609</v>
      </c>
      <c r="BM12" s="9">
        <f t="shared" si="12"/>
        <v>0.15332326283987915</v>
      </c>
    </row>
    <row r="13" spans="1:65" x14ac:dyDescent="0.4">
      <c r="A13" s="8">
        <v>1</v>
      </c>
      <c r="B13" s="8">
        <v>108</v>
      </c>
      <c r="C13" s="8">
        <v>10</v>
      </c>
      <c r="D13" s="8">
        <v>5938</v>
      </c>
      <c r="F13" s="9">
        <f t="shared" si="1"/>
        <v>0</v>
      </c>
      <c r="H13" s="9">
        <f t="shared" si="2"/>
        <v>0</v>
      </c>
      <c r="I13" s="8">
        <v>5</v>
      </c>
      <c r="J13" s="9">
        <f t="shared" si="13"/>
        <v>0.5</v>
      </c>
      <c r="K13" s="8">
        <v>4536</v>
      </c>
      <c r="L13" s="9">
        <f t="shared" si="14"/>
        <v>0.76389356685752774</v>
      </c>
      <c r="N13" s="9">
        <f t="shared" si="15"/>
        <v>0</v>
      </c>
      <c r="P13" s="9">
        <f t="shared" si="16"/>
        <v>0</v>
      </c>
      <c r="Q13" s="8">
        <v>2</v>
      </c>
      <c r="R13" s="9">
        <f t="shared" si="17"/>
        <v>0.2</v>
      </c>
      <c r="S13" s="8">
        <v>1350</v>
      </c>
      <c r="T13" s="9">
        <f t="shared" si="18"/>
        <v>0.2273492758504547</v>
      </c>
      <c r="U13" s="8">
        <v>3</v>
      </c>
      <c r="V13" s="9">
        <f t="shared" si="19"/>
        <v>0.3</v>
      </c>
      <c r="W13" s="8">
        <v>52</v>
      </c>
      <c r="X13" s="9">
        <f t="shared" si="23"/>
        <v>8.7571572920175141E-3</v>
      </c>
      <c r="Y13" s="8">
        <v>5</v>
      </c>
      <c r="Z13" s="9">
        <f t="shared" si="24"/>
        <v>0.5</v>
      </c>
      <c r="AA13" s="8">
        <v>4536</v>
      </c>
      <c r="AB13" s="9">
        <f t="shared" si="25"/>
        <v>0.76389356685752774</v>
      </c>
      <c r="AC13" s="8">
        <v>5</v>
      </c>
      <c r="AD13" s="9">
        <f t="shared" si="26"/>
        <v>0.5</v>
      </c>
      <c r="AE13" s="8">
        <v>1402</v>
      </c>
      <c r="AF13" s="9">
        <f t="shared" si="27"/>
        <v>0.23610643314247221</v>
      </c>
      <c r="AG13" s="8">
        <v>5</v>
      </c>
      <c r="AH13" s="9">
        <f t="shared" si="28"/>
        <v>0.5</v>
      </c>
      <c r="AI13" s="8">
        <v>3840</v>
      </c>
      <c r="AJ13" s="9">
        <f t="shared" si="29"/>
        <v>0.64668238464129335</v>
      </c>
      <c r="AK13" s="17">
        <f t="shared" si="3"/>
        <v>768</v>
      </c>
      <c r="AL13" s="17">
        <f t="shared" si="4"/>
        <v>5</v>
      </c>
      <c r="AM13" s="17">
        <f t="shared" si="5"/>
        <v>2098</v>
      </c>
      <c r="AN13" s="17">
        <f t="shared" si="6"/>
        <v>419.6</v>
      </c>
      <c r="AO13" s="8">
        <v>3</v>
      </c>
      <c r="AP13" s="9">
        <f t="shared" si="30"/>
        <v>0.3</v>
      </c>
      <c r="AQ13" s="8">
        <v>1504</v>
      </c>
      <c r="AR13" s="9">
        <f t="shared" si="31"/>
        <v>0.25328393398450655</v>
      </c>
      <c r="AS13" s="8">
        <v>2</v>
      </c>
      <c r="AT13" s="9">
        <f t="shared" si="32"/>
        <v>0.2</v>
      </c>
      <c r="AU13" s="8">
        <v>594</v>
      </c>
      <c r="AV13" s="9">
        <f t="shared" si="33"/>
        <v>0.10003368137420007</v>
      </c>
      <c r="AW13" s="8">
        <v>2</v>
      </c>
      <c r="AX13" s="9">
        <f t="shared" si="20"/>
        <v>0.4</v>
      </c>
      <c r="AY13" s="9">
        <f t="shared" si="21"/>
        <v>0.2</v>
      </c>
      <c r="AZ13" s="8">
        <v>3</v>
      </c>
      <c r="BA13" s="9">
        <f t="shared" si="7"/>
        <v>0.6</v>
      </c>
      <c r="BB13" s="9">
        <f t="shared" si="35"/>
        <v>0.3</v>
      </c>
      <c r="BC13" s="8">
        <v>1</v>
      </c>
      <c r="BD13" s="9">
        <f t="shared" si="9"/>
        <v>0.5</v>
      </c>
      <c r="BE13" s="9">
        <f t="shared" si="10"/>
        <v>0.5</v>
      </c>
      <c r="BF13" s="8">
        <v>2</v>
      </c>
      <c r="BG13" s="9">
        <f t="shared" si="34"/>
        <v>1</v>
      </c>
      <c r="BH13" s="9">
        <f t="shared" si="22"/>
        <v>1</v>
      </c>
      <c r="BJ13" s="8">
        <v>744</v>
      </c>
      <c r="BK13" s="9">
        <f t="shared" si="11"/>
        <v>0.12529471202425058</v>
      </c>
      <c r="BL13" s="8">
        <v>1354</v>
      </c>
      <c r="BM13" s="9">
        <f t="shared" si="12"/>
        <v>0.22802290333445605</v>
      </c>
    </row>
    <row r="14" spans="1:65" x14ac:dyDescent="0.4">
      <c r="A14" s="8">
        <v>1</v>
      </c>
      <c r="B14" s="8">
        <v>117</v>
      </c>
      <c r="C14" s="8">
        <v>15</v>
      </c>
      <c r="D14" s="8">
        <v>5517</v>
      </c>
      <c r="F14" s="9">
        <f t="shared" si="1"/>
        <v>0</v>
      </c>
      <c r="H14" s="9">
        <f t="shared" si="2"/>
        <v>0</v>
      </c>
      <c r="I14" s="8">
        <v>9</v>
      </c>
      <c r="J14" s="9">
        <f t="shared" si="13"/>
        <v>0.6</v>
      </c>
      <c r="K14" s="8">
        <v>4715</v>
      </c>
      <c r="L14" s="9">
        <f t="shared" si="14"/>
        <v>0.85463114011237995</v>
      </c>
      <c r="N14" s="9">
        <f t="shared" si="15"/>
        <v>0</v>
      </c>
      <c r="P14" s="9">
        <f t="shared" si="16"/>
        <v>0</v>
      </c>
      <c r="Q14" s="8">
        <v>4</v>
      </c>
      <c r="R14" s="9">
        <f t="shared" si="17"/>
        <v>0.26666666666666666</v>
      </c>
      <c r="S14" s="8">
        <v>794</v>
      </c>
      <c r="T14" s="9">
        <f t="shared" si="18"/>
        <v>0.14391879644734457</v>
      </c>
      <c r="U14" s="8">
        <v>2</v>
      </c>
      <c r="V14" s="9">
        <f t="shared" si="19"/>
        <v>0.13333333333333333</v>
      </c>
      <c r="W14" s="8">
        <v>8</v>
      </c>
      <c r="X14" s="9">
        <f t="shared" si="23"/>
        <v>1.4500634402755121E-3</v>
      </c>
      <c r="Y14" s="8">
        <v>8</v>
      </c>
      <c r="Z14" s="9">
        <f t="shared" si="24"/>
        <v>0.53333333333333333</v>
      </c>
      <c r="AA14" s="8">
        <v>4685</v>
      </c>
      <c r="AB14" s="9">
        <f t="shared" si="25"/>
        <v>0.84919340221134676</v>
      </c>
      <c r="AC14" s="8">
        <v>7</v>
      </c>
      <c r="AD14" s="9">
        <f t="shared" si="26"/>
        <v>0.46666666666666667</v>
      </c>
      <c r="AE14" s="8">
        <v>832</v>
      </c>
      <c r="AF14" s="9">
        <f t="shared" si="27"/>
        <v>0.15080659778865324</v>
      </c>
      <c r="AG14" s="8">
        <v>9</v>
      </c>
      <c r="AH14" s="9">
        <f t="shared" si="28"/>
        <v>0.6</v>
      </c>
      <c r="AI14" s="8">
        <v>4651</v>
      </c>
      <c r="AJ14" s="9">
        <f t="shared" si="29"/>
        <v>0.84303063259017585</v>
      </c>
      <c r="AK14" s="17">
        <f t="shared" si="3"/>
        <v>516.77777777777783</v>
      </c>
      <c r="AL14" s="17">
        <f t="shared" si="4"/>
        <v>6</v>
      </c>
      <c r="AM14" s="17">
        <f t="shared" si="5"/>
        <v>866</v>
      </c>
      <c r="AN14" s="17">
        <f t="shared" si="6"/>
        <v>144.33333333333334</v>
      </c>
      <c r="AO14" s="8">
        <v>6</v>
      </c>
      <c r="AP14" s="9">
        <f t="shared" si="30"/>
        <v>0.4</v>
      </c>
      <c r="AQ14" s="8">
        <v>866</v>
      </c>
      <c r="AR14" s="9">
        <f t="shared" si="31"/>
        <v>0.15696936740982417</v>
      </c>
      <c r="AT14" s="9">
        <f t="shared" si="32"/>
        <v>0</v>
      </c>
      <c r="AV14" s="9">
        <f t="shared" si="33"/>
        <v>0</v>
      </c>
      <c r="AW14" s="8">
        <v>3</v>
      </c>
      <c r="AX14" s="9">
        <f t="shared" si="20"/>
        <v>0.5</v>
      </c>
      <c r="AY14" s="9">
        <f t="shared" si="21"/>
        <v>0.2</v>
      </c>
      <c r="AZ14" s="8">
        <v>3</v>
      </c>
      <c r="BA14" s="9">
        <f t="shared" si="7"/>
        <v>0.5</v>
      </c>
      <c r="BB14" s="9">
        <f t="shared" si="35"/>
        <v>0.2</v>
      </c>
      <c r="BC14" s="8">
        <v>1</v>
      </c>
      <c r="BD14" s="9">
        <f t="shared" si="9"/>
        <v>0.33333333333333331</v>
      </c>
      <c r="BE14" s="9">
        <f t="shared" si="10"/>
        <v>0.33333333333333331</v>
      </c>
      <c r="BF14" s="8">
        <v>1</v>
      </c>
      <c r="BG14" s="9">
        <f t="shared" si="34"/>
        <v>0.33333333333333331</v>
      </c>
      <c r="BH14" s="9">
        <f t="shared" si="22"/>
        <v>0.33333333333333331</v>
      </c>
      <c r="BJ14" s="8">
        <v>778</v>
      </c>
      <c r="BK14" s="9">
        <f t="shared" si="11"/>
        <v>0.14101866956679354</v>
      </c>
      <c r="BL14" s="8">
        <v>88</v>
      </c>
      <c r="BM14" s="9">
        <f t="shared" si="12"/>
        <v>1.5950697843030631E-2</v>
      </c>
    </row>
    <row r="15" spans="1:65" x14ac:dyDescent="0.4">
      <c r="A15" s="8">
        <v>1</v>
      </c>
      <c r="B15" s="8">
        <v>118</v>
      </c>
      <c r="C15" s="8">
        <v>17</v>
      </c>
      <c r="D15" s="8">
        <v>5088</v>
      </c>
      <c r="E15" s="8">
        <v>1</v>
      </c>
      <c r="F15" s="9">
        <f>E15/$C15</f>
        <v>5.8823529411764705E-2</v>
      </c>
      <c r="G15" s="8">
        <v>118</v>
      </c>
      <c r="H15" s="9">
        <f t="shared" si="2"/>
        <v>2.3191823899371068E-2</v>
      </c>
      <c r="I15" s="8">
        <v>7</v>
      </c>
      <c r="J15" s="9">
        <f t="shared" si="13"/>
        <v>0.41176470588235292</v>
      </c>
      <c r="K15" s="8">
        <v>3512</v>
      </c>
      <c r="L15" s="9">
        <f t="shared" si="14"/>
        <v>0.69025157232704404</v>
      </c>
      <c r="N15" s="9">
        <f t="shared" si="15"/>
        <v>0</v>
      </c>
      <c r="P15" s="9">
        <f t="shared" si="16"/>
        <v>0</v>
      </c>
      <c r="Q15" s="8">
        <v>5</v>
      </c>
      <c r="R15" s="9">
        <f t="shared" si="17"/>
        <v>0.29411764705882354</v>
      </c>
      <c r="S15" s="8">
        <v>1434</v>
      </c>
      <c r="T15" s="9">
        <f t="shared" si="18"/>
        <v>0.28183962264150941</v>
      </c>
      <c r="U15" s="8">
        <v>4</v>
      </c>
      <c r="V15" s="9">
        <f t="shared" si="19"/>
        <v>0.23529411764705882</v>
      </c>
      <c r="W15" s="8">
        <v>24</v>
      </c>
      <c r="X15" s="9">
        <f t="shared" si="23"/>
        <v>4.7169811320754715E-3</v>
      </c>
      <c r="Y15" s="8">
        <v>5</v>
      </c>
      <c r="Z15" s="9">
        <f t="shared" si="24"/>
        <v>0.29411764705882354</v>
      </c>
      <c r="AA15" s="8">
        <v>2279</v>
      </c>
      <c r="AB15" s="9">
        <f t="shared" si="25"/>
        <v>0.44791666666666669</v>
      </c>
      <c r="AC15" s="8">
        <v>12</v>
      </c>
      <c r="AD15" s="9">
        <f t="shared" si="26"/>
        <v>0.70588235294117652</v>
      </c>
      <c r="AE15" s="8">
        <v>2809</v>
      </c>
      <c r="AF15" s="9">
        <f t="shared" si="27"/>
        <v>0.55208333333333337</v>
      </c>
      <c r="AG15" s="8">
        <v>5</v>
      </c>
      <c r="AH15" s="9">
        <f t="shared" si="28"/>
        <v>0.29411764705882354</v>
      </c>
      <c r="AI15" s="8">
        <v>2926</v>
      </c>
      <c r="AJ15" s="9">
        <f t="shared" si="29"/>
        <v>0.57507861635220126</v>
      </c>
      <c r="AK15" s="17">
        <f t="shared" si="3"/>
        <v>585.20000000000005</v>
      </c>
      <c r="AL15" s="17">
        <f t="shared" si="4"/>
        <v>12</v>
      </c>
      <c r="AM15" s="17">
        <f t="shared" si="5"/>
        <v>2162</v>
      </c>
      <c r="AN15" s="17">
        <f t="shared" si="6"/>
        <v>180.16666666666666</v>
      </c>
      <c r="AO15" s="8">
        <v>8</v>
      </c>
      <c r="AP15" s="9">
        <f t="shared" si="30"/>
        <v>0.47058823529411764</v>
      </c>
      <c r="AQ15" s="8">
        <v>736</v>
      </c>
      <c r="AR15" s="9">
        <f t="shared" si="31"/>
        <v>0.14465408805031446</v>
      </c>
      <c r="AS15" s="8">
        <v>4</v>
      </c>
      <c r="AT15" s="9">
        <f t="shared" si="32"/>
        <v>0.23529411764705882</v>
      </c>
      <c r="AU15" s="8">
        <v>1426</v>
      </c>
      <c r="AV15" s="9">
        <f t="shared" si="33"/>
        <v>0.28026729559748426</v>
      </c>
      <c r="AW15" s="8">
        <v>2</v>
      </c>
      <c r="AX15" s="9">
        <f t="shared" si="20"/>
        <v>0.16666666666666666</v>
      </c>
      <c r="AY15" s="9">
        <f t="shared" si="21"/>
        <v>0.11764705882352941</v>
      </c>
      <c r="AZ15" s="8">
        <v>10</v>
      </c>
      <c r="BA15" s="9">
        <f t="shared" si="7"/>
        <v>0.83333333333333337</v>
      </c>
      <c r="BB15" s="9">
        <f t="shared" si="35"/>
        <v>0.58823529411764708</v>
      </c>
      <c r="BD15" s="9">
        <f t="shared" si="9"/>
        <v>0</v>
      </c>
      <c r="BE15" s="9">
        <f t="shared" si="10"/>
        <v>0</v>
      </c>
      <c r="BF15" s="8">
        <v>2</v>
      </c>
      <c r="BG15" s="9">
        <f t="shared" si="34"/>
        <v>1</v>
      </c>
      <c r="BH15" s="9">
        <f t="shared" si="22"/>
        <v>1</v>
      </c>
      <c r="BJ15" s="8">
        <v>394</v>
      </c>
      <c r="BK15" s="9">
        <f t="shared" si="11"/>
        <v>7.743710691823899E-2</v>
      </c>
      <c r="BL15" s="8">
        <v>1768</v>
      </c>
      <c r="BM15" s="9">
        <f t="shared" si="12"/>
        <v>0.34748427672955973</v>
      </c>
    </row>
    <row r="16" spans="1:65" x14ac:dyDescent="0.4">
      <c r="A16" s="8">
        <v>1</v>
      </c>
      <c r="B16" s="8">
        <v>135</v>
      </c>
      <c r="C16" s="8">
        <v>9</v>
      </c>
      <c r="D16" s="8">
        <v>3312</v>
      </c>
      <c r="E16" s="8">
        <v>2</v>
      </c>
      <c r="F16" s="9">
        <f t="shared" si="1"/>
        <v>0.22222222222222221</v>
      </c>
      <c r="G16" s="8">
        <v>910</v>
      </c>
      <c r="H16" s="9">
        <f t="shared" si="2"/>
        <v>0.27475845410628019</v>
      </c>
      <c r="I16" s="8">
        <v>3</v>
      </c>
      <c r="J16" s="9">
        <f t="shared" si="13"/>
        <v>0.33333333333333331</v>
      </c>
      <c r="K16" s="8">
        <v>2072</v>
      </c>
      <c r="L16" s="9">
        <f t="shared" si="14"/>
        <v>0.62560386473429952</v>
      </c>
      <c r="M16" s="8">
        <v>1</v>
      </c>
      <c r="N16" s="9">
        <f t="shared" si="15"/>
        <v>0.1111111111111111</v>
      </c>
      <c r="O16" s="8">
        <v>57</v>
      </c>
      <c r="P16" s="9">
        <f t="shared" si="16"/>
        <v>1.7210144927536232E-2</v>
      </c>
      <c r="Q16" s="8">
        <v>3</v>
      </c>
      <c r="R16" s="9">
        <f t="shared" si="17"/>
        <v>0.33333333333333331</v>
      </c>
      <c r="S16" s="8">
        <v>273</v>
      </c>
      <c r="T16" s="9">
        <f t="shared" si="18"/>
        <v>8.2427536231884063E-2</v>
      </c>
      <c r="V16" s="9">
        <f t="shared" si="19"/>
        <v>0</v>
      </c>
      <c r="X16" s="9">
        <f t="shared" si="23"/>
        <v>0</v>
      </c>
      <c r="Y16" s="8">
        <v>4</v>
      </c>
      <c r="Z16" s="9">
        <f t="shared" si="24"/>
        <v>0.44444444444444442</v>
      </c>
      <c r="AA16" s="8">
        <v>2589</v>
      </c>
      <c r="AB16" s="9">
        <f t="shared" si="25"/>
        <v>0.78170289855072461</v>
      </c>
      <c r="AC16" s="8">
        <v>5</v>
      </c>
      <c r="AD16" s="9">
        <f t="shared" si="26"/>
        <v>0.55555555555555558</v>
      </c>
      <c r="AE16" s="8">
        <v>723</v>
      </c>
      <c r="AF16" s="9">
        <f t="shared" si="27"/>
        <v>0.21829710144927536</v>
      </c>
      <c r="AG16" s="8">
        <v>2</v>
      </c>
      <c r="AH16" s="9">
        <f t="shared" si="28"/>
        <v>0.22222222222222221</v>
      </c>
      <c r="AI16" s="8">
        <v>2081</v>
      </c>
      <c r="AJ16" s="9">
        <f t="shared" si="29"/>
        <v>0.6283212560386473</v>
      </c>
      <c r="AK16" s="17">
        <f t="shared" si="3"/>
        <v>1040.5</v>
      </c>
      <c r="AL16" s="17">
        <f t="shared" si="4"/>
        <v>7</v>
      </c>
      <c r="AM16" s="17">
        <f t="shared" si="5"/>
        <v>1231</v>
      </c>
      <c r="AN16" s="17">
        <f t="shared" si="6"/>
        <v>175.85714285714286</v>
      </c>
      <c r="AO16" s="8">
        <v>4</v>
      </c>
      <c r="AP16" s="9">
        <f t="shared" si="30"/>
        <v>0.44444444444444442</v>
      </c>
      <c r="AQ16" s="8">
        <v>288</v>
      </c>
      <c r="AR16" s="9">
        <f t="shared" si="31"/>
        <v>8.6956521739130432E-2</v>
      </c>
      <c r="AS16" s="8">
        <v>3</v>
      </c>
      <c r="AT16" s="9">
        <f t="shared" si="32"/>
        <v>0.33333333333333331</v>
      </c>
      <c r="AU16" s="8">
        <v>943</v>
      </c>
      <c r="AV16" s="9">
        <f t="shared" si="33"/>
        <v>0.28472222222222221</v>
      </c>
      <c r="AW16" s="8">
        <v>2</v>
      </c>
      <c r="AX16" s="9">
        <f t="shared" si="20"/>
        <v>0.2857142857142857</v>
      </c>
      <c r="AY16" s="9">
        <f t="shared" si="21"/>
        <v>0.22222222222222221</v>
      </c>
      <c r="AZ16" s="8">
        <v>5</v>
      </c>
      <c r="BA16" s="9">
        <f t="shared" si="7"/>
        <v>0.7142857142857143</v>
      </c>
      <c r="BB16" s="9">
        <f t="shared" si="35"/>
        <v>0.55555555555555558</v>
      </c>
      <c r="BD16" s="9">
        <f t="shared" si="9"/>
        <v>0</v>
      </c>
      <c r="BE16" s="9">
        <f t="shared" si="10"/>
        <v>0</v>
      </c>
      <c r="BF16" s="8">
        <v>2</v>
      </c>
      <c r="BG16" s="9">
        <f t="shared" si="34"/>
        <v>1</v>
      </c>
      <c r="BH16" s="9">
        <f t="shared" si="22"/>
        <v>1</v>
      </c>
      <c r="BJ16" s="8">
        <v>508</v>
      </c>
      <c r="BK16" s="9">
        <f t="shared" si="11"/>
        <v>0.15338164251207728</v>
      </c>
      <c r="BL16" s="8">
        <v>723</v>
      </c>
      <c r="BM16" s="9">
        <f t="shared" si="12"/>
        <v>0.21829710144927536</v>
      </c>
    </row>
    <row r="17" spans="1:65" x14ac:dyDescent="0.4">
      <c r="A17" s="8">
        <v>1</v>
      </c>
      <c r="B17" s="8">
        <v>187</v>
      </c>
      <c r="C17" s="8">
        <v>1</v>
      </c>
      <c r="D17" s="8">
        <v>580</v>
      </c>
      <c r="F17" s="9">
        <f t="shared" si="1"/>
        <v>0</v>
      </c>
      <c r="H17" s="9">
        <f t="shared" si="2"/>
        <v>0</v>
      </c>
      <c r="I17" s="8">
        <v>1</v>
      </c>
      <c r="J17" s="9">
        <f t="shared" si="13"/>
        <v>1</v>
      </c>
      <c r="K17" s="8">
        <v>580</v>
      </c>
      <c r="L17" s="9">
        <f t="shared" si="14"/>
        <v>1</v>
      </c>
      <c r="N17" s="9">
        <f t="shared" si="15"/>
        <v>0</v>
      </c>
      <c r="P17" s="9">
        <f t="shared" si="16"/>
        <v>0</v>
      </c>
      <c r="R17" s="9">
        <f t="shared" si="17"/>
        <v>0</v>
      </c>
      <c r="T17" s="9">
        <f t="shared" si="18"/>
        <v>0</v>
      </c>
      <c r="V17" s="9">
        <f t="shared" si="19"/>
        <v>0</v>
      </c>
      <c r="X17" s="9">
        <f t="shared" si="23"/>
        <v>0</v>
      </c>
      <c r="Z17" s="9">
        <f t="shared" si="24"/>
        <v>0</v>
      </c>
      <c r="AB17" s="9">
        <f t="shared" si="25"/>
        <v>0</v>
      </c>
      <c r="AC17" s="8">
        <v>1</v>
      </c>
      <c r="AD17" s="9">
        <f t="shared" si="26"/>
        <v>1</v>
      </c>
      <c r="AE17" s="8">
        <v>580</v>
      </c>
      <c r="AF17" s="9">
        <f t="shared" si="27"/>
        <v>1</v>
      </c>
      <c r="AG17" s="8">
        <v>1</v>
      </c>
      <c r="AH17" s="9">
        <f t="shared" si="28"/>
        <v>1</v>
      </c>
      <c r="AI17" s="8">
        <v>580</v>
      </c>
      <c r="AJ17" s="9">
        <f t="shared" si="29"/>
        <v>1</v>
      </c>
      <c r="AK17" s="17">
        <f t="shared" si="3"/>
        <v>580</v>
      </c>
      <c r="AL17" s="17">
        <f t="shared" si="4"/>
        <v>0</v>
      </c>
      <c r="AM17" s="17">
        <f t="shared" si="5"/>
        <v>0</v>
      </c>
      <c r="AN17" s="17" t="str">
        <f t="shared" si="6"/>
        <v/>
      </c>
      <c r="AP17" s="9">
        <f t="shared" si="30"/>
        <v>0</v>
      </c>
      <c r="AR17" s="9">
        <f t="shared" si="31"/>
        <v>0</v>
      </c>
      <c r="AT17" s="9">
        <f t="shared" si="32"/>
        <v>0</v>
      </c>
      <c r="AV17" s="9">
        <f t="shared" si="33"/>
        <v>0</v>
      </c>
      <c r="AX17" s="9">
        <f t="shared" si="20"/>
        <v>0</v>
      </c>
      <c r="AY17" s="9">
        <f t="shared" si="21"/>
        <v>0</v>
      </c>
      <c r="BA17" s="9">
        <f t="shared" si="7"/>
        <v>0</v>
      </c>
      <c r="BB17" s="9">
        <f t="shared" si="35"/>
        <v>0</v>
      </c>
      <c r="BD17" s="9">
        <f t="shared" si="9"/>
        <v>0</v>
      </c>
      <c r="BE17" s="9" t="str">
        <f t="shared" si="10"/>
        <v/>
      </c>
      <c r="BG17" s="9">
        <f t="shared" si="34"/>
        <v>0</v>
      </c>
      <c r="BH17" s="9" t="str">
        <f t="shared" si="22"/>
        <v/>
      </c>
      <c r="BK17" s="9">
        <f t="shared" si="11"/>
        <v>0</v>
      </c>
      <c r="BM17" s="9">
        <f t="shared" si="12"/>
        <v>0</v>
      </c>
    </row>
    <row r="18" spans="1:65" x14ac:dyDescent="0.4">
      <c r="A18" s="8">
        <v>1</v>
      </c>
      <c r="B18" s="8">
        <v>207</v>
      </c>
      <c r="C18" s="8">
        <v>14</v>
      </c>
      <c r="D18" s="8">
        <v>2726</v>
      </c>
      <c r="F18" s="9">
        <f t="shared" si="1"/>
        <v>0</v>
      </c>
      <c r="H18" s="9">
        <f t="shared" si="2"/>
        <v>0</v>
      </c>
      <c r="I18" s="8">
        <v>6</v>
      </c>
      <c r="J18" s="9">
        <f t="shared" si="13"/>
        <v>0.42857142857142855</v>
      </c>
      <c r="K18" s="8">
        <v>2205</v>
      </c>
      <c r="L18" s="9">
        <f t="shared" si="14"/>
        <v>0.80887747615553929</v>
      </c>
      <c r="N18" s="9">
        <f t="shared" si="15"/>
        <v>0</v>
      </c>
      <c r="P18" s="9">
        <f t="shared" si="16"/>
        <v>0</v>
      </c>
      <c r="Q18" s="8">
        <v>3</v>
      </c>
      <c r="R18" s="9">
        <f t="shared" si="17"/>
        <v>0.21428571428571427</v>
      </c>
      <c r="S18" s="8">
        <v>398</v>
      </c>
      <c r="T18" s="9">
        <f t="shared" si="18"/>
        <v>0.14600146735143066</v>
      </c>
      <c r="U18" s="8">
        <v>5</v>
      </c>
      <c r="V18" s="9">
        <f t="shared" si="19"/>
        <v>0.35714285714285715</v>
      </c>
      <c r="W18" s="8">
        <v>123</v>
      </c>
      <c r="X18" s="9">
        <f t="shared" si="23"/>
        <v>4.5121056493030082E-2</v>
      </c>
      <c r="Y18" s="8">
        <v>2</v>
      </c>
      <c r="Z18" s="9">
        <f t="shared" si="24"/>
        <v>0.14285714285714285</v>
      </c>
      <c r="AA18" s="8">
        <v>479</v>
      </c>
      <c r="AB18" s="9">
        <f t="shared" si="25"/>
        <v>0.17571533382245047</v>
      </c>
      <c r="AC18" s="8">
        <v>12</v>
      </c>
      <c r="AD18" s="9">
        <f t="shared" si="26"/>
        <v>0.8571428571428571</v>
      </c>
      <c r="AE18" s="8">
        <v>2247</v>
      </c>
      <c r="AF18" s="9">
        <f t="shared" si="27"/>
        <v>0.82428466617754947</v>
      </c>
      <c r="AG18" s="8">
        <v>8</v>
      </c>
      <c r="AH18" s="9">
        <f t="shared" si="28"/>
        <v>0.5714285714285714</v>
      </c>
      <c r="AI18" s="8">
        <v>2405</v>
      </c>
      <c r="AJ18" s="9">
        <f t="shared" si="29"/>
        <v>0.88224504768892154</v>
      </c>
      <c r="AK18" s="17">
        <f t="shared" si="3"/>
        <v>300.625</v>
      </c>
      <c r="AL18" s="17">
        <f t="shared" si="4"/>
        <v>6</v>
      </c>
      <c r="AM18" s="17">
        <f t="shared" si="5"/>
        <v>321</v>
      </c>
      <c r="AN18" s="17">
        <f t="shared" si="6"/>
        <v>53.5</v>
      </c>
      <c r="AO18" s="8">
        <v>5</v>
      </c>
      <c r="AP18" s="9">
        <f t="shared" si="30"/>
        <v>0.35714285714285715</v>
      </c>
      <c r="AQ18" s="8">
        <v>122</v>
      </c>
      <c r="AR18" s="9">
        <f t="shared" si="31"/>
        <v>4.475421863536317E-2</v>
      </c>
      <c r="AS18" s="8">
        <v>1</v>
      </c>
      <c r="AT18" s="9">
        <f t="shared" si="32"/>
        <v>7.1428571428571425E-2</v>
      </c>
      <c r="AU18" s="8">
        <v>199</v>
      </c>
      <c r="AV18" s="9">
        <f t="shared" si="33"/>
        <v>7.3000733675715329E-2</v>
      </c>
      <c r="AW18" s="8">
        <v>1</v>
      </c>
      <c r="AX18" s="9">
        <f t="shared" si="20"/>
        <v>0.16666666666666666</v>
      </c>
      <c r="AY18" s="9">
        <f t="shared" si="21"/>
        <v>7.1428571428571425E-2</v>
      </c>
      <c r="AZ18" s="8">
        <v>5</v>
      </c>
      <c r="BA18" s="9">
        <f t="shared" si="7"/>
        <v>0.83333333333333337</v>
      </c>
      <c r="BB18" s="9">
        <f t="shared" si="35"/>
        <v>0.35714285714285715</v>
      </c>
      <c r="BD18" s="9">
        <f t="shared" si="9"/>
        <v>0</v>
      </c>
      <c r="BE18" s="9">
        <f t="shared" si="10"/>
        <v>0</v>
      </c>
      <c r="BF18" s="8">
        <v>1</v>
      </c>
      <c r="BG18" s="9">
        <f t="shared" si="34"/>
        <v>1</v>
      </c>
      <c r="BH18" s="9">
        <f t="shared" si="22"/>
        <v>1</v>
      </c>
      <c r="BJ18" s="8">
        <v>199</v>
      </c>
      <c r="BK18" s="9">
        <f t="shared" si="11"/>
        <v>7.3000733675715329E-2</v>
      </c>
      <c r="BL18" s="8">
        <v>122</v>
      </c>
      <c r="BM18" s="9">
        <f t="shared" si="12"/>
        <v>4.475421863536317E-2</v>
      </c>
    </row>
    <row r="19" spans="1:65" x14ac:dyDescent="0.4">
      <c r="A19" s="8">
        <v>1</v>
      </c>
      <c r="B19" s="8">
        <v>208</v>
      </c>
      <c r="C19" s="8">
        <v>10</v>
      </c>
      <c r="D19" s="8">
        <v>4577</v>
      </c>
      <c r="F19" s="9">
        <f t="shared" si="1"/>
        <v>0</v>
      </c>
      <c r="H19" s="9">
        <f t="shared" si="2"/>
        <v>0</v>
      </c>
      <c r="I19" s="8">
        <v>4</v>
      </c>
      <c r="J19" s="9">
        <f t="shared" si="13"/>
        <v>0.4</v>
      </c>
      <c r="K19" s="8">
        <v>4244</v>
      </c>
      <c r="L19" s="9">
        <f t="shared" si="14"/>
        <v>0.92724492025344107</v>
      </c>
      <c r="N19" s="9">
        <f t="shared" si="15"/>
        <v>0</v>
      </c>
      <c r="P19" s="9">
        <f t="shared" si="16"/>
        <v>0</v>
      </c>
      <c r="Q19" s="8">
        <v>4</v>
      </c>
      <c r="R19" s="9">
        <f t="shared" si="17"/>
        <v>0.4</v>
      </c>
      <c r="S19" s="8">
        <v>329</v>
      </c>
      <c r="T19" s="9">
        <f t="shared" si="18"/>
        <v>7.1881144854708326E-2</v>
      </c>
      <c r="U19" s="8">
        <v>2</v>
      </c>
      <c r="V19" s="9">
        <f t="shared" si="19"/>
        <v>0.2</v>
      </c>
      <c r="W19" s="8">
        <v>4</v>
      </c>
      <c r="X19" s="9">
        <f t="shared" si="23"/>
        <v>8.7393489185055709E-4</v>
      </c>
      <c r="Y19" s="8">
        <v>4</v>
      </c>
      <c r="Z19" s="9">
        <f t="shared" si="24"/>
        <v>0.4</v>
      </c>
      <c r="AA19" s="8">
        <v>4245</v>
      </c>
      <c r="AB19" s="9">
        <f t="shared" si="25"/>
        <v>0.92746340397640381</v>
      </c>
      <c r="AC19" s="8">
        <v>6</v>
      </c>
      <c r="AD19" s="9">
        <f t="shared" si="26"/>
        <v>0.6</v>
      </c>
      <c r="AE19" s="8">
        <v>332</v>
      </c>
      <c r="AF19" s="9">
        <f t="shared" si="27"/>
        <v>7.2536596023596245E-2</v>
      </c>
      <c r="AG19" s="8">
        <v>4</v>
      </c>
      <c r="AH19" s="9">
        <f t="shared" si="28"/>
        <v>0.4</v>
      </c>
      <c r="AI19" s="8">
        <v>4244</v>
      </c>
      <c r="AJ19" s="9">
        <f t="shared" si="29"/>
        <v>0.92724492025344107</v>
      </c>
      <c r="AK19" s="17">
        <f t="shared" si="3"/>
        <v>1061</v>
      </c>
      <c r="AL19" s="17">
        <f t="shared" si="4"/>
        <v>6</v>
      </c>
      <c r="AM19" s="17">
        <f t="shared" si="5"/>
        <v>333</v>
      </c>
      <c r="AN19" s="17">
        <f t="shared" si="6"/>
        <v>55.5</v>
      </c>
      <c r="AO19" s="8">
        <v>5</v>
      </c>
      <c r="AP19" s="9">
        <f t="shared" si="30"/>
        <v>0.5</v>
      </c>
      <c r="AQ19" s="8">
        <v>264</v>
      </c>
      <c r="AR19" s="9">
        <f t="shared" si="31"/>
        <v>5.7679702862136771E-2</v>
      </c>
      <c r="AS19" s="8">
        <v>1</v>
      </c>
      <c r="AT19" s="9">
        <f t="shared" si="32"/>
        <v>0.1</v>
      </c>
      <c r="AU19" s="8">
        <v>69</v>
      </c>
      <c r="AV19" s="9">
        <f t="shared" si="33"/>
        <v>1.507537688442211E-2</v>
      </c>
      <c r="AW19" s="8">
        <v>1</v>
      </c>
      <c r="AX19" s="9">
        <f t="shared" si="20"/>
        <v>0.16666666666666666</v>
      </c>
      <c r="AY19" s="9">
        <f t="shared" si="21"/>
        <v>0.1</v>
      </c>
      <c r="AZ19" s="8">
        <v>5</v>
      </c>
      <c r="BA19" s="9">
        <f t="shared" si="7"/>
        <v>0.83333333333333337</v>
      </c>
      <c r="BB19" s="9">
        <f t="shared" si="35"/>
        <v>0.5</v>
      </c>
      <c r="BD19" s="9">
        <f t="shared" si="9"/>
        <v>0</v>
      </c>
      <c r="BE19" s="9">
        <f t="shared" si="10"/>
        <v>0</v>
      </c>
      <c r="BG19" s="9">
        <f t="shared" si="34"/>
        <v>0</v>
      </c>
      <c r="BH19" s="9">
        <f t="shared" si="22"/>
        <v>0</v>
      </c>
      <c r="BJ19" s="8">
        <v>69</v>
      </c>
      <c r="BK19" s="9">
        <f t="shared" si="11"/>
        <v>1.507537688442211E-2</v>
      </c>
      <c r="BL19" s="8">
        <v>264</v>
      </c>
      <c r="BM19" s="9">
        <f t="shared" si="12"/>
        <v>5.7679702862136771E-2</v>
      </c>
    </row>
    <row r="20" spans="1:65" x14ac:dyDescent="0.4">
      <c r="A20" s="8">
        <v>1</v>
      </c>
      <c r="B20" s="8">
        <v>230</v>
      </c>
      <c r="C20" s="8">
        <v>11</v>
      </c>
      <c r="D20" s="8">
        <v>3491</v>
      </c>
      <c r="E20" s="8">
        <v>1</v>
      </c>
      <c r="F20" s="9">
        <f t="shared" si="1"/>
        <v>9.0909090909090912E-2</v>
      </c>
      <c r="G20" s="8">
        <v>433</v>
      </c>
      <c r="H20" s="9">
        <f t="shared" si="2"/>
        <v>0.12403322830134632</v>
      </c>
      <c r="I20" s="8">
        <v>8</v>
      </c>
      <c r="J20" s="9">
        <f t="shared" si="13"/>
        <v>0.72727272727272729</v>
      </c>
      <c r="K20" s="8">
        <v>3045</v>
      </c>
      <c r="L20" s="9">
        <f t="shared" si="14"/>
        <v>0.87224291034087653</v>
      </c>
      <c r="N20" s="9">
        <f t="shared" si="15"/>
        <v>0</v>
      </c>
      <c r="P20" s="9">
        <f t="shared" si="16"/>
        <v>0</v>
      </c>
      <c r="R20" s="9">
        <f t="shared" si="17"/>
        <v>0</v>
      </c>
      <c r="T20" s="9">
        <f t="shared" si="18"/>
        <v>0</v>
      </c>
      <c r="U20" s="8">
        <v>2</v>
      </c>
      <c r="V20" s="9">
        <f t="shared" si="19"/>
        <v>0.18181818181818182</v>
      </c>
      <c r="W20" s="8">
        <v>13</v>
      </c>
      <c r="X20" s="9">
        <f t="shared" si="23"/>
        <v>3.7238613577771414E-3</v>
      </c>
      <c r="Y20" s="8">
        <v>4</v>
      </c>
      <c r="Z20" s="9">
        <f t="shared" si="24"/>
        <v>0.36363636363636365</v>
      </c>
      <c r="AA20" s="8">
        <v>1139</v>
      </c>
      <c r="AB20" s="9">
        <f t="shared" si="25"/>
        <v>0.32626754511601258</v>
      </c>
      <c r="AC20" s="8">
        <v>7</v>
      </c>
      <c r="AD20" s="9">
        <f t="shared" si="26"/>
        <v>0.63636363636363635</v>
      </c>
      <c r="AE20" s="8">
        <v>2352</v>
      </c>
      <c r="AF20" s="9">
        <f t="shared" si="27"/>
        <v>0.67373245488398736</v>
      </c>
      <c r="AG20" s="8">
        <v>7</v>
      </c>
      <c r="AH20" s="9">
        <f t="shared" si="28"/>
        <v>0.63636363636363635</v>
      </c>
      <c r="AI20" s="8">
        <v>3045</v>
      </c>
      <c r="AJ20" s="9">
        <f t="shared" si="29"/>
        <v>0.87224291034087653</v>
      </c>
      <c r="AK20" s="17">
        <f t="shared" si="3"/>
        <v>435</v>
      </c>
      <c r="AL20" s="17">
        <f t="shared" si="4"/>
        <v>4</v>
      </c>
      <c r="AM20" s="17">
        <f t="shared" si="5"/>
        <v>446</v>
      </c>
      <c r="AN20" s="17">
        <f t="shared" si="6"/>
        <v>111.5</v>
      </c>
      <c r="AO20" s="8">
        <v>4</v>
      </c>
      <c r="AP20" s="9">
        <f t="shared" si="30"/>
        <v>0.36363636363636365</v>
      </c>
      <c r="AQ20" s="8">
        <v>446</v>
      </c>
      <c r="AR20" s="9">
        <f t="shared" si="31"/>
        <v>0.12775708965912347</v>
      </c>
      <c r="AT20" s="9">
        <f t="shared" si="32"/>
        <v>0</v>
      </c>
      <c r="AV20" s="9">
        <f t="shared" si="33"/>
        <v>0</v>
      </c>
      <c r="AW20" s="8">
        <v>2</v>
      </c>
      <c r="AX20" s="9">
        <f t="shared" si="20"/>
        <v>0.5</v>
      </c>
      <c r="AY20" s="9">
        <f t="shared" si="21"/>
        <v>0.18181818181818182</v>
      </c>
      <c r="AZ20" s="8">
        <v>2</v>
      </c>
      <c r="BA20" s="9">
        <f t="shared" si="7"/>
        <v>0.5</v>
      </c>
      <c r="BB20" s="9">
        <f t="shared" si="35"/>
        <v>0.18181818181818182</v>
      </c>
      <c r="BC20" s="8">
        <v>1</v>
      </c>
      <c r="BD20" s="9">
        <f t="shared" si="9"/>
        <v>0.5</v>
      </c>
      <c r="BE20" s="9">
        <f t="shared" si="10"/>
        <v>0.5</v>
      </c>
      <c r="BF20" s="8">
        <v>2</v>
      </c>
      <c r="BG20" s="9">
        <f t="shared" si="34"/>
        <v>1</v>
      </c>
      <c r="BH20" s="9">
        <f t="shared" si="22"/>
        <v>1</v>
      </c>
      <c r="BJ20" s="8">
        <v>433</v>
      </c>
      <c r="BK20" s="9">
        <f t="shared" si="11"/>
        <v>0.12403322830134632</v>
      </c>
      <c r="BL20" s="8">
        <v>13</v>
      </c>
      <c r="BM20" s="9">
        <f t="shared" si="12"/>
        <v>3.7238613577771414E-3</v>
      </c>
    </row>
    <row r="21" spans="1:65" x14ac:dyDescent="0.4">
      <c r="A21" s="8">
        <v>1</v>
      </c>
      <c r="B21" s="8">
        <v>235</v>
      </c>
      <c r="C21" s="8">
        <v>15</v>
      </c>
      <c r="D21" s="8">
        <v>1257</v>
      </c>
      <c r="F21" s="9">
        <f t="shared" si="1"/>
        <v>0</v>
      </c>
      <c r="H21" s="9">
        <f t="shared" si="2"/>
        <v>0</v>
      </c>
      <c r="I21" s="8">
        <v>5</v>
      </c>
      <c r="J21" s="9">
        <f t="shared" si="13"/>
        <v>0.33333333333333331</v>
      </c>
      <c r="K21" s="8">
        <v>828</v>
      </c>
      <c r="L21" s="9">
        <f t="shared" si="14"/>
        <v>0.6587112171837709</v>
      </c>
      <c r="M21" s="8">
        <v>1</v>
      </c>
      <c r="N21" s="9">
        <f t="shared" si="15"/>
        <v>6.6666666666666666E-2</v>
      </c>
      <c r="O21" s="8">
        <v>90</v>
      </c>
      <c r="P21" s="9">
        <f t="shared" si="16"/>
        <v>7.1599045346062054E-2</v>
      </c>
      <c r="Q21" s="8">
        <v>5</v>
      </c>
      <c r="R21" s="9">
        <f t="shared" si="17"/>
        <v>0.33333333333333331</v>
      </c>
      <c r="S21" s="8">
        <v>311</v>
      </c>
      <c r="T21" s="9">
        <f t="shared" si="18"/>
        <v>0.24741447891805887</v>
      </c>
      <c r="U21" s="8">
        <v>4</v>
      </c>
      <c r="V21" s="9">
        <f t="shared" si="19"/>
        <v>0.26666666666666666</v>
      </c>
      <c r="W21" s="8">
        <v>28</v>
      </c>
      <c r="X21" s="9">
        <f t="shared" si="23"/>
        <v>2.2275258552108195E-2</v>
      </c>
      <c r="Y21" s="8">
        <v>3</v>
      </c>
      <c r="Z21" s="9">
        <f t="shared" si="24"/>
        <v>0.2</v>
      </c>
      <c r="AA21" s="8">
        <v>506</v>
      </c>
      <c r="AB21" s="9">
        <f t="shared" si="25"/>
        <v>0.40254574383452663</v>
      </c>
      <c r="AC21" s="8">
        <v>12</v>
      </c>
      <c r="AD21" s="9">
        <f t="shared" si="26"/>
        <v>0.8</v>
      </c>
      <c r="AE21" s="8">
        <v>751</v>
      </c>
      <c r="AF21" s="9">
        <f t="shared" si="27"/>
        <v>0.59745425616547332</v>
      </c>
      <c r="AG21" s="8">
        <v>7</v>
      </c>
      <c r="AH21" s="9">
        <f t="shared" si="28"/>
        <v>0.46666666666666667</v>
      </c>
      <c r="AI21" s="8">
        <v>958</v>
      </c>
      <c r="AJ21" s="9">
        <f t="shared" si="29"/>
        <v>0.76213206046141602</v>
      </c>
      <c r="AK21" s="17">
        <f t="shared" si="3"/>
        <v>136.85714285714286</v>
      </c>
      <c r="AL21" s="17">
        <f t="shared" si="4"/>
        <v>8</v>
      </c>
      <c r="AM21" s="17">
        <f t="shared" si="5"/>
        <v>299</v>
      </c>
      <c r="AN21" s="17">
        <f t="shared" si="6"/>
        <v>37.375</v>
      </c>
      <c r="AO21" s="8">
        <v>7</v>
      </c>
      <c r="AP21" s="9">
        <f t="shared" si="30"/>
        <v>0.46666666666666667</v>
      </c>
      <c r="AQ21" s="8">
        <v>238</v>
      </c>
      <c r="AR21" s="9">
        <f t="shared" si="31"/>
        <v>0.18933969769291964</v>
      </c>
      <c r="AS21" s="8">
        <v>1</v>
      </c>
      <c r="AT21" s="9">
        <f t="shared" si="32"/>
        <v>6.6666666666666666E-2</v>
      </c>
      <c r="AU21" s="8">
        <v>61</v>
      </c>
      <c r="AV21" s="9">
        <f t="shared" si="33"/>
        <v>4.8528241845664281E-2</v>
      </c>
      <c r="AX21" s="9">
        <f>IF(SUM($AO21, $AS21)&lt;&gt;0, AW21/SUM($AO21,$AS21), 0)</f>
        <v>0</v>
      </c>
      <c r="AY21" s="9">
        <f t="shared" si="21"/>
        <v>0</v>
      </c>
      <c r="AZ21" s="8">
        <v>8</v>
      </c>
      <c r="BA21" s="9">
        <f>IF(SUM($AO21, $AS21)&lt;&gt;0, AZ21/SUM($AO21,$AS21), 0)</f>
        <v>1</v>
      </c>
      <c r="BB21" s="9">
        <f t="shared" si="35"/>
        <v>0.53333333333333333</v>
      </c>
      <c r="BD21" s="9">
        <f t="shared" si="9"/>
        <v>0</v>
      </c>
      <c r="BE21" s="9" t="str">
        <f t="shared" si="10"/>
        <v/>
      </c>
      <c r="BG21" s="9">
        <f t="shared" si="34"/>
        <v>0</v>
      </c>
      <c r="BH21" s="9" t="str">
        <f t="shared" si="22"/>
        <v/>
      </c>
      <c r="BK21" s="9">
        <f t="shared" si="11"/>
        <v>0</v>
      </c>
      <c r="BL21" s="8">
        <v>299</v>
      </c>
      <c r="BM21" s="9">
        <f t="shared" si="12"/>
        <v>0.23786793953858393</v>
      </c>
    </row>
    <row r="22" spans="1:65" x14ac:dyDescent="0.4">
      <c r="A22" s="8">
        <v>1</v>
      </c>
      <c r="B22" s="8">
        <v>250</v>
      </c>
      <c r="C22" s="8">
        <v>3</v>
      </c>
      <c r="D22" s="8">
        <v>1660</v>
      </c>
      <c r="F22" s="9">
        <f t="shared" si="1"/>
        <v>0</v>
      </c>
      <c r="H22" s="9">
        <f t="shared" si="2"/>
        <v>0</v>
      </c>
      <c r="I22" s="8">
        <v>2</v>
      </c>
      <c r="J22" s="9">
        <f t="shared" si="13"/>
        <v>0.66666666666666663</v>
      </c>
      <c r="K22" s="8">
        <v>1625</v>
      </c>
      <c r="L22" s="9">
        <f t="shared" si="14"/>
        <v>0.97891566265060237</v>
      </c>
      <c r="N22" s="9">
        <f t="shared" si="15"/>
        <v>0</v>
      </c>
      <c r="P22" s="9">
        <f t="shared" si="16"/>
        <v>0</v>
      </c>
      <c r="Q22" s="8">
        <v>1</v>
      </c>
      <c r="R22" s="9">
        <f t="shared" si="17"/>
        <v>0.33333333333333331</v>
      </c>
      <c r="S22" s="8">
        <v>35</v>
      </c>
      <c r="T22" s="9">
        <f t="shared" si="18"/>
        <v>2.1084337349397589E-2</v>
      </c>
      <c r="V22" s="9">
        <f t="shared" si="19"/>
        <v>0</v>
      </c>
      <c r="X22" s="9">
        <f t="shared" si="23"/>
        <v>0</v>
      </c>
      <c r="Y22" s="8">
        <v>3</v>
      </c>
      <c r="Z22" s="9">
        <f t="shared" si="24"/>
        <v>1</v>
      </c>
      <c r="AA22" s="8">
        <v>1660</v>
      </c>
      <c r="AB22" s="9">
        <f t="shared" si="25"/>
        <v>1</v>
      </c>
      <c r="AD22" s="9">
        <f t="shared" si="26"/>
        <v>0</v>
      </c>
      <c r="AF22" s="9">
        <f t="shared" si="27"/>
        <v>0</v>
      </c>
      <c r="AG22" s="8">
        <v>2</v>
      </c>
      <c r="AH22" s="9">
        <f t="shared" si="28"/>
        <v>0.66666666666666663</v>
      </c>
      <c r="AI22" s="8">
        <v>1625</v>
      </c>
      <c r="AJ22" s="9">
        <f t="shared" si="29"/>
        <v>0.97891566265060237</v>
      </c>
      <c r="AK22" s="17">
        <f t="shared" si="3"/>
        <v>812.5</v>
      </c>
      <c r="AL22" s="17">
        <f t="shared" si="4"/>
        <v>1</v>
      </c>
      <c r="AM22" s="17">
        <f t="shared" si="5"/>
        <v>35</v>
      </c>
      <c r="AN22" s="17">
        <f t="shared" si="6"/>
        <v>35</v>
      </c>
      <c r="AO22" s="8">
        <v>1</v>
      </c>
      <c r="AP22" s="9">
        <f t="shared" si="30"/>
        <v>0.33333333333333331</v>
      </c>
      <c r="AQ22" s="8">
        <v>35</v>
      </c>
      <c r="AR22" s="9">
        <f t="shared" si="31"/>
        <v>2.1084337349397589E-2</v>
      </c>
      <c r="AT22" s="9">
        <f t="shared" si="32"/>
        <v>0</v>
      </c>
      <c r="AV22" s="9">
        <f t="shared" si="33"/>
        <v>0</v>
      </c>
      <c r="AW22" s="8">
        <v>1</v>
      </c>
      <c r="AX22" s="9">
        <f t="shared" ref="AX22:AX85" si="36">IF(SUM($AO22, $AS22)&lt;&gt;0, AW22/SUM($AO22,$AS22), 0)</f>
        <v>1</v>
      </c>
      <c r="AY22" s="9">
        <f t="shared" si="21"/>
        <v>0.33333333333333331</v>
      </c>
      <c r="BA22" s="9">
        <f t="shared" ref="BA22:BA85" si="37">IF(SUM($AO22, $AS22)&lt;&gt;0, AZ22/SUM($AO22,$AS22), 0)</f>
        <v>0</v>
      </c>
      <c r="BB22" s="9">
        <f t="shared" si="35"/>
        <v>0</v>
      </c>
      <c r="BC22" s="8">
        <v>1</v>
      </c>
      <c r="BD22" s="9">
        <f t="shared" si="9"/>
        <v>1</v>
      </c>
      <c r="BE22" s="9">
        <f t="shared" si="10"/>
        <v>1</v>
      </c>
      <c r="BF22" s="8">
        <v>1</v>
      </c>
      <c r="BG22" s="9">
        <f t="shared" si="34"/>
        <v>1</v>
      </c>
      <c r="BH22" s="9">
        <f t="shared" si="22"/>
        <v>1</v>
      </c>
      <c r="BJ22" s="8">
        <v>35</v>
      </c>
      <c r="BK22" s="9">
        <f t="shared" si="11"/>
        <v>2.1084337349397589E-2</v>
      </c>
      <c r="BM22" s="9">
        <f t="shared" si="12"/>
        <v>0</v>
      </c>
    </row>
    <row r="23" spans="1:65" x14ac:dyDescent="0.4">
      <c r="A23" s="8">
        <v>1</v>
      </c>
      <c r="B23" s="8">
        <v>264</v>
      </c>
      <c r="C23" s="8">
        <v>4</v>
      </c>
      <c r="D23" s="8">
        <v>40</v>
      </c>
      <c r="F23" s="9">
        <f t="shared" si="1"/>
        <v>0</v>
      </c>
      <c r="H23" s="9">
        <f t="shared" si="2"/>
        <v>0</v>
      </c>
      <c r="J23" s="9">
        <f t="shared" si="13"/>
        <v>0</v>
      </c>
      <c r="L23" s="9">
        <f t="shared" si="14"/>
        <v>0</v>
      </c>
      <c r="N23" s="9">
        <f t="shared" si="15"/>
        <v>0</v>
      </c>
      <c r="P23" s="9">
        <f t="shared" si="16"/>
        <v>0</v>
      </c>
      <c r="R23" s="9">
        <f t="shared" si="17"/>
        <v>0</v>
      </c>
      <c r="T23" s="9">
        <f t="shared" si="18"/>
        <v>0</v>
      </c>
      <c r="U23" s="8">
        <v>4</v>
      </c>
      <c r="V23" s="9">
        <f t="shared" si="19"/>
        <v>1</v>
      </c>
      <c r="W23" s="8">
        <v>40</v>
      </c>
      <c r="X23" s="9">
        <f t="shared" si="23"/>
        <v>1</v>
      </c>
      <c r="Z23" s="9">
        <f t="shared" si="24"/>
        <v>0</v>
      </c>
      <c r="AB23" s="9">
        <f t="shared" si="25"/>
        <v>0</v>
      </c>
      <c r="AC23" s="8">
        <v>4</v>
      </c>
      <c r="AD23" s="9">
        <f t="shared" si="26"/>
        <v>1</v>
      </c>
      <c r="AE23" s="8">
        <v>40</v>
      </c>
      <c r="AF23" s="9">
        <f t="shared" si="27"/>
        <v>1</v>
      </c>
      <c r="AH23" s="9">
        <f t="shared" si="28"/>
        <v>0</v>
      </c>
      <c r="AJ23" s="9">
        <f t="shared" si="29"/>
        <v>0</v>
      </c>
      <c r="AK23" s="17" t="str">
        <f t="shared" si="3"/>
        <v/>
      </c>
      <c r="AL23" s="17">
        <f t="shared" si="4"/>
        <v>4</v>
      </c>
      <c r="AM23" s="17">
        <f t="shared" si="5"/>
        <v>40</v>
      </c>
      <c r="AN23" s="17">
        <f t="shared" si="6"/>
        <v>10</v>
      </c>
      <c r="AO23" s="8">
        <v>4</v>
      </c>
      <c r="AP23" s="9">
        <f t="shared" si="30"/>
        <v>1</v>
      </c>
      <c r="AQ23" s="8">
        <v>40</v>
      </c>
      <c r="AR23" s="9">
        <f t="shared" si="31"/>
        <v>1</v>
      </c>
      <c r="AT23" s="9">
        <f t="shared" si="32"/>
        <v>0</v>
      </c>
      <c r="AV23" s="9">
        <f t="shared" si="33"/>
        <v>0</v>
      </c>
      <c r="AX23" s="9">
        <f t="shared" si="36"/>
        <v>0</v>
      </c>
      <c r="AY23" s="9">
        <f t="shared" si="21"/>
        <v>0</v>
      </c>
      <c r="AZ23" s="8">
        <v>4</v>
      </c>
      <c r="BA23" s="9">
        <f t="shared" si="37"/>
        <v>1</v>
      </c>
      <c r="BB23" s="9">
        <f t="shared" si="35"/>
        <v>1</v>
      </c>
      <c r="BD23" s="9">
        <f t="shared" si="9"/>
        <v>0</v>
      </c>
      <c r="BE23" s="9" t="str">
        <f t="shared" si="10"/>
        <v/>
      </c>
      <c r="BG23" s="9">
        <f t="shared" si="34"/>
        <v>0</v>
      </c>
      <c r="BH23" s="9" t="str">
        <f t="shared" si="22"/>
        <v/>
      </c>
      <c r="BK23" s="9">
        <f t="shared" si="11"/>
        <v>0</v>
      </c>
      <c r="BL23" s="8">
        <v>40</v>
      </c>
      <c r="BM23" s="9">
        <f t="shared" si="12"/>
        <v>1</v>
      </c>
    </row>
    <row r="24" spans="1:65" x14ac:dyDescent="0.4">
      <c r="A24" s="8">
        <v>1</v>
      </c>
      <c r="B24" s="8">
        <v>269</v>
      </c>
      <c r="C24" s="8">
        <v>10</v>
      </c>
      <c r="D24" s="8">
        <v>3377</v>
      </c>
      <c r="F24" s="9">
        <f t="shared" si="1"/>
        <v>0</v>
      </c>
      <c r="H24" s="9">
        <f t="shared" si="2"/>
        <v>0</v>
      </c>
      <c r="I24" s="8">
        <v>4</v>
      </c>
      <c r="J24" s="9">
        <f t="shared" si="13"/>
        <v>0.4</v>
      </c>
      <c r="K24" s="8">
        <v>2764</v>
      </c>
      <c r="L24" s="9">
        <f t="shared" si="14"/>
        <v>0.81847793899911159</v>
      </c>
      <c r="N24" s="9">
        <f t="shared" si="15"/>
        <v>0</v>
      </c>
      <c r="P24" s="9">
        <f t="shared" si="16"/>
        <v>0</v>
      </c>
      <c r="Q24" s="8">
        <v>1</v>
      </c>
      <c r="R24" s="9">
        <f t="shared" si="17"/>
        <v>0.1</v>
      </c>
      <c r="S24" s="8">
        <v>561</v>
      </c>
      <c r="T24" s="9">
        <f t="shared" si="18"/>
        <v>0.16612377850162866</v>
      </c>
      <c r="U24" s="8">
        <v>5</v>
      </c>
      <c r="V24" s="9">
        <f t="shared" si="19"/>
        <v>0.5</v>
      </c>
      <c r="W24" s="8">
        <v>52</v>
      </c>
      <c r="X24" s="9">
        <f t="shared" si="23"/>
        <v>1.5398282499259699E-2</v>
      </c>
      <c r="Y24" s="8">
        <v>3</v>
      </c>
      <c r="Z24" s="9">
        <f t="shared" si="24"/>
        <v>0.3</v>
      </c>
      <c r="AA24" s="8">
        <v>2134</v>
      </c>
      <c r="AB24" s="9">
        <f t="shared" si="25"/>
        <v>0.63192182410423448</v>
      </c>
      <c r="AC24" s="8">
        <v>7</v>
      </c>
      <c r="AD24" s="9">
        <f t="shared" si="26"/>
        <v>0.7</v>
      </c>
      <c r="AE24" s="8">
        <v>1243</v>
      </c>
      <c r="AF24" s="9">
        <f t="shared" si="27"/>
        <v>0.36807817589576547</v>
      </c>
      <c r="AG24" s="8">
        <v>6</v>
      </c>
      <c r="AH24" s="9">
        <f t="shared" si="28"/>
        <v>0.6</v>
      </c>
      <c r="AI24" s="8">
        <v>2780</v>
      </c>
      <c r="AJ24" s="9">
        <f t="shared" si="29"/>
        <v>0.82321587207580693</v>
      </c>
      <c r="AK24" s="17">
        <f t="shared" si="3"/>
        <v>463.33333333333331</v>
      </c>
      <c r="AL24" s="17">
        <f t="shared" si="4"/>
        <v>4</v>
      </c>
      <c r="AM24" s="17">
        <f t="shared" si="5"/>
        <v>597</v>
      </c>
      <c r="AN24" s="17">
        <f t="shared" si="6"/>
        <v>149.25</v>
      </c>
      <c r="AO24" s="8">
        <v>3</v>
      </c>
      <c r="AP24" s="9">
        <f t="shared" si="30"/>
        <v>0.3</v>
      </c>
      <c r="AQ24" s="8">
        <v>594</v>
      </c>
      <c r="AR24" s="9">
        <f t="shared" si="31"/>
        <v>0.1758957654723127</v>
      </c>
      <c r="AS24" s="8">
        <v>1</v>
      </c>
      <c r="AT24" s="9">
        <f t="shared" si="32"/>
        <v>0.1</v>
      </c>
      <c r="AU24" s="8">
        <v>3</v>
      </c>
      <c r="AV24" s="9">
        <f t="shared" si="33"/>
        <v>8.8836245188036718E-4</v>
      </c>
      <c r="AX24" s="9">
        <f t="shared" si="36"/>
        <v>0</v>
      </c>
      <c r="AY24" s="9">
        <f t="shared" si="21"/>
        <v>0</v>
      </c>
      <c r="AZ24" s="8">
        <v>4</v>
      </c>
      <c r="BA24" s="9">
        <f t="shared" si="37"/>
        <v>1</v>
      </c>
      <c r="BB24" s="9">
        <f t="shared" si="35"/>
        <v>0.4</v>
      </c>
      <c r="BD24" s="9">
        <f t="shared" si="9"/>
        <v>0</v>
      </c>
      <c r="BE24" s="9" t="str">
        <f t="shared" si="10"/>
        <v/>
      </c>
      <c r="BG24" s="9">
        <f t="shared" si="34"/>
        <v>0</v>
      </c>
      <c r="BH24" s="9" t="str">
        <f t="shared" si="22"/>
        <v/>
      </c>
      <c r="BK24" s="9">
        <f t="shared" si="11"/>
        <v>0</v>
      </c>
      <c r="BL24" s="8">
        <v>597</v>
      </c>
      <c r="BM24" s="9">
        <f t="shared" si="12"/>
        <v>0.17678412792419307</v>
      </c>
    </row>
    <row r="25" spans="1:65" x14ac:dyDescent="0.4">
      <c r="A25" s="8">
        <v>1</v>
      </c>
      <c r="B25" s="8">
        <v>276</v>
      </c>
      <c r="C25" s="8">
        <v>13</v>
      </c>
      <c r="D25" s="8">
        <v>3635</v>
      </c>
      <c r="F25" s="9">
        <f t="shared" si="1"/>
        <v>0</v>
      </c>
      <c r="H25" s="9">
        <f t="shared" si="2"/>
        <v>0</v>
      </c>
      <c r="I25" s="8">
        <v>6</v>
      </c>
      <c r="J25" s="9">
        <f t="shared" si="13"/>
        <v>0.46153846153846156</v>
      </c>
      <c r="K25" s="8">
        <v>3347</v>
      </c>
      <c r="L25" s="9">
        <f t="shared" si="14"/>
        <v>0.92077028885832191</v>
      </c>
      <c r="N25" s="9">
        <f t="shared" si="15"/>
        <v>0</v>
      </c>
      <c r="P25" s="9">
        <f t="shared" si="16"/>
        <v>0</v>
      </c>
      <c r="Q25" s="8">
        <v>1</v>
      </c>
      <c r="R25" s="9">
        <f t="shared" si="17"/>
        <v>7.6923076923076927E-2</v>
      </c>
      <c r="S25" s="8">
        <v>115</v>
      </c>
      <c r="T25" s="9">
        <f t="shared" si="18"/>
        <v>3.1636863823933978E-2</v>
      </c>
      <c r="U25" s="8">
        <v>6</v>
      </c>
      <c r="V25" s="9">
        <f t="shared" si="19"/>
        <v>0.46153846153846156</v>
      </c>
      <c r="W25" s="8">
        <v>173</v>
      </c>
      <c r="X25" s="9">
        <f t="shared" si="23"/>
        <v>4.7592847317744151E-2</v>
      </c>
      <c r="Y25" s="8">
        <v>3</v>
      </c>
      <c r="Z25" s="9">
        <f t="shared" si="24"/>
        <v>0.23076923076923078</v>
      </c>
      <c r="AA25" s="8">
        <v>1496</v>
      </c>
      <c r="AB25" s="9">
        <f t="shared" si="25"/>
        <v>0.41155433287482807</v>
      </c>
      <c r="AC25" s="8">
        <v>10</v>
      </c>
      <c r="AD25" s="9">
        <f t="shared" si="26"/>
        <v>0.76923076923076927</v>
      </c>
      <c r="AE25" s="8">
        <v>2139</v>
      </c>
      <c r="AF25" s="9">
        <f t="shared" si="27"/>
        <v>0.58844566712517199</v>
      </c>
      <c r="AG25" s="8">
        <v>6</v>
      </c>
      <c r="AH25" s="9">
        <f t="shared" si="28"/>
        <v>0.46153846153846156</v>
      </c>
      <c r="AI25" s="8">
        <v>2868</v>
      </c>
      <c r="AJ25" s="9">
        <f t="shared" si="29"/>
        <v>0.78899587345254474</v>
      </c>
      <c r="AK25" s="17">
        <f t="shared" si="3"/>
        <v>478</v>
      </c>
      <c r="AL25" s="17">
        <f t="shared" si="4"/>
        <v>7</v>
      </c>
      <c r="AM25" s="17">
        <f t="shared" si="5"/>
        <v>767</v>
      </c>
      <c r="AN25" s="17">
        <f t="shared" si="6"/>
        <v>109.57142857142857</v>
      </c>
      <c r="AO25" s="8">
        <v>6</v>
      </c>
      <c r="AP25" s="9">
        <f t="shared" si="30"/>
        <v>0.46153846153846156</v>
      </c>
      <c r="AQ25" s="8">
        <v>766</v>
      </c>
      <c r="AR25" s="9">
        <f t="shared" si="31"/>
        <v>0.21072902338376892</v>
      </c>
      <c r="AS25" s="8">
        <v>1</v>
      </c>
      <c r="AT25" s="9">
        <f t="shared" si="32"/>
        <v>7.6923076923076927E-2</v>
      </c>
      <c r="AU25" s="8">
        <v>1</v>
      </c>
      <c r="AV25" s="9">
        <f t="shared" si="33"/>
        <v>2.7510316368638239E-4</v>
      </c>
      <c r="AW25" s="8">
        <v>2</v>
      </c>
      <c r="AX25" s="9">
        <f t="shared" si="36"/>
        <v>0.2857142857142857</v>
      </c>
      <c r="AY25" s="9">
        <f t="shared" si="21"/>
        <v>0.15384615384615385</v>
      </c>
      <c r="AZ25" s="8">
        <v>5</v>
      </c>
      <c r="BA25" s="9">
        <f t="shared" si="37"/>
        <v>0.7142857142857143</v>
      </c>
      <c r="BB25" s="9">
        <f t="shared" si="35"/>
        <v>0.38461538461538464</v>
      </c>
      <c r="BD25" s="9">
        <f t="shared" si="9"/>
        <v>0</v>
      </c>
      <c r="BE25" s="9">
        <f t="shared" si="10"/>
        <v>0</v>
      </c>
      <c r="BF25" s="8">
        <v>1</v>
      </c>
      <c r="BG25" s="9">
        <f t="shared" si="34"/>
        <v>0.5</v>
      </c>
      <c r="BH25" s="9">
        <f t="shared" si="22"/>
        <v>0.5</v>
      </c>
      <c r="BJ25" s="8">
        <v>614</v>
      </c>
      <c r="BK25" s="9">
        <f t="shared" si="11"/>
        <v>0.16891334250343878</v>
      </c>
      <c r="BL25" s="8">
        <v>153</v>
      </c>
      <c r="BM25" s="9">
        <f t="shared" si="12"/>
        <v>4.2090784044016505E-2</v>
      </c>
    </row>
    <row r="26" spans="1:65" x14ac:dyDescent="0.4">
      <c r="A26" s="8">
        <v>2</v>
      </c>
      <c r="B26" s="8">
        <v>23</v>
      </c>
      <c r="C26" s="8">
        <v>5</v>
      </c>
      <c r="D26" s="8">
        <v>1536</v>
      </c>
      <c r="F26" s="9">
        <f t="shared" si="1"/>
        <v>0</v>
      </c>
      <c r="H26" s="9">
        <f t="shared" si="2"/>
        <v>0</v>
      </c>
      <c r="I26" s="8">
        <v>4</v>
      </c>
      <c r="J26" s="9">
        <f t="shared" si="13"/>
        <v>0.8</v>
      </c>
      <c r="K26" s="8">
        <v>1529</v>
      </c>
      <c r="L26" s="9">
        <f t="shared" si="14"/>
        <v>0.99544270833333337</v>
      </c>
      <c r="N26" s="9">
        <f t="shared" si="15"/>
        <v>0</v>
      </c>
      <c r="P26" s="9">
        <f t="shared" si="16"/>
        <v>0</v>
      </c>
      <c r="R26" s="9">
        <f t="shared" si="17"/>
        <v>0</v>
      </c>
      <c r="T26" s="9">
        <f t="shared" si="18"/>
        <v>0</v>
      </c>
      <c r="U26" s="8">
        <v>1</v>
      </c>
      <c r="V26" s="9">
        <f t="shared" si="19"/>
        <v>0.2</v>
      </c>
      <c r="W26" s="8">
        <v>7</v>
      </c>
      <c r="X26" s="9">
        <f t="shared" si="23"/>
        <v>4.557291666666667E-3</v>
      </c>
      <c r="Y26" s="8">
        <v>4</v>
      </c>
      <c r="Z26" s="9">
        <f t="shared" si="24"/>
        <v>0.8</v>
      </c>
      <c r="AA26" s="8">
        <v>1529</v>
      </c>
      <c r="AB26" s="9">
        <f t="shared" si="25"/>
        <v>0.99544270833333337</v>
      </c>
      <c r="AC26" s="8">
        <v>1</v>
      </c>
      <c r="AD26" s="9">
        <f t="shared" si="26"/>
        <v>0.2</v>
      </c>
      <c r="AE26" s="8">
        <v>7</v>
      </c>
      <c r="AF26" s="9">
        <f t="shared" si="27"/>
        <v>4.557291666666667E-3</v>
      </c>
      <c r="AG26" s="8">
        <v>2</v>
      </c>
      <c r="AH26" s="9">
        <f t="shared" si="28"/>
        <v>0.4</v>
      </c>
      <c r="AI26" s="8">
        <v>1185</v>
      </c>
      <c r="AJ26" s="9">
        <f t="shared" si="29"/>
        <v>0.771484375</v>
      </c>
      <c r="AK26" s="17">
        <f t="shared" si="3"/>
        <v>592.5</v>
      </c>
      <c r="AL26" s="17">
        <f t="shared" si="4"/>
        <v>3</v>
      </c>
      <c r="AM26" s="17">
        <f t="shared" si="5"/>
        <v>351</v>
      </c>
      <c r="AN26" s="17">
        <f t="shared" si="6"/>
        <v>117</v>
      </c>
      <c r="AO26" s="8">
        <v>2</v>
      </c>
      <c r="AP26" s="9">
        <f t="shared" si="30"/>
        <v>0.4</v>
      </c>
      <c r="AQ26" s="8">
        <v>344</v>
      </c>
      <c r="AR26" s="9">
        <f t="shared" si="31"/>
        <v>0.22395833333333334</v>
      </c>
      <c r="AS26" s="8">
        <v>1</v>
      </c>
      <c r="AT26" s="9">
        <f t="shared" si="32"/>
        <v>0.2</v>
      </c>
      <c r="AU26" s="8">
        <v>7</v>
      </c>
      <c r="AV26" s="9">
        <f t="shared" si="33"/>
        <v>4.557291666666667E-3</v>
      </c>
      <c r="AW26" s="8">
        <v>2</v>
      </c>
      <c r="AX26" s="9">
        <f t="shared" si="36"/>
        <v>0.66666666666666663</v>
      </c>
      <c r="AY26" s="9">
        <f t="shared" si="21"/>
        <v>0.4</v>
      </c>
      <c r="AZ26" s="8">
        <v>1</v>
      </c>
      <c r="BA26" s="9">
        <f t="shared" si="37"/>
        <v>0.33333333333333331</v>
      </c>
      <c r="BB26" s="9">
        <f t="shared" si="35"/>
        <v>0.2</v>
      </c>
      <c r="BD26" s="9">
        <f t="shared" si="9"/>
        <v>0</v>
      </c>
      <c r="BE26" s="9">
        <f t="shared" si="10"/>
        <v>0</v>
      </c>
      <c r="BG26" s="9">
        <f>IF(($AW26-$BI26)&lt;&gt;0, BF26/($AW26-$BI26), 0)</f>
        <v>0</v>
      </c>
      <c r="BH26" s="9">
        <f t="shared" si="22"/>
        <v>0</v>
      </c>
      <c r="BI26" s="8">
        <v>2</v>
      </c>
      <c r="BJ26" s="8">
        <v>344</v>
      </c>
      <c r="BK26" s="9">
        <f t="shared" si="11"/>
        <v>0.22395833333333334</v>
      </c>
      <c r="BL26" s="8">
        <v>7</v>
      </c>
      <c r="BM26" s="9">
        <f t="shared" si="12"/>
        <v>4.557291666666667E-3</v>
      </c>
    </row>
    <row r="27" spans="1:65" x14ac:dyDescent="0.4">
      <c r="A27" s="8">
        <v>2</v>
      </c>
      <c r="B27" s="8">
        <v>37</v>
      </c>
      <c r="C27" s="8">
        <v>10</v>
      </c>
      <c r="D27" s="8">
        <v>3395</v>
      </c>
      <c r="F27" s="9">
        <f t="shared" si="1"/>
        <v>0</v>
      </c>
      <c r="H27" s="9">
        <f t="shared" si="2"/>
        <v>0</v>
      </c>
      <c r="I27" s="8">
        <v>4</v>
      </c>
      <c r="J27" s="9">
        <f t="shared" si="13"/>
        <v>0.4</v>
      </c>
      <c r="K27" s="8">
        <v>2373</v>
      </c>
      <c r="L27" s="9">
        <f t="shared" si="14"/>
        <v>0.69896907216494841</v>
      </c>
      <c r="M27" s="8">
        <v>2</v>
      </c>
      <c r="N27" s="9">
        <f t="shared" si="15"/>
        <v>0.2</v>
      </c>
      <c r="O27" s="8">
        <v>409</v>
      </c>
      <c r="P27" s="9">
        <f t="shared" si="16"/>
        <v>0.12047128129602357</v>
      </c>
      <c r="Q27" s="8">
        <v>2</v>
      </c>
      <c r="R27" s="9">
        <f t="shared" si="17"/>
        <v>0.2</v>
      </c>
      <c r="S27" s="8">
        <v>282</v>
      </c>
      <c r="T27" s="9">
        <f t="shared" si="18"/>
        <v>8.3063328424153163E-2</v>
      </c>
      <c r="U27" s="8">
        <v>2</v>
      </c>
      <c r="V27" s="9">
        <f t="shared" si="19"/>
        <v>0.2</v>
      </c>
      <c r="W27" s="8">
        <v>331</v>
      </c>
      <c r="X27" s="9">
        <f t="shared" si="23"/>
        <v>9.7496318114874816E-2</v>
      </c>
      <c r="Y27" s="8">
        <v>4</v>
      </c>
      <c r="Z27" s="9">
        <f t="shared" si="24"/>
        <v>0.4</v>
      </c>
      <c r="AA27" s="8">
        <v>2373</v>
      </c>
      <c r="AB27" s="9">
        <f t="shared" si="25"/>
        <v>0.69896907216494841</v>
      </c>
      <c r="AC27" s="8">
        <v>6</v>
      </c>
      <c r="AD27" s="9">
        <f t="shared" si="26"/>
        <v>0.6</v>
      </c>
      <c r="AE27" s="8">
        <v>1022</v>
      </c>
      <c r="AF27" s="9">
        <f t="shared" si="27"/>
        <v>0.30103092783505153</v>
      </c>
      <c r="AG27" s="8">
        <v>6</v>
      </c>
      <c r="AH27" s="9">
        <f t="shared" si="28"/>
        <v>0.6</v>
      </c>
      <c r="AI27" s="8">
        <v>3069</v>
      </c>
      <c r="AJ27" s="9">
        <f t="shared" si="29"/>
        <v>0.90397643593519883</v>
      </c>
      <c r="AK27" s="17">
        <f t="shared" si="3"/>
        <v>511.5</v>
      </c>
      <c r="AL27" s="17">
        <f t="shared" si="4"/>
        <v>4</v>
      </c>
      <c r="AM27" s="17">
        <f t="shared" si="5"/>
        <v>326</v>
      </c>
      <c r="AN27" s="17">
        <f t="shared" si="6"/>
        <v>81.5</v>
      </c>
      <c r="AO27" s="8">
        <v>3</v>
      </c>
      <c r="AP27" s="9">
        <f t="shared" si="30"/>
        <v>0.3</v>
      </c>
      <c r="AQ27" s="8">
        <v>252</v>
      </c>
      <c r="AR27" s="9">
        <f t="shared" si="31"/>
        <v>7.422680412371134E-2</v>
      </c>
      <c r="AS27" s="8">
        <v>1</v>
      </c>
      <c r="AT27" s="9">
        <f t="shared" si="32"/>
        <v>0.1</v>
      </c>
      <c r="AU27" s="8">
        <v>74</v>
      </c>
      <c r="AV27" s="9">
        <f t="shared" si="33"/>
        <v>2.1796759941089837E-2</v>
      </c>
      <c r="AX27" s="9">
        <f t="shared" si="36"/>
        <v>0</v>
      </c>
      <c r="AY27" s="9">
        <f t="shared" si="21"/>
        <v>0</v>
      </c>
      <c r="AZ27" s="8">
        <v>4</v>
      </c>
      <c r="BA27" s="9">
        <f t="shared" si="37"/>
        <v>1</v>
      </c>
      <c r="BB27" s="9">
        <f t="shared" si="35"/>
        <v>0.4</v>
      </c>
      <c r="BD27" s="9">
        <f t="shared" si="9"/>
        <v>0</v>
      </c>
      <c r="BE27" s="9" t="str">
        <f t="shared" si="10"/>
        <v/>
      </c>
      <c r="BG27" s="9">
        <f t="shared" si="34"/>
        <v>0</v>
      </c>
      <c r="BH27" s="9" t="str">
        <f t="shared" si="22"/>
        <v/>
      </c>
      <c r="BK27" s="9">
        <f t="shared" si="11"/>
        <v>0</v>
      </c>
      <c r="BL27" s="8">
        <v>326</v>
      </c>
      <c r="BM27" s="9">
        <f t="shared" si="12"/>
        <v>9.6023564064801184E-2</v>
      </c>
    </row>
    <row r="28" spans="1:65" x14ac:dyDescent="0.4">
      <c r="A28" s="8">
        <v>2</v>
      </c>
      <c r="B28" s="8">
        <v>40</v>
      </c>
      <c r="C28" s="8">
        <v>9</v>
      </c>
      <c r="D28" s="8">
        <v>9357</v>
      </c>
      <c r="F28" s="9">
        <f t="shared" si="1"/>
        <v>0</v>
      </c>
      <c r="H28" s="9">
        <f t="shared" si="2"/>
        <v>0</v>
      </c>
      <c r="I28" s="8">
        <v>5</v>
      </c>
      <c r="J28" s="9">
        <f t="shared" si="13"/>
        <v>0.55555555555555558</v>
      </c>
      <c r="K28" s="8">
        <v>8994</v>
      </c>
      <c r="L28" s="9">
        <f t="shared" si="14"/>
        <v>0.96120551458800896</v>
      </c>
      <c r="M28" s="8">
        <v>2</v>
      </c>
      <c r="N28" s="9">
        <f t="shared" si="15"/>
        <v>0.22222222222222221</v>
      </c>
      <c r="O28" s="8">
        <v>171</v>
      </c>
      <c r="P28" s="9">
        <f t="shared" si="16"/>
        <v>1.8275088169285029E-2</v>
      </c>
      <c r="Q28" s="8">
        <v>1</v>
      </c>
      <c r="R28" s="9">
        <f t="shared" si="17"/>
        <v>0.1111111111111111</v>
      </c>
      <c r="S28" s="8">
        <v>83</v>
      </c>
      <c r="T28" s="9">
        <f t="shared" si="18"/>
        <v>8.8703644330447792E-3</v>
      </c>
      <c r="U28" s="8">
        <v>1</v>
      </c>
      <c r="V28" s="9">
        <f t="shared" si="19"/>
        <v>0.1111111111111111</v>
      </c>
      <c r="W28" s="8">
        <v>109</v>
      </c>
      <c r="X28" s="9">
        <f t="shared" si="23"/>
        <v>1.1649032809661217E-2</v>
      </c>
      <c r="Y28" s="8">
        <v>3</v>
      </c>
      <c r="Z28" s="9">
        <f t="shared" si="24"/>
        <v>0.33333333333333331</v>
      </c>
      <c r="AA28" s="8">
        <v>8323</v>
      </c>
      <c r="AB28" s="9">
        <f t="shared" si="25"/>
        <v>0.88949449609917708</v>
      </c>
      <c r="AC28" s="8">
        <v>6</v>
      </c>
      <c r="AD28" s="9">
        <f t="shared" si="26"/>
        <v>0.66666666666666663</v>
      </c>
      <c r="AE28" s="8">
        <v>1034</v>
      </c>
      <c r="AF28" s="9">
        <f t="shared" si="27"/>
        <v>0.11050550390082291</v>
      </c>
      <c r="AG28" s="8">
        <v>6</v>
      </c>
      <c r="AH28" s="9">
        <f t="shared" si="28"/>
        <v>0.66666666666666663</v>
      </c>
      <c r="AI28" s="8">
        <v>9044</v>
      </c>
      <c r="AJ28" s="9">
        <f t="shared" si="29"/>
        <v>0.96654910761996371</v>
      </c>
      <c r="AK28" s="17">
        <f t="shared" si="3"/>
        <v>1507.3333333333333</v>
      </c>
      <c r="AL28" s="17">
        <f t="shared" si="4"/>
        <v>3</v>
      </c>
      <c r="AM28" s="17">
        <f t="shared" si="5"/>
        <v>313</v>
      </c>
      <c r="AN28" s="17">
        <f t="shared" si="6"/>
        <v>104.33333333333333</v>
      </c>
      <c r="AO28" s="8">
        <v>2</v>
      </c>
      <c r="AP28" s="9">
        <f t="shared" si="30"/>
        <v>0.22222222222222221</v>
      </c>
      <c r="AQ28" s="8">
        <v>204</v>
      </c>
      <c r="AR28" s="9">
        <f t="shared" si="31"/>
        <v>2.1801859570375122E-2</v>
      </c>
      <c r="AS28" s="8">
        <v>1</v>
      </c>
      <c r="AT28" s="9">
        <f t="shared" si="32"/>
        <v>0.1111111111111111</v>
      </c>
      <c r="AU28" s="8">
        <v>109</v>
      </c>
      <c r="AV28" s="9">
        <f t="shared" si="33"/>
        <v>1.1649032809661217E-2</v>
      </c>
      <c r="AX28" s="9">
        <f t="shared" si="36"/>
        <v>0</v>
      </c>
      <c r="AY28" s="9">
        <f t="shared" si="21"/>
        <v>0</v>
      </c>
      <c r="AZ28" s="8">
        <v>3</v>
      </c>
      <c r="BA28" s="9">
        <f t="shared" si="37"/>
        <v>1</v>
      </c>
      <c r="BB28" s="9">
        <f t="shared" si="35"/>
        <v>0.33333333333333331</v>
      </c>
      <c r="BD28" s="9">
        <f t="shared" si="9"/>
        <v>0</v>
      </c>
      <c r="BE28" s="9" t="str">
        <f t="shared" si="10"/>
        <v/>
      </c>
      <c r="BG28" s="9">
        <f t="shared" si="34"/>
        <v>0</v>
      </c>
      <c r="BH28" s="9" t="str">
        <f t="shared" si="22"/>
        <v/>
      </c>
      <c r="BK28" s="9">
        <f t="shared" si="11"/>
        <v>0</v>
      </c>
      <c r="BL28" s="8">
        <v>313</v>
      </c>
      <c r="BM28" s="9">
        <f t="shared" si="12"/>
        <v>3.3450892380036339E-2</v>
      </c>
    </row>
    <row r="29" spans="1:65" x14ac:dyDescent="0.4">
      <c r="A29" s="8">
        <v>2</v>
      </c>
      <c r="B29" s="8">
        <v>69</v>
      </c>
      <c r="C29" s="8">
        <v>14</v>
      </c>
      <c r="D29" s="8">
        <v>4247</v>
      </c>
      <c r="F29" s="9">
        <f t="shared" si="1"/>
        <v>0</v>
      </c>
      <c r="H29" s="9">
        <f t="shared" si="2"/>
        <v>0</v>
      </c>
      <c r="I29" s="8">
        <v>3</v>
      </c>
      <c r="J29" s="9">
        <f t="shared" si="13"/>
        <v>0.21428571428571427</v>
      </c>
      <c r="K29" s="8">
        <v>2646</v>
      </c>
      <c r="L29" s="9">
        <f t="shared" si="14"/>
        <v>0.62302801977866729</v>
      </c>
      <c r="M29" s="8">
        <v>3</v>
      </c>
      <c r="N29" s="9">
        <f t="shared" si="15"/>
        <v>0.21428571428571427</v>
      </c>
      <c r="O29" s="8">
        <v>455</v>
      </c>
      <c r="P29" s="9">
        <f t="shared" si="16"/>
        <v>0.10713444784553802</v>
      </c>
      <c r="Q29" s="8">
        <v>3</v>
      </c>
      <c r="R29" s="9">
        <f t="shared" si="17"/>
        <v>0.21428571428571427</v>
      </c>
      <c r="S29" s="8">
        <v>576</v>
      </c>
      <c r="T29" s="9">
        <f t="shared" si="18"/>
        <v>0.13562514716270307</v>
      </c>
      <c r="U29" s="8">
        <v>5</v>
      </c>
      <c r="V29" s="9">
        <f t="shared" si="19"/>
        <v>0.35714285714285715</v>
      </c>
      <c r="W29" s="8">
        <v>570</v>
      </c>
      <c r="X29" s="9">
        <f t="shared" si="23"/>
        <v>0.13421238521309159</v>
      </c>
      <c r="Y29" s="8">
        <v>3</v>
      </c>
      <c r="Z29" s="9">
        <f t="shared" si="24"/>
        <v>0.21428571428571427</v>
      </c>
      <c r="AA29" s="8">
        <v>2646</v>
      </c>
      <c r="AB29" s="9">
        <f t="shared" si="25"/>
        <v>0.62302801977866729</v>
      </c>
      <c r="AC29" s="8">
        <v>11</v>
      </c>
      <c r="AD29" s="9">
        <f t="shared" si="26"/>
        <v>0.7857142857142857</v>
      </c>
      <c r="AE29" s="8">
        <v>1601</v>
      </c>
      <c r="AF29" s="9">
        <f t="shared" si="27"/>
        <v>0.37697198022133271</v>
      </c>
      <c r="AG29" s="8">
        <v>9</v>
      </c>
      <c r="AH29" s="9">
        <f t="shared" si="28"/>
        <v>0.6428571428571429</v>
      </c>
      <c r="AI29" s="8">
        <v>3901</v>
      </c>
      <c r="AJ29" s="9">
        <f t="shared" si="29"/>
        <v>0.91853072757240406</v>
      </c>
      <c r="AK29" s="17">
        <f t="shared" si="3"/>
        <v>433.44444444444446</v>
      </c>
      <c r="AL29" s="17">
        <f t="shared" si="4"/>
        <v>5</v>
      </c>
      <c r="AM29" s="17">
        <f t="shared" si="5"/>
        <v>346</v>
      </c>
      <c r="AN29" s="17">
        <f t="shared" si="6"/>
        <v>69.2</v>
      </c>
      <c r="AO29" s="8">
        <v>5</v>
      </c>
      <c r="AP29" s="9">
        <f t="shared" si="30"/>
        <v>0.35714285714285715</v>
      </c>
      <c r="AQ29" s="8">
        <v>346</v>
      </c>
      <c r="AR29" s="9">
        <f t="shared" si="31"/>
        <v>8.1469272427595954E-2</v>
      </c>
      <c r="AT29" s="9">
        <f t="shared" si="32"/>
        <v>0</v>
      </c>
      <c r="AV29" s="9">
        <f t="shared" si="33"/>
        <v>0</v>
      </c>
      <c r="AX29" s="9">
        <f t="shared" si="36"/>
        <v>0</v>
      </c>
      <c r="AY29" s="9">
        <f t="shared" si="21"/>
        <v>0</v>
      </c>
      <c r="AZ29" s="8">
        <v>5</v>
      </c>
      <c r="BA29" s="9">
        <f t="shared" si="37"/>
        <v>1</v>
      </c>
      <c r="BB29" s="9">
        <f t="shared" si="35"/>
        <v>0.35714285714285715</v>
      </c>
      <c r="BD29" s="9">
        <f t="shared" si="9"/>
        <v>0</v>
      </c>
      <c r="BE29" s="9" t="str">
        <f t="shared" si="10"/>
        <v/>
      </c>
      <c r="BG29" s="9">
        <f t="shared" si="34"/>
        <v>0</v>
      </c>
      <c r="BH29" s="9" t="str">
        <f t="shared" si="22"/>
        <v/>
      </c>
      <c r="BK29" s="9">
        <f t="shared" si="11"/>
        <v>0</v>
      </c>
      <c r="BL29" s="8">
        <v>346</v>
      </c>
      <c r="BM29" s="9">
        <f t="shared" si="12"/>
        <v>8.1469272427595954E-2</v>
      </c>
    </row>
    <row r="30" spans="1:65" x14ac:dyDescent="0.4">
      <c r="A30" s="8">
        <v>2</v>
      </c>
      <c r="B30" s="8">
        <v>72</v>
      </c>
      <c r="C30" s="8">
        <v>12</v>
      </c>
      <c r="D30" s="8">
        <v>5123</v>
      </c>
      <c r="F30" s="9">
        <f t="shared" si="1"/>
        <v>0</v>
      </c>
      <c r="H30" s="9">
        <f t="shared" si="2"/>
        <v>0</v>
      </c>
      <c r="I30" s="8">
        <v>6</v>
      </c>
      <c r="J30" s="9">
        <f t="shared" si="13"/>
        <v>0.5</v>
      </c>
      <c r="K30" s="8">
        <v>3835</v>
      </c>
      <c r="L30" s="9">
        <f t="shared" si="14"/>
        <v>0.74858481358578954</v>
      </c>
      <c r="M30" s="8">
        <v>2</v>
      </c>
      <c r="N30" s="9">
        <f t="shared" si="15"/>
        <v>0.16666666666666666</v>
      </c>
      <c r="O30" s="8">
        <v>806</v>
      </c>
      <c r="P30" s="9">
        <f t="shared" si="16"/>
        <v>0.15732968963497951</v>
      </c>
      <c r="Q30" s="8">
        <v>2</v>
      </c>
      <c r="R30" s="9">
        <f t="shared" si="17"/>
        <v>0.16666666666666666</v>
      </c>
      <c r="S30" s="8">
        <v>466</v>
      </c>
      <c r="T30" s="9">
        <f t="shared" si="18"/>
        <v>9.096232676166309E-2</v>
      </c>
      <c r="U30" s="8">
        <v>2</v>
      </c>
      <c r="V30" s="9">
        <f t="shared" si="19"/>
        <v>0.16666666666666666</v>
      </c>
      <c r="W30" s="8">
        <v>16</v>
      </c>
      <c r="X30" s="9">
        <f t="shared" si="23"/>
        <v>3.1231700175678315E-3</v>
      </c>
      <c r="Y30" s="8">
        <v>6</v>
      </c>
      <c r="Z30" s="9">
        <f t="shared" si="24"/>
        <v>0.5</v>
      </c>
      <c r="AA30" s="8">
        <v>3835</v>
      </c>
      <c r="AB30" s="9">
        <f t="shared" si="25"/>
        <v>0.74858481358578954</v>
      </c>
      <c r="AC30" s="8">
        <v>6</v>
      </c>
      <c r="AD30" s="9">
        <f t="shared" si="26"/>
        <v>0.5</v>
      </c>
      <c r="AE30" s="8">
        <v>1288</v>
      </c>
      <c r="AF30" s="9">
        <f t="shared" si="27"/>
        <v>0.2514151864142104</v>
      </c>
      <c r="AG30" s="8">
        <v>6</v>
      </c>
      <c r="AH30" s="9">
        <f t="shared" si="28"/>
        <v>0.5</v>
      </c>
      <c r="AI30" s="8">
        <v>3102</v>
      </c>
      <c r="AJ30" s="9">
        <f t="shared" si="29"/>
        <v>0.60550458715596334</v>
      </c>
      <c r="AK30" s="17">
        <f t="shared" si="3"/>
        <v>517</v>
      </c>
      <c r="AL30" s="17">
        <f t="shared" si="4"/>
        <v>6</v>
      </c>
      <c r="AM30" s="17">
        <f t="shared" si="5"/>
        <v>2021</v>
      </c>
      <c r="AN30" s="17">
        <f t="shared" si="6"/>
        <v>336.83333333333331</v>
      </c>
      <c r="AO30" s="8">
        <v>6</v>
      </c>
      <c r="AP30" s="9">
        <f t="shared" si="30"/>
        <v>0.5</v>
      </c>
      <c r="AQ30" s="8">
        <v>2021</v>
      </c>
      <c r="AR30" s="9">
        <f t="shared" si="31"/>
        <v>0.39449541284403672</v>
      </c>
      <c r="AT30" s="9">
        <f t="shared" si="32"/>
        <v>0</v>
      </c>
      <c r="AV30" s="9">
        <f t="shared" si="33"/>
        <v>0</v>
      </c>
      <c r="AW30" s="8">
        <v>1</v>
      </c>
      <c r="AX30" s="9">
        <f t="shared" si="36"/>
        <v>0.16666666666666666</v>
      </c>
      <c r="AY30" s="9">
        <f t="shared" si="21"/>
        <v>8.3333333333333329E-2</v>
      </c>
      <c r="AZ30" s="8">
        <v>5</v>
      </c>
      <c r="BA30" s="9">
        <f t="shared" si="37"/>
        <v>0.83333333333333337</v>
      </c>
      <c r="BB30" s="9">
        <f t="shared" si="35"/>
        <v>0.41666666666666669</v>
      </c>
      <c r="BC30" s="8">
        <v>1</v>
      </c>
      <c r="BD30" s="9">
        <f t="shared" si="9"/>
        <v>1</v>
      </c>
      <c r="BE30" s="9">
        <f t="shared" si="10"/>
        <v>1</v>
      </c>
      <c r="BG30" s="9">
        <f t="shared" si="34"/>
        <v>0</v>
      </c>
      <c r="BH30" s="9">
        <f t="shared" si="22"/>
        <v>0</v>
      </c>
      <c r="BJ30" s="8">
        <v>813</v>
      </c>
      <c r="BK30" s="9">
        <f t="shared" si="11"/>
        <v>0.15869607651766543</v>
      </c>
      <c r="BL30" s="8">
        <v>1208</v>
      </c>
      <c r="BM30" s="9">
        <f t="shared" si="12"/>
        <v>0.23579933632637126</v>
      </c>
    </row>
    <row r="31" spans="1:65" x14ac:dyDescent="0.4">
      <c r="A31" s="8">
        <v>2</v>
      </c>
      <c r="B31" s="8">
        <v>76</v>
      </c>
      <c r="C31" s="8">
        <v>5</v>
      </c>
      <c r="D31" s="8">
        <v>3138</v>
      </c>
      <c r="F31" s="9">
        <f t="shared" si="1"/>
        <v>0</v>
      </c>
      <c r="H31" s="9">
        <f t="shared" si="2"/>
        <v>0</v>
      </c>
      <c r="I31" s="8">
        <v>3</v>
      </c>
      <c r="J31" s="9">
        <f t="shared" si="13"/>
        <v>0.6</v>
      </c>
      <c r="K31" s="8">
        <v>3088</v>
      </c>
      <c r="L31" s="9">
        <f t="shared" si="14"/>
        <v>0.98406628425748888</v>
      </c>
      <c r="N31" s="9">
        <f t="shared" si="15"/>
        <v>0</v>
      </c>
      <c r="P31" s="9">
        <f t="shared" si="16"/>
        <v>0</v>
      </c>
      <c r="R31" s="9">
        <f t="shared" si="17"/>
        <v>0</v>
      </c>
      <c r="T31" s="9">
        <f t="shared" si="18"/>
        <v>0</v>
      </c>
      <c r="U31" s="8">
        <v>2</v>
      </c>
      <c r="V31" s="9">
        <f t="shared" si="19"/>
        <v>0.4</v>
      </c>
      <c r="W31" s="8">
        <v>50</v>
      </c>
      <c r="X31" s="9">
        <f t="shared" si="23"/>
        <v>1.5933715742511154E-2</v>
      </c>
      <c r="Y31" s="8">
        <v>3</v>
      </c>
      <c r="Z31" s="9">
        <f t="shared" si="24"/>
        <v>0.6</v>
      </c>
      <c r="AA31" s="8">
        <v>3088</v>
      </c>
      <c r="AB31" s="9">
        <f t="shared" si="25"/>
        <v>0.98406628425748888</v>
      </c>
      <c r="AC31" s="8">
        <v>2</v>
      </c>
      <c r="AD31" s="9">
        <f t="shared" si="26"/>
        <v>0.4</v>
      </c>
      <c r="AE31" s="8">
        <v>50</v>
      </c>
      <c r="AF31" s="9">
        <f t="shared" si="27"/>
        <v>1.5933715742511154E-2</v>
      </c>
      <c r="AG31" s="8">
        <v>4</v>
      </c>
      <c r="AH31" s="9">
        <f t="shared" si="28"/>
        <v>0.8</v>
      </c>
      <c r="AI31" s="8">
        <v>3136</v>
      </c>
      <c r="AJ31" s="9">
        <f t="shared" si="29"/>
        <v>0.99936265137029956</v>
      </c>
      <c r="AK31" s="17">
        <f t="shared" si="3"/>
        <v>784</v>
      </c>
      <c r="AL31" s="17">
        <f t="shared" si="4"/>
        <v>1</v>
      </c>
      <c r="AM31" s="17">
        <f t="shared" si="5"/>
        <v>2</v>
      </c>
      <c r="AN31" s="17">
        <f t="shared" si="6"/>
        <v>2</v>
      </c>
      <c r="AP31" s="9">
        <f t="shared" si="30"/>
        <v>0</v>
      </c>
      <c r="AR31" s="9">
        <f t="shared" si="31"/>
        <v>0</v>
      </c>
      <c r="AS31" s="8">
        <v>1</v>
      </c>
      <c r="AT31" s="9">
        <f t="shared" si="32"/>
        <v>0.2</v>
      </c>
      <c r="AU31" s="8">
        <v>2</v>
      </c>
      <c r="AV31" s="9">
        <f t="shared" si="33"/>
        <v>6.3734862970044612E-4</v>
      </c>
      <c r="AX31" s="9">
        <f t="shared" si="36"/>
        <v>0</v>
      </c>
      <c r="AY31" s="9">
        <f t="shared" si="21"/>
        <v>0</v>
      </c>
      <c r="AZ31" s="8">
        <v>1</v>
      </c>
      <c r="BA31" s="9">
        <f t="shared" si="37"/>
        <v>1</v>
      </c>
      <c r="BB31" s="9">
        <f t="shared" si="35"/>
        <v>0.2</v>
      </c>
      <c r="BD31" s="9">
        <f t="shared" si="9"/>
        <v>0</v>
      </c>
      <c r="BE31" s="9" t="str">
        <f t="shared" si="10"/>
        <v/>
      </c>
      <c r="BG31" s="9">
        <f t="shared" si="34"/>
        <v>0</v>
      </c>
      <c r="BH31" s="9" t="str">
        <f t="shared" si="22"/>
        <v/>
      </c>
      <c r="BK31" s="9">
        <f t="shared" si="11"/>
        <v>0</v>
      </c>
      <c r="BL31" s="8">
        <v>2</v>
      </c>
      <c r="BM31" s="9">
        <f t="shared" si="12"/>
        <v>6.3734862970044612E-4</v>
      </c>
    </row>
    <row r="32" spans="1:65" x14ac:dyDescent="0.4">
      <c r="A32" s="8">
        <v>2</v>
      </c>
      <c r="B32" s="8">
        <v>101</v>
      </c>
      <c r="C32" s="8">
        <v>10</v>
      </c>
      <c r="D32" s="8">
        <v>2253</v>
      </c>
      <c r="E32" s="8">
        <v>1</v>
      </c>
      <c r="F32" s="9">
        <f t="shared" si="1"/>
        <v>0.1</v>
      </c>
      <c r="G32" s="8">
        <v>676</v>
      </c>
      <c r="H32" s="9">
        <f t="shared" si="2"/>
        <v>0.30004438526409233</v>
      </c>
      <c r="I32" s="8">
        <v>4</v>
      </c>
      <c r="J32" s="9">
        <f t="shared" si="13"/>
        <v>0.4</v>
      </c>
      <c r="K32" s="8">
        <v>1513</v>
      </c>
      <c r="L32" s="9">
        <f t="shared" si="14"/>
        <v>0.67154904571682206</v>
      </c>
      <c r="N32" s="9">
        <f t="shared" si="15"/>
        <v>0</v>
      </c>
      <c r="P32" s="9">
        <f t="shared" si="16"/>
        <v>0</v>
      </c>
      <c r="Q32" s="8">
        <v>1</v>
      </c>
      <c r="R32" s="9">
        <f t="shared" si="17"/>
        <v>0.1</v>
      </c>
      <c r="S32" s="8">
        <v>43</v>
      </c>
      <c r="T32" s="9">
        <f t="shared" si="18"/>
        <v>1.9085663559698179E-2</v>
      </c>
      <c r="U32" s="8">
        <v>4</v>
      </c>
      <c r="V32" s="9">
        <f t="shared" si="19"/>
        <v>0.4</v>
      </c>
      <c r="W32" s="8">
        <v>21</v>
      </c>
      <c r="X32" s="9">
        <f t="shared" si="23"/>
        <v>9.3209054593874838E-3</v>
      </c>
      <c r="Y32" s="8">
        <v>3</v>
      </c>
      <c r="Z32" s="9">
        <f t="shared" si="24"/>
        <v>0.3</v>
      </c>
      <c r="AA32" s="8">
        <v>1480</v>
      </c>
      <c r="AB32" s="9">
        <f t="shared" si="25"/>
        <v>0.656901908566356</v>
      </c>
      <c r="AC32" s="8">
        <v>7</v>
      </c>
      <c r="AD32" s="9">
        <f t="shared" si="26"/>
        <v>0.7</v>
      </c>
      <c r="AE32" s="8">
        <v>773</v>
      </c>
      <c r="AF32" s="9">
        <f t="shared" si="27"/>
        <v>0.343098091433644</v>
      </c>
      <c r="AG32" s="8">
        <v>4</v>
      </c>
      <c r="AH32" s="9">
        <f t="shared" si="28"/>
        <v>0.4</v>
      </c>
      <c r="AI32" s="8">
        <v>2156</v>
      </c>
      <c r="AJ32" s="9">
        <f t="shared" si="29"/>
        <v>0.95694629383044827</v>
      </c>
      <c r="AK32" s="17">
        <f t="shared" si="3"/>
        <v>539</v>
      </c>
      <c r="AL32" s="17">
        <f t="shared" si="4"/>
        <v>6</v>
      </c>
      <c r="AM32" s="17">
        <f t="shared" si="5"/>
        <v>97</v>
      </c>
      <c r="AN32" s="17">
        <f t="shared" si="6"/>
        <v>16.166666666666668</v>
      </c>
      <c r="AO32" s="8">
        <v>5</v>
      </c>
      <c r="AP32" s="9">
        <f t="shared" si="30"/>
        <v>0.5</v>
      </c>
      <c r="AQ32" s="8">
        <v>54</v>
      </c>
      <c r="AR32" s="9">
        <f t="shared" si="31"/>
        <v>2.3968042609853527E-2</v>
      </c>
      <c r="AS32" s="8">
        <v>1</v>
      </c>
      <c r="AT32" s="9">
        <f t="shared" si="32"/>
        <v>0.1</v>
      </c>
      <c r="AU32" s="8">
        <v>43</v>
      </c>
      <c r="AV32" s="9">
        <f t="shared" si="33"/>
        <v>1.9085663559698179E-2</v>
      </c>
      <c r="AX32" s="9">
        <f t="shared" si="36"/>
        <v>0</v>
      </c>
      <c r="AY32" s="9">
        <f t="shared" si="21"/>
        <v>0</v>
      </c>
      <c r="AZ32" s="8">
        <v>6</v>
      </c>
      <c r="BA32" s="9">
        <f t="shared" si="37"/>
        <v>1</v>
      </c>
      <c r="BB32" s="9">
        <f t="shared" si="35"/>
        <v>0.6</v>
      </c>
      <c r="BD32" s="9">
        <f t="shared" si="9"/>
        <v>0</v>
      </c>
      <c r="BE32" s="9" t="str">
        <f t="shared" si="10"/>
        <v/>
      </c>
      <c r="BG32" s="9">
        <f t="shared" si="34"/>
        <v>0</v>
      </c>
      <c r="BH32" s="9" t="str">
        <f t="shared" si="22"/>
        <v/>
      </c>
      <c r="BK32" s="9">
        <f t="shared" si="11"/>
        <v>0</v>
      </c>
      <c r="BL32" s="8">
        <v>97</v>
      </c>
      <c r="BM32" s="9">
        <f t="shared" si="12"/>
        <v>4.305370616955171E-2</v>
      </c>
    </row>
    <row r="33" spans="1:65" x14ac:dyDescent="0.4">
      <c r="A33" s="8">
        <v>2</v>
      </c>
      <c r="B33" s="8">
        <v>115</v>
      </c>
      <c r="C33" s="8">
        <v>4</v>
      </c>
      <c r="D33" s="8">
        <v>6934</v>
      </c>
      <c r="E33" s="8">
        <v>1</v>
      </c>
      <c r="F33" s="9">
        <f t="shared" si="1"/>
        <v>0.25</v>
      </c>
      <c r="G33" s="8">
        <v>1304</v>
      </c>
      <c r="H33" s="9">
        <f t="shared" si="2"/>
        <v>0.18805884049610613</v>
      </c>
      <c r="I33" s="8">
        <v>2</v>
      </c>
      <c r="J33" s="9">
        <f t="shared" si="13"/>
        <v>0.5</v>
      </c>
      <c r="K33" s="8">
        <v>5621</v>
      </c>
      <c r="L33" s="9">
        <f t="shared" si="14"/>
        <v>0.81064320738390538</v>
      </c>
      <c r="N33" s="9">
        <f t="shared" si="15"/>
        <v>0</v>
      </c>
      <c r="P33" s="9">
        <f t="shared" si="16"/>
        <v>0</v>
      </c>
      <c r="R33" s="9">
        <f t="shared" si="17"/>
        <v>0</v>
      </c>
      <c r="T33" s="9">
        <f t="shared" si="18"/>
        <v>0</v>
      </c>
      <c r="U33" s="8">
        <v>1</v>
      </c>
      <c r="V33" s="9">
        <f t="shared" si="19"/>
        <v>0.25</v>
      </c>
      <c r="W33" s="8">
        <v>9</v>
      </c>
      <c r="X33" s="9">
        <f t="shared" si="23"/>
        <v>1.2979521199884627E-3</v>
      </c>
      <c r="Y33" s="8">
        <v>2</v>
      </c>
      <c r="Z33" s="9">
        <f t="shared" si="24"/>
        <v>0.5</v>
      </c>
      <c r="AA33" s="8">
        <v>5621</v>
      </c>
      <c r="AB33" s="9">
        <f t="shared" si="25"/>
        <v>0.81064320738390538</v>
      </c>
      <c r="AC33" s="8">
        <v>2</v>
      </c>
      <c r="AD33" s="9">
        <f t="shared" si="26"/>
        <v>0.5</v>
      </c>
      <c r="AE33" s="8">
        <v>1313</v>
      </c>
      <c r="AF33" s="9">
        <f t="shared" si="27"/>
        <v>0.18935679261609462</v>
      </c>
      <c r="AG33" s="8">
        <v>2</v>
      </c>
      <c r="AH33" s="9">
        <f t="shared" si="28"/>
        <v>0.5</v>
      </c>
      <c r="AI33" s="8">
        <v>6616</v>
      </c>
      <c r="AJ33" s="9">
        <f t="shared" si="29"/>
        <v>0.95413902509374093</v>
      </c>
      <c r="AK33" s="17">
        <f t="shared" si="3"/>
        <v>3308</v>
      </c>
      <c r="AL33" s="17">
        <f t="shared" si="4"/>
        <v>2</v>
      </c>
      <c r="AM33" s="17">
        <f t="shared" si="5"/>
        <v>318</v>
      </c>
      <c r="AN33" s="17">
        <f t="shared" si="6"/>
        <v>159</v>
      </c>
      <c r="AO33" s="8">
        <v>2</v>
      </c>
      <c r="AP33" s="9">
        <f t="shared" si="30"/>
        <v>0.5</v>
      </c>
      <c r="AQ33" s="8">
        <v>318</v>
      </c>
      <c r="AR33" s="9">
        <f t="shared" si="31"/>
        <v>4.5860974906259011E-2</v>
      </c>
      <c r="AT33" s="9">
        <f t="shared" si="32"/>
        <v>0</v>
      </c>
      <c r="AV33" s="9">
        <f t="shared" si="33"/>
        <v>0</v>
      </c>
      <c r="AW33" s="8">
        <v>1</v>
      </c>
      <c r="AX33" s="9">
        <f t="shared" si="36"/>
        <v>0.5</v>
      </c>
      <c r="AY33" s="9">
        <f t="shared" si="21"/>
        <v>0.25</v>
      </c>
      <c r="AZ33" s="8">
        <v>1</v>
      </c>
      <c r="BA33" s="9">
        <f t="shared" si="37"/>
        <v>0.5</v>
      </c>
      <c r="BB33" s="9">
        <f t="shared" si="35"/>
        <v>0.25</v>
      </c>
      <c r="BD33" s="9">
        <f t="shared" si="9"/>
        <v>0</v>
      </c>
      <c r="BE33" s="9">
        <f t="shared" si="10"/>
        <v>0</v>
      </c>
      <c r="BF33" s="8">
        <v>1</v>
      </c>
      <c r="BG33" s="9">
        <f t="shared" si="34"/>
        <v>1</v>
      </c>
      <c r="BH33" s="9">
        <f t="shared" si="22"/>
        <v>1</v>
      </c>
      <c r="BJ33" s="8">
        <v>309</v>
      </c>
      <c r="BK33" s="9">
        <f t="shared" si="11"/>
        <v>4.4563022786270549E-2</v>
      </c>
      <c r="BL33" s="8">
        <v>9</v>
      </c>
      <c r="BM33" s="9">
        <f t="shared" si="12"/>
        <v>1.2979521199884627E-3</v>
      </c>
    </row>
    <row r="34" spans="1:65" x14ac:dyDescent="0.4">
      <c r="A34" s="8">
        <v>2</v>
      </c>
      <c r="B34" s="8">
        <v>137</v>
      </c>
      <c r="C34" s="8">
        <v>9</v>
      </c>
      <c r="D34" s="8">
        <v>3156</v>
      </c>
      <c r="F34" s="9">
        <f t="shared" si="1"/>
        <v>0</v>
      </c>
      <c r="H34" s="9">
        <f t="shared" si="2"/>
        <v>0</v>
      </c>
      <c r="I34" s="8">
        <v>2</v>
      </c>
      <c r="J34" s="9">
        <f t="shared" si="13"/>
        <v>0.22222222222222221</v>
      </c>
      <c r="K34" s="8">
        <v>2773</v>
      </c>
      <c r="L34" s="9">
        <f t="shared" si="14"/>
        <v>0.87864385297845371</v>
      </c>
      <c r="N34" s="9">
        <f t="shared" si="15"/>
        <v>0</v>
      </c>
      <c r="P34" s="9">
        <f t="shared" si="16"/>
        <v>0</v>
      </c>
      <c r="Q34" s="8">
        <v>3</v>
      </c>
      <c r="R34" s="9">
        <f t="shared" si="17"/>
        <v>0.33333333333333331</v>
      </c>
      <c r="S34" s="8">
        <v>348</v>
      </c>
      <c r="T34" s="9">
        <f t="shared" si="18"/>
        <v>0.11026615969581749</v>
      </c>
      <c r="U34" s="8">
        <v>4</v>
      </c>
      <c r="V34" s="9">
        <f t="shared" si="19"/>
        <v>0.44444444444444442</v>
      </c>
      <c r="W34" s="8">
        <v>35</v>
      </c>
      <c r="X34" s="9">
        <f t="shared" si="23"/>
        <v>1.1089987325728771E-2</v>
      </c>
      <c r="Y34" s="8">
        <v>1</v>
      </c>
      <c r="Z34" s="9">
        <f t="shared" si="24"/>
        <v>0.1111111111111111</v>
      </c>
      <c r="AA34" s="8">
        <v>1148</v>
      </c>
      <c r="AB34" s="9">
        <f t="shared" si="25"/>
        <v>0.3637515842839037</v>
      </c>
      <c r="AC34" s="8">
        <v>8</v>
      </c>
      <c r="AD34" s="9">
        <f t="shared" si="26"/>
        <v>0.88888888888888884</v>
      </c>
      <c r="AE34" s="8">
        <v>2008</v>
      </c>
      <c r="AF34" s="9">
        <f t="shared" si="27"/>
        <v>0.63624841571609636</v>
      </c>
      <c r="AG34" s="8">
        <v>3</v>
      </c>
      <c r="AH34" s="9">
        <f t="shared" si="28"/>
        <v>0.33333333333333331</v>
      </c>
      <c r="AI34" s="8">
        <v>2790</v>
      </c>
      <c r="AJ34" s="9">
        <f t="shared" si="29"/>
        <v>0.88403041825095052</v>
      </c>
      <c r="AK34" s="17">
        <f t="shared" si="3"/>
        <v>930</v>
      </c>
      <c r="AL34" s="17">
        <f t="shared" si="4"/>
        <v>6</v>
      </c>
      <c r="AM34" s="17">
        <f t="shared" si="5"/>
        <v>366</v>
      </c>
      <c r="AN34" s="17">
        <f t="shared" si="6"/>
        <v>61</v>
      </c>
      <c r="AO34" s="8">
        <v>6</v>
      </c>
      <c r="AP34" s="9">
        <f t="shared" si="30"/>
        <v>0.66666666666666663</v>
      </c>
      <c r="AQ34" s="8">
        <v>366</v>
      </c>
      <c r="AR34" s="9">
        <f t="shared" si="31"/>
        <v>0.11596958174904944</v>
      </c>
      <c r="AT34" s="9">
        <f t="shared" si="32"/>
        <v>0</v>
      </c>
      <c r="AV34" s="9">
        <f t="shared" si="33"/>
        <v>0</v>
      </c>
      <c r="AX34" s="9">
        <f t="shared" si="36"/>
        <v>0</v>
      </c>
      <c r="AY34" s="9">
        <f t="shared" si="21"/>
        <v>0</v>
      </c>
      <c r="AZ34" s="8">
        <v>6</v>
      </c>
      <c r="BA34" s="9">
        <f t="shared" si="37"/>
        <v>1</v>
      </c>
      <c r="BB34" s="9">
        <f t="shared" si="35"/>
        <v>0.66666666666666663</v>
      </c>
      <c r="BD34" s="9">
        <f t="shared" si="9"/>
        <v>0</v>
      </c>
      <c r="BE34" s="9" t="str">
        <f t="shared" si="10"/>
        <v/>
      </c>
      <c r="BG34" s="9">
        <f t="shared" si="34"/>
        <v>0</v>
      </c>
      <c r="BH34" s="9" t="str">
        <f t="shared" si="22"/>
        <v/>
      </c>
      <c r="BK34" s="9">
        <f t="shared" si="11"/>
        <v>0</v>
      </c>
      <c r="BL34" s="8">
        <v>366</v>
      </c>
      <c r="BM34" s="9">
        <f t="shared" si="12"/>
        <v>0.11596958174904944</v>
      </c>
    </row>
    <row r="35" spans="1:65" x14ac:dyDescent="0.4">
      <c r="A35" s="8">
        <v>2</v>
      </c>
      <c r="B35" s="8">
        <v>143</v>
      </c>
      <c r="C35" s="8">
        <v>9</v>
      </c>
      <c r="D35" s="8">
        <v>4188</v>
      </c>
      <c r="F35" s="9">
        <f t="shared" si="1"/>
        <v>0</v>
      </c>
      <c r="H35" s="9">
        <f t="shared" si="2"/>
        <v>0</v>
      </c>
      <c r="I35" s="8">
        <v>3</v>
      </c>
      <c r="J35" s="9">
        <f t="shared" si="13"/>
        <v>0.33333333333333331</v>
      </c>
      <c r="K35" s="8">
        <v>3752</v>
      </c>
      <c r="L35" s="9">
        <f t="shared" si="14"/>
        <v>0.89589302769818524</v>
      </c>
      <c r="N35" s="9">
        <f t="shared" si="15"/>
        <v>0</v>
      </c>
      <c r="P35" s="9">
        <f t="shared" si="16"/>
        <v>0</v>
      </c>
      <c r="Q35" s="8">
        <v>5</v>
      </c>
      <c r="R35" s="9">
        <f t="shared" si="17"/>
        <v>0.55555555555555558</v>
      </c>
      <c r="S35" s="8">
        <v>435</v>
      </c>
      <c r="T35" s="9">
        <f t="shared" si="18"/>
        <v>0.10386819484240688</v>
      </c>
      <c r="U35" s="8">
        <v>1</v>
      </c>
      <c r="V35" s="9">
        <f t="shared" si="19"/>
        <v>0.1111111111111111</v>
      </c>
      <c r="W35" s="8">
        <v>1</v>
      </c>
      <c r="X35" s="9">
        <f t="shared" si="23"/>
        <v>2.3877745940783189E-4</v>
      </c>
      <c r="Y35" s="8">
        <v>2</v>
      </c>
      <c r="Z35" s="9">
        <f t="shared" si="24"/>
        <v>0.22222222222222221</v>
      </c>
      <c r="AA35" s="8">
        <v>1956</v>
      </c>
      <c r="AB35" s="9">
        <f t="shared" si="25"/>
        <v>0.46704871060171921</v>
      </c>
      <c r="AC35" s="8">
        <v>7</v>
      </c>
      <c r="AD35" s="9">
        <f t="shared" si="26"/>
        <v>0.77777777777777779</v>
      </c>
      <c r="AE35" s="8">
        <v>2232</v>
      </c>
      <c r="AF35" s="9">
        <f t="shared" si="27"/>
        <v>0.53295128939828085</v>
      </c>
      <c r="AG35" s="8">
        <v>4</v>
      </c>
      <c r="AH35" s="9">
        <f t="shared" si="28"/>
        <v>0.44444444444444442</v>
      </c>
      <c r="AI35" s="8">
        <v>3402</v>
      </c>
      <c r="AJ35" s="9">
        <f t="shared" si="29"/>
        <v>0.81232091690544417</v>
      </c>
      <c r="AK35" s="17">
        <f t="shared" si="3"/>
        <v>850.5</v>
      </c>
      <c r="AL35" s="17">
        <f t="shared" si="4"/>
        <v>5</v>
      </c>
      <c r="AM35" s="17">
        <f t="shared" si="5"/>
        <v>786</v>
      </c>
      <c r="AN35" s="17">
        <f t="shared" si="6"/>
        <v>157.19999999999999</v>
      </c>
      <c r="AO35" s="8">
        <v>4</v>
      </c>
      <c r="AP35" s="9">
        <f t="shared" si="30"/>
        <v>0.44444444444444442</v>
      </c>
      <c r="AQ35" s="8">
        <v>706</v>
      </c>
      <c r="AR35" s="9">
        <f t="shared" si="31"/>
        <v>0.16857688634192933</v>
      </c>
      <c r="AS35" s="8">
        <v>1</v>
      </c>
      <c r="AT35" s="9">
        <f t="shared" si="32"/>
        <v>0.1111111111111111</v>
      </c>
      <c r="AU35" s="8">
        <v>80</v>
      </c>
      <c r="AV35" s="9">
        <f t="shared" si="33"/>
        <v>1.9102196752626553E-2</v>
      </c>
      <c r="AW35" s="8">
        <v>1</v>
      </c>
      <c r="AX35" s="9">
        <f t="shared" si="36"/>
        <v>0.2</v>
      </c>
      <c r="AY35" s="9">
        <f t="shared" si="21"/>
        <v>0.1111111111111111</v>
      </c>
      <c r="AZ35" s="8">
        <v>4</v>
      </c>
      <c r="BA35" s="9">
        <f t="shared" si="37"/>
        <v>0.8</v>
      </c>
      <c r="BB35" s="9">
        <f t="shared" si="35"/>
        <v>0.44444444444444442</v>
      </c>
      <c r="BC35" s="8">
        <v>1</v>
      </c>
      <c r="BD35" s="9">
        <f t="shared" si="9"/>
        <v>1</v>
      </c>
      <c r="BE35" s="9">
        <f t="shared" si="10"/>
        <v>1</v>
      </c>
      <c r="BF35" s="8">
        <v>1</v>
      </c>
      <c r="BG35" s="9">
        <f t="shared" si="34"/>
        <v>1</v>
      </c>
      <c r="BH35" s="9">
        <f t="shared" si="22"/>
        <v>1</v>
      </c>
      <c r="BJ35" s="8">
        <v>464</v>
      </c>
      <c r="BK35" s="9">
        <f t="shared" si="11"/>
        <v>0.11079274116523401</v>
      </c>
      <c r="BL35" s="8">
        <v>322</v>
      </c>
      <c r="BM35" s="9">
        <f t="shared" si="12"/>
        <v>7.6886341929321866E-2</v>
      </c>
    </row>
    <row r="36" spans="1:65" x14ac:dyDescent="0.4">
      <c r="A36" s="8">
        <v>2</v>
      </c>
      <c r="B36" s="8">
        <v>180</v>
      </c>
      <c r="C36" s="8">
        <v>14</v>
      </c>
      <c r="D36" s="8">
        <v>1631</v>
      </c>
      <c r="F36" s="9">
        <f t="shared" si="1"/>
        <v>0</v>
      </c>
      <c r="H36" s="9">
        <f t="shared" si="2"/>
        <v>0</v>
      </c>
      <c r="I36" s="8">
        <v>8</v>
      </c>
      <c r="J36" s="9">
        <f t="shared" si="13"/>
        <v>0.5714285714285714</v>
      </c>
      <c r="K36" s="8">
        <v>1237</v>
      </c>
      <c r="L36" s="9">
        <f t="shared" si="14"/>
        <v>0.75843041079092577</v>
      </c>
      <c r="M36" s="8">
        <v>1</v>
      </c>
      <c r="N36" s="9">
        <f t="shared" si="15"/>
        <v>7.1428571428571425E-2</v>
      </c>
      <c r="O36" s="8">
        <v>2</v>
      </c>
      <c r="P36" s="9">
        <f t="shared" si="16"/>
        <v>1.226241569589209E-3</v>
      </c>
      <c r="Q36" s="8">
        <v>5</v>
      </c>
      <c r="R36" s="9">
        <f t="shared" si="17"/>
        <v>0.35714285714285715</v>
      </c>
      <c r="S36" s="8">
        <v>392</v>
      </c>
      <c r="T36" s="9">
        <f t="shared" si="18"/>
        <v>0.24034334763948498</v>
      </c>
      <c r="V36" s="9">
        <f t="shared" si="19"/>
        <v>0</v>
      </c>
      <c r="X36" s="9">
        <f t="shared" si="23"/>
        <v>0</v>
      </c>
      <c r="Y36" s="8">
        <v>6</v>
      </c>
      <c r="Z36" s="9">
        <f t="shared" si="24"/>
        <v>0.42857142857142855</v>
      </c>
      <c r="AA36" s="8">
        <v>1117</v>
      </c>
      <c r="AB36" s="9">
        <f t="shared" si="25"/>
        <v>0.68485591661557321</v>
      </c>
      <c r="AC36" s="8">
        <v>8</v>
      </c>
      <c r="AD36" s="9">
        <f t="shared" si="26"/>
        <v>0.5714285714285714</v>
      </c>
      <c r="AE36" s="8">
        <v>514</v>
      </c>
      <c r="AF36" s="9">
        <f t="shared" si="27"/>
        <v>0.31514408338442673</v>
      </c>
      <c r="AG36" s="8">
        <v>7</v>
      </c>
      <c r="AH36" s="9">
        <f t="shared" si="28"/>
        <v>0.5</v>
      </c>
      <c r="AI36" s="8">
        <v>1338</v>
      </c>
      <c r="AJ36" s="9">
        <f t="shared" si="29"/>
        <v>0.82035561005518087</v>
      </c>
      <c r="AK36" s="17">
        <f t="shared" si="3"/>
        <v>191.14285714285714</v>
      </c>
      <c r="AL36" s="17">
        <f t="shared" si="4"/>
        <v>7</v>
      </c>
      <c r="AM36" s="17">
        <f t="shared" si="5"/>
        <v>293</v>
      </c>
      <c r="AN36" s="17">
        <f t="shared" si="6"/>
        <v>41.857142857142854</v>
      </c>
      <c r="AO36" s="8">
        <v>6</v>
      </c>
      <c r="AP36" s="9">
        <f t="shared" si="30"/>
        <v>0.42857142857142855</v>
      </c>
      <c r="AQ36" s="8">
        <v>224</v>
      </c>
      <c r="AR36" s="9">
        <f t="shared" si="31"/>
        <v>0.13733905579399142</v>
      </c>
      <c r="AS36" s="8">
        <v>1</v>
      </c>
      <c r="AT36" s="9">
        <f t="shared" si="32"/>
        <v>7.1428571428571425E-2</v>
      </c>
      <c r="AU36" s="8">
        <v>69</v>
      </c>
      <c r="AV36" s="9">
        <f t="shared" si="33"/>
        <v>4.2305334150827711E-2</v>
      </c>
      <c r="AW36" s="8">
        <v>2</v>
      </c>
      <c r="AX36" s="9">
        <f t="shared" si="36"/>
        <v>0.2857142857142857</v>
      </c>
      <c r="AY36" s="9">
        <f t="shared" si="21"/>
        <v>0.14285714285714285</v>
      </c>
      <c r="AZ36" s="8">
        <v>5</v>
      </c>
      <c r="BA36" s="9">
        <f t="shared" si="37"/>
        <v>0.7142857142857143</v>
      </c>
      <c r="BB36" s="9">
        <f t="shared" si="35"/>
        <v>0.35714285714285715</v>
      </c>
      <c r="BC36" s="8">
        <v>2</v>
      </c>
      <c r="BD36" s="9">
        <f t="shared" si="9"/>
        <v>1</v>
      </c>
      <c r="BE36" s="9">
        <f t="shared" si="10"/>
        <v>1</v>
      </c>
      <c r="BF36" s="8">
        <v>1</v>
      </c>
      <c r="BG36" s="9">
        <f t="shared" si="34"/>
        <v>0.5</v>
      </c>
      <c r="BH36" s="9">
        <f t="shared" si="22"/>
        <v>0.5</v>
      </c>
      <c r="BJ36" s="8">
        <v>152</v>
      </c>
      <c r="BK36" s="9">
        <f t="shared" si="11"/>
        <v>9.3194359288779893E-2</v>
      </c>
      <c r="BL36" s="8">
        <v>141</v>
      </c>
      <c r="BM36" s="9">
        <f t="shared" si="12"/>
        <v>8.6450030656039234E-2</v>
      </c>
    </row>
    <row r="37" spans="1:65" x14ac:dyDescent="0.4">
      <c r="A37" s="8">
        <v>2</v>
      </c>
      <c r="B37" s="8">
        <v>198</v>
      </c>
      <c r="C37" s="8">
        <v>8</v>
      </c>
      <c r="D37" s="8">
        <v>668</v>
      </c>
      <c r="E37" s="8">
        <v>2</v>
      </c>
      <c r="F37" s="9">
        <f>E37/$C37</f>
        <v>0.25</v>
      </c>
      <c r="G37" s="8">
        <v>405</v>
      </c>
      <c r="H37" s="9">
        <f t="shared" si="2"/>
        <v>0.60628742514970058</v>
      </c>
      <c r="J37" s="9">
        <f>I37/$C37</f>
        <v>0</v>
      </c>
      <c r="L37" s="9">
        <f t="shared" si="14"/>
        <v>0</v>
      </c>
      <c r="M37" s="8">
        <v>1</v>
      </c>
      <c r="N37" s="9">
        <f>M37/$C37</f>
        <v>0.125</v>
      </c>
      <c r="O37" s="8">
        <v>13</v>
      </c>
      <c r="P37" s="9">
        <f t="shared" si="16"/>
        <v>1.9461077844311378E-2</v>
      </c>
      <c r="Q37" s="8">
        <v>4</v>
      </c>
      <c r="R37" s="9">
        <f>Q37/$C37</f>
        <v>0.5</v>
      </c>
      <c r="S37" s="8">
        <v>245</v>
      </c>
      <c r="T37" s="9">
        <f t="shared" si="18"/>
        <v>0.36676646706586824</v>
      </c>
      <c r="U37" s="8">
        <v>1</v>
      </c>
      <c r="V37" s="9">
        <f>U37/$C37</f>
        <v>0.125</v>
      </c>
      <c r="W37" s="8">
        <v>5</v>
      </c>
      <c r="X37" s="9">
        <f t="shared" si="23"/>
        <v>7.4850299401197605E-3</v>
      </c>
      <c r="Y37" s="8">
        <v>2</v>
      </c>
      <c r="Z37" s="9">
        <f>Y37/$C37</f>
        <v>0.25</v>
      </c>
      <c r="AA37" s="8">
        <v>405</v>
      </c>
      <c r="AB37" s="9">
        <f t="shared" si="25"/>
        <v>0.60628742514970058</v>
      </c>
      <c r="AC37" s="8">
        <v>6</v>
      </c>
      <c r="AD37" s="9">
        <f>AC37/$C37</f>
        <v>0.75</v>
      </c>
      <c r="AE37" s="8">
        <v>263</v>
      </c>
      <c r="AF37" s="9">
        <f t="shared" si="27"/>
        <v>0.39371257485029942</v>
      </c>
      <c r="AG37" s="8">
        <v>3</v>
      </c>
      <c r="AH37" s="9">
        <f>AG37/$C37</f>
        <v>0.375</v>
      </c>
      <c r="AI37" s="8">
        <v>424</v>
      </c>
      <c r="AJ37" s="9">
        <f t="shared" si="29"/>
        <v>0.6347305389221557</v>
      </c>
      <c r="AK37" s="17">
        <f t="shared" si="3"/>
        <v>141.33333333333334</v>
      </c>
      <c r="AL37" s="17">
        <f t="shared" si="4"/>
        <v>5</v>
      </c>
      <c r="AM37" s="17">
        <f t="shared" si="5"/>
        <v>244</v>
      </c>
      <c r="AN37" s="17">
        <f t="shared" si="6"/>
        <v>48.8</v>
      </c>
      <c r="AO37" s="8">
        <v>3</v>
      </c>
      <c r="AP37" s="9">
        <f>AO37/$C37</f>
        <v>0.375</v>
      </c>
      <c r="AQ37" s="8">
        <v>153</v>
      </c>
      <c r="AR37" s="9">
        <f t="shared" si="31"/>
        <v>0.22904191616766467</v>
      </c>
      <c r="AS37" s="8">
        <v>2</v>
      </c>
      <c r="AT37" s="9">
        <f>AS37/$C37</f>
        <v>0.25</v>
      </c>
      <c r="AU37" s="8">
        <v>91</v>
      </c>
      <c r="AV37" s="9">
        <f t="shared" si="33"/>
        <v>0.13622754491017963</v>
      </c>
      <c r="AX37" s="9">
        <f t="shared" si="36"/>
        <v>0</v>
      </c>
      <c r="AY37" s="9">
        <f t="shared" si="21"/>
        <v>0</v>
      </c>
      <c r="AZ37" s="8">
        <v>5</v>
      </c>
      <c r="BA37" s="9">
        <f t="shared" si="37"/>
        <v>1</v>
      </c>
      <c r="BB37" s="9">
        <f t="shared" si="35"/>
        <v>0.625</v>
      </c>
      <c r="BD37" s="9">
        <f t="shared" si="9"/>
        <v>0</v>
      </c>
      <c r="BE37" s="9" t="str">
        <f t="shared" si="10"/>
        <v/>
      </c>
      <c r="BG37" s="9">
        <f t="shared" si="34"/>
        <v>0</v>
      </c>
      <c r="BH37" s="9" t="str">
        <f t="shared" si="22"/>
        <v/>
      </c>
      <c r="BK37" s="9">
        <f t="shared" si="11"/>
        <v>0</v>
      </c>
      <c r="BL37" s="8">
        <v>244</v>
      </c>
      <c r="BM37" s="9">
        <f t="shared" si="12"/>
        <v>0.3652694610778443</v>
      </c>
    </row>
    <row r="38" spans="1:65" x14ac:dyDescent="0.4">
      <c r="A38" s="8">
        <v>2</v>
      </c>
      <c r="B38" s="8">
        <v>206</v>
      </c>
      <c r="C38" s="8">
        <v>8</v>
      </c>
      <c r="D38" s="8">
        <v>6897</v>
      </c>
      <c r="F38" s="9">
        <f t="shared" si="1"/>
        <v>0</v>
      </c>
      <c r="H38" s="9">
        <f t="shared" si="2"/>
        <v>0</v>
      </c>
      <c r="I38" s="8">
        <v>5</v>
      </c>
      <c r="J38" s="9">
        <f t="shared" si="13"/>
        <v>0.625</v>
      </c>
      <c r="K38" s="8">
        <v>6845</v>
      </c>
      <c r="L38" s="9">
        <f t="shared" si="14"/>
        <v>0.99246049006814552</v>
      </c>
      <c r="N38" s="9">
        <f t="shared" si="15"/>
        <v>0</v>
      </c>
      <c r="P38" s="9">
        <f t="shared" si="16"/>
        <v>0</v>
      </c>
      <c r="Q38" s="8">
        <v>1</v>
      </c>
      <c r="R38" s="9">
        <f t="shared" si="17"/>
        <v>0.125</v>
      </c>
      <c r="S38" s="8">
        <v>31</v>
      </c>
      <c r="T38" s="9">
        <f t="shared" si="18"/>
        <v>4.4947078439901405E-3</v>
      </c>
      <c r="U38" s="8">
        <v>2</v>
      </c>
      <c r="V38" s="9">
        <f t="shared" si="19"/>
        <v>0.25</v>
      </c>
      <c r="W38" s="8">
        <v>21</v>
      </c>
      <c r="X38" s="9">
        <f t="shared" si="23"/>
        <v>3.0448020878642889E-3</v>
      </c>
      <c r="Y38" s="8">
        <v>5</v>
      </c>
      <c r="Z38" s="9">
        <f t="shared" si="24"/>
        <v>0.625</v>
      </c>
      <c r="AA38" s="8">
        <v>6845</v>
      </c>
      <c r="AB38" s="9">
        <f t="shared" si="25"/>
        <v>0.99246049006814552</v>
      </c>
      <c r="AC38" s="8">
        <v>3</v>
      </c>
      <c r="AD38" s="9">
        <f t="shared" si="26"/>
        <v>0.375</v>
      </c>
      <c r="AE38" s="8">
        <v>52</v>
      </c>
      <c r="AF38" s="9">
        <f t="shared" si="27"/>
        <v>7.5395099318544294E-3</v>
      </c>
      <c r="AG38" s="8">
        <v>4</v>
      </c>
      <c r="AH38" s="9">
        <f t="shared" si="28"/>
        <v>0.5</v>
      </c>
      <c r="AI38" s="8">
        <v>6273</v>
      </c>
      <c r="AJ38" s="9">
        <f t="shared" si="29"/>
        <v>0.90952588081774688</v>
      </c>
      <c r="AK38" s="17">
        <f t="shared" si="3"/>
        <v>1568.25</v>
      </c>
      <c r="AL38" s="17">
        <f t="shared" si="4"/>
        <v>4</v>
      </c>
      <c r="AM38" s="17">
        <f t="shared" si="5"/>
        <v>624</v>
      </c>
      <c r="AN38" s="17">
        <f t="shared" si="6"/>
        <v>156</v>
      </c>
      <c r="AO38" s="8">
        <v>4</v>
      </c>
      <c r="AP38" s="9">
        <f t="shared" si="30"/>
        <v>0.5</v>
      </c>
      <c r="AQ38" s="8">
        <v>624</v>
      </c>
      <c r="AR38" s="9">
        <f t="shared" si="31"/>
        <v>9.0474119182253149E-2</v>
      </c>
      <c r="AT38" s="9">
        <f t="shared" si="32"/>
        <v>0</v>
      </c>
      <c r="AV38" s="9">
        <f t="shared" si="33"/>
        <v>0</v>
      </c>
      <c r="AW38" s="8">
        <v>2</v>
      </c>
      <c r="AX38" s="9">
        <f t="shared" si="36"/>
        <v>0.5</v>
      </c>
      <c r="AY38" s="9">
        <f t="shared" si="21"/>
        <v>0.25</v>
      </c>
      <c r="AZ38" s="8">
        <v>2</v>
      </c>
      <c r="BA38" s="9">
        <f t="shared" si="37"/>
        <v>0.5</v>
      </c>
      <c r="BB38" s="9">
        <f t="shared" si="35"/>
        <v>0.25</v>
      </c>
      <c r="BD38" s="9">
        <f t="shared" si="9"/>
        <v>0</v>
      </c>
      <c r="BE38" s="9">
        <f t="shared" si="10"/>
        <v>0</v>
      </c>
      <c r="BG38" s="9">
        <f t="shared" si="34"/>
        <v>0</v>
      </c>
      <c r="BH38" s="9">
        <f t="shared" si="22"/>
        <v>0</v>
      </c>
      <c r="BJ38" s="8">
        <v>577</v>
      </c>
      <c r="BK38" s="9">
        <f t="shared" si="11"/>
        <v>8.3659562128461651E-2</v>
      </c>
      <c r="BL38" s="8">
        <v>47</v>
      </c>
      <c r="BM38" s="9">
        <f t="shared" si="12"/>
        <v>6.814557053791504E-3</v>
      </c>
    </row>
    <row r="39" spans="1:65" x14ac:dyDescent="0.4">
      <c r="A39" s="8">
        <v>2</v>
      </c>
      <c r="B39" s="8">
        <v>226</v>
      </c>
      <c r="C39" s="8">
        <v>8</v>
      </c>
      <c r="D39" s="8">
        <v>2333</v>
      </c>
      <c r="F39" s="9">
        <f t="shared" si="1"/>
        <v>0</v>
      </c>
      <c r="H39" s="9">
        <f t="shared" si="2"/>
        <v>0</v>
      </c>
      <c r="I39" s="8">
        <v>2</v>
      </c>
      <c r="J39" s="9">
        <f t="shared" si="13"/>
        <v>0.25</v>
      </c>
      <c r="K39" s="8">
        <v>1844</v>
      </c>
      <c r="L39" s="9">
        <f t="shared" si="14"/>
        <v>0.79039862837548225</v>
      </c>
      <c r="M39" s="8">
        <v>1</v>
      </c>
      <c r="N39" s="9">
        <f t="shared" si="15"/>
        <v>0.125</v>
      </c>
      <c r="O39" s="8">
        <v>12</v>
      </c>
      <c r="P39" s="9">
        <f t="shared" si="16"/>
        <v>5.1435919417059583E-3</v>
      </c>
      <c r="Q39" s="8">
        <v>1</v>
      </c>
      <c r="R39" s="9">
        <f t="shared" si="17"/>
        <v>0.125</v>
      </c>
      <c r="S39" s="8">
        <v>331</v>
      </c>
      <c r="T39" s="9">
        <f t="shared" si="18"/>
        <v>0.14187741105872267</v>
      </c>
      <c r="U39" s="8">
        <v>4</v>
      </c>
      <c r="V39" s="9">
        <f t="shared" si="19"/>
        <v>0.5</v>
      </c>
      <c r="W39" s="8">
        <v>146</v>
      </c>
      <c r="X39" s="9">
        <f t="shared" si="23"/>
        <v>6.2580368624089153E-2</v>
      </c>
      <c r="Y39" s="8">
        <v>2</v>
      </c>
      <c r="Z39" s="9">
        <f t="shared" si="24"/>
        <v>0.25</v>
      </c>
      <c r="AA39" s="8">
        <v>1844</v>
      </c>
      <c r="AB39" s="9">
        <f t="shared" si="25"/>
        <v>0.79039862837548225</v>
      </c>
      <c r="AC39" s="8">
        <v>6</v>
      </c>
      <c r="AD39" s="9">
        <f t="shared" si="26"/>
        <v>0.75</v>
      </c>
      <c r="AE39" s="8">
        <v>489</v>
      </c>
      <c r="AF39" s="9">
        <f t="shared" si="27"/>
        <v>0.20960137162451778</v>
      </c>
      <c r="AG39" s="8">
        <v>6</v>
      </c>
      <c r="AH39" s="9">
        <f t="shared" si="28"/>
        <v>0.75</v>
      </c>
      <c r="AI39" s="8">
        <v>2289</v>
      </c>
      <c r="AJ39" s="9">
        <f t="shared" si="29"/>
        <v>0.9811401628804115</v>
      </c>
      <c r="AK39" s="17">
        <f t="shared" si="3"/>
        <v>381.5</v>
      </c>
      <c r="AL39" s="17">
        <f t="shared" si="4"/>
        <v>2</v>
      </c>
      <c r="AM39" s="17">
        <f t="shared" si="5"/>
        <v>44</v>
      </c>
      <c r="AN39" s="17">
        <f t="shared" si="6"/>
        <v>22</v>
      </c>
      <c r="AO39" s="8">
        <v>1</v>
      </c>
      <c r="AP39" s="9">
        <f t="shared" si="30"/>
        <v>0.125</v>
      </c>
      <c r="AQ39" s="8">
        <v>2</v>
      </c>
      <c r="AR39" s="9">
        <f t="shared" si="31"/>
        <v>8.5726532361765965E-4</v>
      </c>
      <c r="AS39" s="8">
        <v>1</v>
      </c>
      <c r="AT39" s="9">
        <f t="shared" si="32"/>
        <v>0.125</v>
      </c>
      <c r="AU39" s="8">
        <v>42</v>
      </c>
      <c r="AV39" s="9">
        <f t="shared" si="33"/>
        <v>1.8002571795970854E-2</v>
      </c>
      <c r="AX39" s="9">
        <f t="shared" si="36"/>
        <v>0</v>
      </c>
      <c r="AY39" s="9">
        <f t="shared" si="21"/>
        <v>0</v>
      </c>
      <c r="AZ39" s="8">
        <v>2</v>
      </c>
      <c r="BA39" s="9">
        <f t="shared" si="37"/>
        <v>1</v>
      </c>
      <c r="BB39" s="9">
        <f t="shared" si="35"/>
        <v>0.25</v>
      </c>
      <c r="BD39" s="9">
        <f t="shared" si="9"/>
        <v>0</v>
      </c>
      <c r="BE39" s="9" t="str">
        <f t="shared" si="10"/>
        <v/>
      </c>
      <c r="BG39" s="9">
        <f t="shared" si="34"/>
        <v>0</v>
      </c>
      <c r="BH39" s="9" t="str">
        <f t="shared" si="22"/>
        <v/>
      </c>
      <c r="BK39" s="9">
        <f t="shared" si="11"/>
        <v>0</v>
      </c>
      <c r="BL39" s="8">
        <v>44</v>
      </c>
      <c r="BM39" s="9">
        <f t="shared" si="12"/>
        <v>1.8859837119588514E-2</v>
      </c>
    </row>
    <row r="40" spans="1:65" x14ac:dyDescent="0.4">
      <c r="A40" s="8">
        <v>2</v>
      </c>
      <c r="B40" s="8">
        <v>233</v>
      </c>
      <c r="C40" s="8">
        <v>16</v>
      </c>
      <c r="D40" s="8">
        <v>7195</v>
      </c>
      <c r="F40" s="9">
        <f t="shared" si="1"/>
        <v>0</v>
      </c>
      <c r="H40" s="9">
        <f t="shared" si="2"/>
        <v>0</v>
      </c>
      <c r="I40" s="8">
        <v>5</v>
      </c>
      <c r="J40" s="9">
        <f t="shared" si="13"/>
        <v>0.3125</v>
      </c>
      <c r="K40" s="8">
        <v>5334</v>
      </c>
      <c r="L40" s="9">
        <f t="shared" si="14"/>
        <v>0.74134815844336344</v>
      </c>
      <c r="M40" s="8">
        <v>5</v>
      </c>
      <c r="N40" s="9">
        <f t="shared" si="15"/>
        <v>0.3125</v>
      </c>
      <c r="O40" s="8">
        <v>1293</v>
      </c>
      <c r="P40" s="9">
        <f t="shared" si="16"/>
        <v>0.17970813064628213</v>
      </c>
      <c r="Q40" s="8">
        <v>3</v>
      </c>
      <c r="R40" s="9">
        <f t="shared" si="17"/>
        <v>0.1875</v>
      </c>
      <c r="S40" s="8">
        <v>539</v>
      </c>
      <c r="T40" s="9">
        <f t="shared" si="18"/>
        <v>7.491313412091731E-2</v>
      </c>
      <c r="U40" s="8">
        <v>3</v>
      </c>
      <c r="V40" s="9">
        <f t="shared" si="19"/>
        <v>0.1875</v>
      </c>
      <c r="W40" s="8">
        <v>29</v>
      </c>
      <c r="X40" s="9">
        <f t="shared" si="23"/>
        <v>4.0305767894371087E-3</v>
      </c>
      <c r="Y40" s="8">
        <v>5</v>
      </c>
      <c r="Z40" s="9">
        <f t="shared" si="24"/>
        <v>0.3125</v>
      </c>
      <c r="AA40" s="8">
        <v>5334</v>
      </c>
      <c r="AB40" s="9">
        <f t="shared" si="25"/>
        <v>0.74134815844336344</v>
      </c>
      <c r="AC40" s="8">
        <v>11</v>
      </c>
      <c r="AD40" s="9">
        <f t="shared" si="26"/>
        <v>0.6875</v>
      </c>
      <c r="AE40" s="8">
        <v>1861</v>
      </c>
      <c r="AF40" s="9">
        <f t="shared" si="27"/>
        <v>0.25865184155663656</v>
      </c>
      <c r="AG40" s="8">
        <v>14</v>
      </c>
      <c r="AH40" s="9">
        <f t="shared" si="28"/>
        <v>0.875</v>
      </c>
      <c r="AI40" s="8">
        <v>7168</v>
      </c>
      <c r="AJ40" s="9">
        <f t="shared" si="29"/>
        <v>0.9962473940236275</v>
      </c>
      <c r="AK40" s="17">
        <f t="shared" si="3"/>
        <v>512</v>
      </c>
      <c r="AL40" s="17">
        <f t="shared" si="4"/>
        <v>2</v>
      </c>
      <c r="AM40" s="17">
        <f t="shared" si="5"/>
        <v>27</v>
      </c>
      <c r="AN40" s="17">
        <f t="shared" si="6"/>
        <v>13.5</v>
      </c>
      <c r="AO40" s="8">
        <v>1</v>
      </c>
      <c r="AP40" s="9">
        <f t="shared" si="30"/>
        <v>6.25E-2</v>
      </c>
      <c r="AQ40" s="8">
        <v>23</v>
      </c>
      <c r="AR40" s="9">
        <f t="shared" si="31"/>
        <v>3.1966643502432243E-3</v>
      </c>
      <c r="AS40" s="8">
        <v>1</v>
      </c>
      <c r="AT40" s="9">
        <f t="shared" si="32"/>
        <v>6.25E-2</v>
      </c>
      <c r="AU40" s="8">
        <v>4</v>
      </c>
      <c r="AV40" s="9">
        <f t="shared" si="33"/>
        <v>5.5594162612925642E-4</v>
      </c>
      <c r="AX40" s="9">
        <f t="shared" si="36"/>
        <v>0</v>
      </c>
      <c r="AY40" s="9">
        <f t="shared" si="21"/>
        <v>0</v>
      </c>
      <c r="AZ40" s="8">
        <v>2</v>
      </c>
      <c r="BA40" s="9">
        <f t="shared" si="37"/>
        <v>1</v>
      </c>
      <c r="BB40" s="9">
        <f t="shared" si="35"/>
        <v>0.125</v>
      </c>
      <c r="BD40" s="9">
        <f t="shared" si="9"/>
        <v>0</v>
      </c>
      <c r="BE40" s="9" t="str">
        <f t="shared" si="10"/>
        <v/>
      </c>
      <c r="BG40" s="9">
        <f t="shared" si="34"/>
        <v>0</v>
      </c>
      <c r="BH40" s="9" t="str">
        <f t="shared" si="22"/>
        <v/>
      </c>
      <c r="BK40" s="9">
        <f t="shared" si="11"/>
        <v>0</v>
      </c>
      <c r="BL40" s="8">
        <v>27</v>
      </c>
      <c r="BM40" s="9">
        <f t="shared" si="12"/>
        <v>3.7526059763724807E-3</v>
      </c>
    </row>
    <row r="41" spans="1:65" x14ac:dyDescent="0.4">
      <c r="A41" s="8">
        <v>2</v>
      </c>
      <c r="B41" s="8">
        <v>237</v>
      </c>
      <c r="C41" s="8">
        <v>22</v>
      </c>
      <c r="D41" s="8">
        <v>5949</v>
      </c>
      <c r="F41" s="9">
        <f t="shared" si="1"/>
        <v>0</v>
      </c>
      <c r="H41" s="9">
        <f t="shared" si="2"/>
        <v>0</v>
      </c>
      <c r="I41" s="8">
        <v>7</v>
      </c>
      <c r="J41" s="9">
        <f t="shared" si="13"/>
        <v>0.31818181818181818</v>
      </c>
      <c r="K41" s="8">
        <v>5510</v>
      </c>
      <c r="L41" s="9">
        <f t="shared" si="14"/>
        <v>0.92620608505631197</v>
      </c>
      <c r="M41" s="8">
        <v>2</v>
      </c>
      <c r="N41" s="9">
        <f t="shared" si="15"/>
        <v>9.0909090909090912E-2</v>
      </c>
      <c r="O41" s="8">
        <v>18</v>
      </c>
      <c r="P41" s="9">
        <f t="shared" si="16"/>
        <v>3.0257186081694403E-3</v>
      </c>
      <c r="Q41" s="8">
        <v>7</v>
      </c>
      <c r="R41" s="9">
        <f t="shared" si="17"/>
        <v>0.31818181818181818</v>
      </c>
      <c r="S41" s="8">
        <v>381</v>
      </c>
      <c r="T41" s="9">
        <f t="shared" si="18"/>
        <v>6.4044377206253153E-2</v>
      </c>
      <c r="U41" s="8">
        <v>6</v>
      </c>
      <c r="V41" s="9">
        <f t="shared" si="19"/>
        <v>0.27272727272727271</v>
      </c>
      <c r="W41" s="8">
        <v>40</v>
      </c>
      <c r="X41" s="9">
        <f t="shared" si="23"/>
        <v>6.7238191292654228E-3</v>
      </c>
      <c r="Y41" s="8">
        <v>6</v>
      </c>
      <c r="Z41" s="9">
        <f t="shared" si="24"/>
        <v>0.27272727272727271</v>
      </c>
      <c r="AA41" s="8">
        <v>5501</v>
      </c>
      <c r="AB41" s="9">
        <f t="shared" si="25"/>
        <v>0.92469322575222723</v>
      </c>
      <c r="AC41" s="8">
        <v>16</v>
      </c>
      <c r="AD41" s="9">
        <f t="shared" si="26"/>
        <v>0.72727272727272729</v>
      </c>
      <c r="AE41" s="8">
        <v>448</v>
      </c>
      <c r="AF41" s="9">
        <f t="shared" si="27"/>
        <v>7.530677424777274E-2</v>
      </c>
      <c r="AG41" s="8">
        <v>12</v>
      </c>
      <c r="AH41" s="9">
        <f t="shared" si="28"/>
        <v>0.54545454545454541</v>
      </c>
      <c r="AI41" s="8">
        <v>5494</v>
      </c>
      <c r="AJ41" s="9">
        <f t="shared" si="29"/>
        <v>0.92351655740460581</v>
      </c>
      <c r="AK41" s="17">
        <f t="shared" si="3"/>
        <v>457.83333333333331</v>
      </c>
      <c r="AL41" s="17">
        <f t="shared" si="4"/>
        <v>10</v>
      </c>
      <c r="AM41" s="17">
        <f t="shared" si="5"/>
        <v>455</v>
      </c>
      <c r="AN41" s="17">
        <f t="shared" si="6"/>
        <v>45.5</v>
      </c>
      <c r="AO41" s="8">
        <v>10</v>
      </c>
      <c r="AP41" s="9">
        <f t="shared" si="30"/>
        <v>0.45454545454545453</v>
      </c>
      <c r="AQ41" s="8">
        <v>455</v>
      </c>
      <c r="AR41" s="9">
        <f t="shared" si="31"/>
        <v>7.6483442595394177E-2</v>
      </c>
      <c r="AT41" s="9">
        <f t="shared" si="32"/>
        <v>0</v>
      </c>
      <c r="AV41" s="9">
        <f t="shared" si="33"/>
        <v>0</v>
      </c>
      <c r="AW41" s="8">
        <v>1</v>
      </c>
      <c r="AX41" s="9">
        <f t="shared" si="36"/>
        <v>0.1</v>
      </c>
      <c r="AY41" s="9">
        <f t="shared" si="21"/>
        <v>4.5454545454545456E-2</v>
      </c>
      <c r="AZ41" s="8">
        <v>9</v>
      </c>
      <c r="BA41" s="9">
        <f t="shared" si="37"/>
        <v>0.9</v>
      </c>
      <c r="BB41" s="9">
        <f t="shared" si="35"/>
        <v>0.40909090909090912</v>
      </c>
      <c r="BD41" s="9">
        <f t="shared" si="9"/>
        <v>0</v>
      </c>
      <c r="BE41" s="9">
        <f t="shared" si="10"/>
        <v>0</v>
      </c>
      <c r="BG41" s="9">
        <f t="shared" si="34"/>
        <v>0</v>
      </c>
      <c r="BH41" s="9">
        <f t="shared" si="22"/>
        <v>0</v>
      </c>
      <c r="BJ41" s="8">
        <v>262</v>
      </c>
      <c r="BK41" s="9">
        <f t="shared" si="11"/>
        <v>4.4041015296688517E-2</v>
      </c>
      <c r="BL41" s="8">
        <v>193</v>
      </c>
      <c r="BM41" s="9">
        <f t="shared" si="12"/>
        <v>3.2442427298705667E-2</v>
      </c>
    </row>
    <row r="42" spans="1:65" x14ac:dyDescent="0.4">
      <c r="A42" s="8">
        <v>2</v>
      </c>
      <c r="B42" s="8">
        <v>249</v>
      </c>
      <c r="C42" s="8">
        <v>10</v>
      </c>
      <c r="D42" s="8">
        <v>3204</v>
      </c>
      <c r="E42" s="8">
        <v>1</v>
      </c>
      <c r="F42" s="9">
        <f t="shared" si="1"/>
        <v>0.1</v>
      </c>
      <c r="G42" s="8">
        <v>21</v>
      </c>
      <c r="H42" s="9">
        <f t="shared" si="2"/>
        <v>6.5543071161048693E-3</v>
      </c>
      <c r="I42" s="8">
        <v>4</v>
      </c>
      <c r="J42" s="9">
        <f t="shared" si="13"/>
        <v>0.4</v>
      </c>
      <c r="K42" s="8">
        <v>3126</v>
      </c>
      <c r="L42" s="9">
        <f t="shared" si="14"/>
        <v>0.97565543071161054</v>
      </c>
      <c r="N42" s="9">
        <f t="shared" si="15"/>
        <v>0</v>
      </c>
      <c r="P42" s="9">
        <f t="shared" si="16"/>
        <v>0</v>
      </c>
      <c r="Q42" s="8">
        <v>1</v>
      </c>
      <c r="R42" s="9">
        <f t="shared" si="17"/>
        <v>0.1</v>
      </c>
      <c r="S42" s="8">
        <v>21</v>
      </c>
      <c r="T42" s="9">
        <f t="shared" si="18"/>
        <v>6.5543071161048693E-3</v>
      </c>
      <c r="U42" s="8">
        <v>4</v>
      </c>
      <c r="V42" s="9">
        <f t="shared" si="19"/>
        <v>0.4</v>
      </c>
      <c r="W42" s="8">
        <v>36</v>
      </c>
      <c r="X42" s="9">
        <f t="shared" si="23"/>
        <v>1.1235955056179775E-2</v>
      </c>
      <c r="Y42" s="8">
        <v>4</v>
      </c>
      <c r="Z42" s="9">
        <f t="shared" si="24"/>
        <v>0.4</v>
      </c>
      <c r="AA42" s="8">
        <v>3126</v>
      </c>
      <c r="AB42" s="9">
        <f t="shared" si="25"/>
        <v>0.97565543071161054</v>
      </c>
      <c r="AC42" s="8">
        <v>6</v>
      </c>
      <c r="AD42" s="9">
        <f t="shared" si="26"/>
        <v>0.6</v>
      </c>
      <c r="AE42" s="8">
        <v>78</v>
      </c>
      <c r="AF42" s="9">
        <f t="shared" si="27"/>
        <v>2.4344569288389514E-2</v>
      </c>
      <c r="AG42" s="8">
        <v>3</v>
      </c>
      <c r="AH42" s="9">
        <f t="shared" si="28"/>
        <v>0.3</v>
      </c>
      <c r="AI42" s="8">
        <v>3027</v>
      </c>
      <c r="AJ42" s="9">
        <f t="shared" si="29"/>
        <v>0.94475655430711614</v>
      </c>
      <c r="AK42" s="17">
        <f t="shared" si="3"/>
        <v>1009</v>
      </c>
      <c r="AL42" s="17">
        <f t="shared" si="4"/>
        <v>7</v>
      </c>
      <c r="AM42" s="17">
        <f t="shared" si="5"/>
        <v>177</v>
      </c>
      <c r="AN42" s="17">
        <f t="shared" si="6"/>
        <v>25.285714285714285</v>
      </c>
      <c r="AO42" s="8">
        <v>7</v>
      </c>
      <c r="AP42" s="9">
        <f t="shared" si="30"/>
        <v>0.7</v>
      </c>
      <c r="AQ42" s="8">
        <v>177</v>
      </c>
      <c r="AR42" s="9">
        <f t="shared" si="31"/>
        <v>5.5243445692883898E-2</v>
      </c>
      <c r="AT42" s="9">
        <f t="shared" si="32"/>
        <v>0</v>
      </c>
      <c r="AV42" s="9">
        <f t="shared" si="33"/>
        <v>0</v>
      </c>
      <c r="AW42" s="8">
        <v>1</v>
      </c>
      <c r="AX42" s="9">
        <f t="shared" si="36"/>
        <v>0.14285714285714285</v>
      </c>
      <c r="AY42" s="9">
        <f t="shared" si="21"/>
        <v>0.1</v>
      </c>
      <c r="AZ42" s="8">
        <v>6</v>
      </c>
      <c r="BA42" s="9">
        <f t="shared" si="37"/>
        <v>0.8571428571428571</v>
      </c>
      <c r="BB42" s="9">
        <f t="shared" si="35"/>
        <v>0.6</v>
      </c>
      <c r="BD42" s="9">
        <f t="shared" si="9"/>
        <v>0</v>
      </c>
      <c r="BE42" s="9">
        <f t="shared" si="10"/>
        <v>0</v>
      </c>
      <c r="BF42" s="8">
        <v>1</v>
      </c>
      <c r="BG42" s="9">
        <f t="shared" si="34"/>
        <v>1</v>
      </c>
      <c r="BH42" s="9">
        <f t="shared" si="22"/>
        <v>1</v>
      </c>
      <c r="BJ42" s="8">
        <v>99</v>
      </c>
      <c r="BK42" s="9">
        <f t="shared" si="11"/>
        <v>3.0898876404494381E-2</v>
      </c>
      <c r="BL42" s="8">
        <v>78</v>
      </c>
      <c r="BM42" s="9">
        <f t="shared" si="12"/>
        <v>2.4344569288389514E-2</v>
      </c>
    </row>
    <row r="43" spans="1:65" x14ac:dyDescent="0.4">
      <c r="A43" s="8">
        <v>2</v>
      </c>
      <c r="B43" s="8">
        <v>251</v>
      </c>
      <c r="C43" s="8">
        <v>30</v>
      </c>
      <c r="D43" s="8">
        <v>2771</v>
      </c>
      <c r="F43" s="9">
        <f t="shared" si="1"/>
        <v>0</v>
      </c>
      <c r="H43" s="9">
        <f t="shared" si="2"/>
        <v>0</v>
      </c>
      <c r="I43" s="8">
        <v>6</v>
      </c>
      <c r="J43" s="9">
        <f t="shared" si="13"/>
        <v>0.2</v>
      </c>
      <c r="K43" s="8">
        <v>1102</v>
      </c>
      <c r="L43" s="9">
        <f t="shared" si="14"/>
        <v>0.39769036448935402</v>
      </c>
      <c r="M43" s="8">
        <v>2</v>
      </c>
      <c r="N43" s="9">
        <f t="shared" si="15"/>
        <v>6.6666666666666666E-2</v>
      </c>
      <c r="O43" s="8">
        <v>79</v>
      </c>
      <c r="P43" s="9">
        <f t="shared" si="16"/>
        <v>2.8509563334536268E-2</v>
      </c>
      <c r="Q43" s="8">
        <v>7</v>
      </c>
      <c r="R43" s="9">
        <f t="shared" si="17"/>
        <v>0.23333333333333334</v>
      </c>
      <c r="S43" s="8">
        <v>1282</v>
      </c>
      <c r="T43" s="9">
        <f t="shared" si="18"/>
        <v>0.46264886322627208</v>
      </c>
      <c r="U43" s="8">
        <v>15</v>
      </c>
      <c r="V43" s="9">
        <f t="shared" si="19"/>
        <v>0.5</v>
      </c>
      <c r="W43" s="8">
        <v>308</v>
      </c>
      <c r="X43" s="9">
        <f t="shared" si="23"/>
        <v>0.1111512089498376</v>
      </c>
      <c r="Y43" s="8">
        <v>5</v>
      </c>
      <c r="Z43" s="9">
        <f t="shared" si="24"/>
        <v>0.16666666666666666</v>
      </c>
      <c r="AA43" s="8">
        <v>1003</v>
      </c>
      <c r="AB43" s="9">
        <f t="shared" si="25"/>
        <v>0.3619631901840491</v>
      </c>
      <c r="AC43" s="8">
        <v>25</v>
      </c>
      <c r="AD43" s="9">
        <f t="shared" si="26"/>
        <v>0.83333333333333337</v>
      </c>
      <c r="AE43" s="8">
        <v>1768</v>
      </c>
      <c r="AF43" s="9">
        <f t="shared" si="27"/>
        <v>0.6380368098159509</v>
      </c>
      <c r="AG43" s="8">
        <v>21</v>
      </c>
      <c r="AH43" s="9">
        <f t="shared" si="28"/>
        <v>0.7</v>
      </c>
      <c r="AI43" s="8">
        <v>2356</v>
      </c>
      <c r="AJ43" s="9">
        <f t="shared" si="29"/>
        <v>0.85023457235654998</v>
      </c>
      <c r="AK43" s="17">
        <f t="shared" si="3"/>
        <v>112.19047619047619</v>
      </c>
      <c r="AL43" s="17">
        <f t="shared" si="4"/>
        <v>9</v>
      </c>
      <c r="AM43" s="17">
        <f t="shared" si="5"/>
        <v>415</v>
      </c>
      <c r="AN43" s="17">
        <f t="shared" si="6"/>
        <v>46.111111111111114</v>
      </c>
      <c r="AO43" s="8">
        <v>6</v>
      </c>
      <c r="AP43" s="9">
        <f t="shared" si="30"/>
        <v>0.2</v>
      </c>
      <c r="AQ43" s="8">
        <v>273</v>
      </c>
      <c r="AR43" s="9">
        <f t="shared" si="31"/>
        <v>9.8520389750992421E-2</v>
      </c>
      <c r="AS43" s="8">
        <v>3</v>
      </c>
      <c r="AT43" s="9">
        <f t="shared" si="32"/>
        <v>0.1</v>
      </c>
      <c r="AU43" s="8">
        <v>142</v>
      </c>
      <c r="AV43" s="9">
        <f t="shared" si="33"/>
        <v>5.1245037892457594E-2</v>
      </c>
      <c r="AW43" s="8">
        <v>1</v>
      </c>
      <c r="AX43" s="9">
        <f t="shared" si="36"/>
        <v>0.1111111111111111</v>
      </c>
      <c r="AY43" s="9">
        <f t="shared" si="21"/>
        <v>3.3333333333333333E-2</v>
      </c>
      <c r="AZ43" s="8">
        <v>8</v>
      </c>
      <c r="BA43" s="9">
        <f t="shared" si="37"/>
        <v>0.88888888888888884</v>
      </c>
      <c r="BB43" s="9">
        <f t="shared" si="35"/>
        <v>0.26666666666666666</v>
      </c>
      <c r="BC43" s="8">
        <v>1</v>
      </c>
      <c r="BD43" s="9">
        <f t="shared" si="9"/>
        <v>1</v>
      </c>
      <c r="BE43" s="9">
        <f t="shared" si="10"/>
        <v>1</v>
      </c>
      <c r="BG43" s="9">
        <f t="shared" si="34"/>
        <v>0</v>
      </c>
      <c r="BH43" s="9">
        <f t="shared" si="22"/>
        <v>0</v>
      </c>
      <c r="BJ43" s="8">
        <v>17</v>
      </c>
      <c r="BK43" s="9">
        <f t="shared" si="11"/>
        <v>6.1349693251533744E-3</v>
      </c>
      <c r="BL43" s="8">
        <v>398</v>
      </c>
      <c r="BM43" s="9">
        <f t="shared" si="12"/>
        <v>0.14363045831829666</v>
      </c>
    </row>
    <row r="44" spans="1:65" x14ac:dyDescent="0.4">
      <c r="A44" s="8">
        <v>2</v>
      </c>
      <c r="B44" s="8">
        <v>265</v>
      </c>
      <c r="C44" s="8">
        <v>18</v>
      </c>
      <c r="D44" s="8">
        <v>5552</v>
      </c>
      <c r="F44" s="9">
        <f t="shared" si="1"/>
        <v>0</v>
      </c>
      <c r="H44" s="9">
        <f t="shared" si="2"/>
        <v>0</v>
      </c>
      <c r="I44" s="8">
        <v>8</v>
      </c>
      <c r="J44" s="9">
        <f t="shared" si="13"/>
        <v>0.44444444444444442</v>
      </c>
      <c r="K44" s="8">
        <v>5281</v>
      </c>
      <c r="L44" s="9">
        <f t="shared" si="14"/>
        <v>0.95118876080691639</v>
      </c>
      <c r="N44" s="9">
        <f t="shared" si="15"/>
        <v>0</v>
      </c>
      <c r="P44" s="9">
        <f t="shared" si="16"/>
        <v>0</v>
      </c>
      <c r="Q44" s="8">
        <v>3</v>
      </c>
      <c r="R44" s="9">
        <f t="shared" si="17"/>
        <v>0.16666666666666666</v>
      </c>
      <c r="S44" s="8">
        <v>212</v>
      </c>
      <c r="T44" s="9">
        <f t="shared" si="18"/>
        <v>3.8184438040345818E-2</v>
      </c>
      <c r="U44" s="8">
        <v>7</v>
      </c>
      <c r="V44" s="9">
        <f t="shared" si="19"/>
        <v>0.3888888888888889</v>
      </c>
      <c r="W44" s="8">
        <v>59</v>
      </c>
      <c r="X44" s="9">
        <f t="shared" si="23"/>
        <v>1.0626801152737753E-2</v>
      </c>
      <c r="Y44" s="8">
        <v>10</v>
      </c>
      <c r="Z44" s="9">
        <f t="shared" si="24"/>
        <v>0.55555555555555558</v>
      </c>
      <c r="AA44" s="8">
        <v>5415</v>
      </c>
      <c r="AB44" s="9">
        <f t="shared" si="25"/>
        <v>0.97532420749279536</v>
      </c>
      <c r="AC44" s="8">
        <v>8</v>
      </c>
      <c r="AD44" s="9">
        <f t="shared" si="26"/>
        <v>0.44444444444444442</v>
      </c>
      <c r="AE44" s="8">
        <v>137</v>
      </c>
      <c r="AF44" s="9">
        <f t="shared" si="27"/>
        <v>2.467579250720461E-2</v>
      </c>
      <c r="AG44" s="8">
        <v>9</v>
      </c>
      <c r="AH44" s="9">
        <f t="shared" si="28"/>
        <v>0.5</v>
      </c>
      <c r="AI44" s="8">
        <v>5239</v>
      </c>
      <c r="AJ44" s="9">
        <f t="shared" si="29"/>
        <v>0.94362391930835732</v>
      </c>
      <c r="AK44" s="17">
        <f t="shared" si="3"/>
        <v>582.11111111111109</v>
      </c>
      <c r="AL44" s="17">
        <f t="shared" si="4"/>
        <v>9</v>
      </c>
      <c r="AM44" s="17">
        <f t="shared" si="5"/>
        <v>313</v>
      </c>
      <c r="AN44" s="17">
        <f t="shared" si="6"/>
        <v>34.777777777777779</v>
      </c>
      <c r="AO44" s="8">
        <v>9</v>
      </c>
      <c r="AP44" s="9">
        <f t="shared" si="30"/>
        <v>0.5</v>
      </c>
      <c r="AQ44" s="8">
        <v>313</v>
      </c>
      <c r="AR44" s="9">
        <f t="shared" si="31"/>
        <v>5.6376080691642648E-2</v>
      </c>
      <c r="AT44" s="9">
        <f t="shared" si="32"/>
        <v>0</v>
      </c>
      <c r="AV44" s="9">
        <f t="shared" si="33"/>
        <v>0</v>
      </c>
      <c r="AW44" s="8">
        <v>3</v>
      </c>
      <c r="AX44" s="9">
        <f t="shared" si="36"/>
        <v>0.33333333333333331</v>
      </c>
      <c r="AY44" s="9">
        <f t="shared" si="21"/>
        <v>0.16666666666666666</v>
      </c>
      <c r="AZ44" s="8">
        <v>6</v>
      </c>
      <c r="BA44" s="9">
        <f t="shared" si="37"/>
        <v>0.66666666666666663</v>
      </c>
      <c r="BB44" s="9">
        <f t="shared" si="35"/>
        <v>0.33333333333333331</v>
      </c>
      <c r="BC44" s="8">
        <v>2</v>
      </c>
      <c r="BD44" s="9">
        <f t="shared" si="9"/>
        <v>1</v>
      </c>
      <c r="BE44" s="9">
        <f t="shared" si="10"/>
        <v>1</v>
      </c>
      <c r="BF44" s="8">
        <v>2</v>
      </c>
      <c r="BG44" s="9">
        <f>IF(($AW44-$BI44)&lt;&gt;0, BF44/($AW44-$BI44), 0)</f>
        <v>1</v>
      </c>
      <c r="BH44" s="9">
        <f t="shared" si="22"/>
        <v>1</v>
      </c>
      <c r="BI44" s="8">
        <v>1</v>
      </c>
      <c r="BJ44" s="8">
        <v>270</v>
      </c>
      <c r="BK44" s="9">
        <f t="shared" si="11"/>
        <v>4.8631123919308357E-2</v>
      </c>
      <c r="BL44" s="8">
        <v>43</v>
      </c>
      <c r="BM44" s="9">
        <f t="shared" si="12"/>
        <v>7.7449567723342936E-3</v>
      </c>
    </row>
    <row r="45" spans="1:65" x14ac:dyDescent="0.4">
      <c r="A45" s="8">
        <v>2</v>
      </c>
      <c r="B45" s="8">
        <v>277</v>
      </c>
      <c r="C45" s="8">
        <v>9</v>
      </c>
      <c r="D45" s="8">
        <v>1453</v>
      </c>
      <c r="F45" s="9">
        <f t="shared" si="1"/>
        <v>0</v>
      </c>
      <c r="H45" s="9">
        <f t="shared" si="2"/>
        <v>0</v>
      </c>
      <c r="I45" s="8">
        <v>3</v>
      </c>
      <c r="J45" s="9">
        <f t="shared" si="13"/>
        <v>0.33333333333333331</v>
      </c>
      <c r="K45" s="8">
        <v>1102</v>
      </c>
      <c r="L45" s="9">
        <f t="shared" si="14"/>
        <v>0.75843083275980727</v>
      </c>
      <c r="N45" s="9">
        <f t="shared" si="15"/>
        <v>0</v>
      </c>
      <c r="P45" s="9">
        <f t="shared" si="16"/>
        <v>0</v>
      </c>
      <c r="Q45" s="8">
        <v>2</v>
      </c>
      <c r="R45" s="9">
        <f t="shared" si="17"/>
        <v>0.22222222222222221</v>
      </c>
      <c r="S45" s="8">
        <v>178</v>
      </c>
      <c r="T45" s="9">
        <f t="shared" si="18"/>
        <v>0.12250516173434274</v>
      </c>
      <c r="U45" s="8">
        <v>4</v>
      </c>
      <c r="V45" s="9">
        <f t="shared" si="19"/>
        <v>0.44444444444444442</v>
      </c>
      <c r="W45" s="8">
        <v>173</v>
      </c>
      <c r="X45" s="9">
        <f t="shared" si="23"/>
        <v>0.11906400550584996</v>
      </c>
      <c r="Y45" s="8">
        <v>3</v>
      </c>
      <c r="Z45" s="9">
        <f t="shared" si="24"/>
        <v>0.33333333333333331</v>
      </c>
      <c r="AA45" s="8">
        <v>1102</v>
      </c>
      <c r="AB45" s="9">
        <f t="shared" si="25"/>
        <v>0.75843083275980727</v>
      </c>
      <c r="AC45" s="8">
        <v>6</v>
      </c>
      <c r="AD45" s="9">
        <f t="shared" si="26"/>
        <v>0.66666666666666663</v>
      </c>
      <c r="AE45" s="8">
        <v>351</v>
      </c>
      <c r="AF45" s="9">
        <f t="shared" si="27"/>
        <v>0.2415691672401927</v>
      </c>
      <c r="AG45" s="8">
        <v>6</v>
      </c>
      <c r="AH45" s="9">
        <f t="shared" si="28"/>
        <v>0.66666666666666663</v>
      </c>
      <c r="AI45" s="8">
        <v>1290</v>
      </c>
      <c r="AJ45" s="9">
        <f t="shared" si="29"/>
        <v>0.88781830695113562</v>
      </c>
      <c r="AK45" s="17">
        <f t="shared" si="3"/>
        <v>215</v>
      </c>
      <c r="AL45" s="17">
        <f t="shared" si="4"/>
        <v>3</v>
      </c>
      <c r="AM45" s="17">
        <f t="shared" si="5"/>
        <v>163</v>
      </c>
      <c r="AN45" s="17">
        <f t="shared" si="6"/>
        <v>54.333333333333336</v>
      </c>
      <c r="AO45" s="8">
        <v>1</v>
      </c>
      <c r="AP45" s="9">
        <f t="shared" si="30"/>
        <v>0.1111111111111111</v>
      </c>
      <c r="AQ45" s="8">
        <v>1</v>
      </c>
      <c r="AR45" s="9">
        <f t="shared" si="31"/>
        <v>6.8823124569855469E-4</v>
      </c>
      <c r="AS45" s="8">
        <v>2</v>
      </c>
      <c r="AT45" s="9">
        <f t="shared" si="32"/>
        <v>0.22222222222222221</v>
      </c>
      <c r="AU45" s="8">
        <v>162</v>
      </c>
      <c r="AV45" s="9">
        <f t="shared" si="33"/>
        <v>0.11149346180316587</v>
      </c>
      <c r="AX45" s="9">
        <f t="shared" si="36"/>
        <v>0</v>
      </c>
      <c r="AY45" s="9">
        <f t="shared" si="21"/>
        <v>0</v>
      </c>
      <c r="AZ45" s="8">
        <v>3</v>
      </c>
      <c r="BA45" s="9">
        <f t="shared" si="37"/>
        <v>1</v>
      </c>
      <c r="BB45" s="9">
        <f t="shared" si="35"/>
        <v>0.33333333333333331</v>
      </c>
      <c r="BD45" s="9">
        <f t="shared" si="9"/>
        <v>0</v>
      </c>
      <c r="BE45" s="9" t="str">
        <f t="shared" si="10"/>
        <v/>
      </c>
      <c r="BG45" s="9">
        <f t="shared" si="34"/>
        <v>0</v>
      </c>
      <c r="BH45" s="9" t="str">
        <f t="shared" si="22"/>
        <v/>
      </c>
      <c r="BK45" s="9">
        <f t="shared" si="11"/>
        <v>0</v>
      </c>
      <c r="BL45" s="8">
        <v>163</v>
      </c>
      <c r="BM45" s="9">
        <f t="shared" si="12"/>
        <v>0.11218169304886441</v>
      </c>
    </row>
    <row r="46" spans="1:65" x14ac:dyDescent="0.4">
      <c r="A46" s="8">
        <v>3</v>
      </c>
      <c r="B46" s="8">
        <v>34</v>
      </c>
      <c r="C46" s="8">
        <v>23</v>
      </c>
      <c r="D46" s="8">
        <v>3473</v>
      </c>
      <c r="E46" s="8">
        <v>1</v>
      </c>
      <c r="F46" s="9">
        <f t="shared" si="1"/>
        <v>4.3478260869565216E-2</v>
      </c>
      <c r="G46" s="8">
        <v>76</v>
      </c>
      <c r="H46" s="9">
        <f t="shared" si="2"/>
        <v>2.1883098186006335E-2</v>
      </c>
      <c r="I46" s="8">
        <v>4</v>
      </c>
      <c r="J46" s="9">
        <f t="shared" si="13"/>
        <v>0.17391304347826086</v>
      </c>
      <c r="K46" s="8">
        <v>2157</v>
      </c>
      <c r="L46" s="9">
        <f t="shared" si="14"/>
        <v>0.62107687877915352</v>
      </c>
      <c r="M46" s="8">
        <v>8</v>
      </c>
      <c r="N46" s="9">
        <f t="shared" si="15"/>
        <v>0.34782608695652173</v>
      </c>
      <c r="O46" s="8">
        <v>273</v>
      </c>
      <c r="P46" s="9">
        <f t="shared" si="16"/>
        <v>7.8606392168154335E-2</v>
      </c>
      <c r="Q46" s="8">
        <v>6</v>
      </c>
      <c r="R46" s="9">
        <f t="shared" si="17"/>
        <v>0.2608695652173913</v>
      </c>
      <c r="S46" s="8">
        <v>854</v>
      </c>
      <c r="T46" s="9">
        <f t="shared" si="18"/>
        <v>0.24589691909012382</v>
      </c>
      <c r="U46" s="8">
        <v>4</v>
      </c>
      <c r="V46" s="9">
        <f t="shared" si="19"/>
        <v>0.17391304347826086</v>
      </c>
      <c r="W46" s="8">
        <v>113</v>
      </c>
      <c r="X46" s="9">
        <f t="shared" si="23"/>
        <v>3.2536711776562047E-2</v>
      </c>
      <c r="Y46" s="8">
        <v>3</v>
      </c>
      <c r="Z46" s="9">
        <f t="shared" si="24"/>
        <v>0.13043478260869565</v>
      </c>
      <c r="AA46" s="8">
        <v>479</v>
      </c>
      <c r="AB46" s="9">
        <f t="shared" si="25"/>
        <v>0.1379211056723294</v>
      </c>
      <c r="AC46" s="8">
        <v>20</v>
      </c>
      <c r="AD46" s="9">
        <f t="shared" si="26"/>
        <v>0.86956521739130432</v>
      </c>
      <c r="AE46" s="8">
        <v>2994</v>
      </c>
      <c r="AF46" s="9">
        <f t="shared" si="27"/>
        <v>0.8620788943276706</v>
      </c>
      <c r="AG46" s="8">
        <v>6</v>
      </c>
      <c r="AH46" s="9">
        <f t="shared" si="28"/>
        <v>0.2608695652173913</v>
      </c>
      <c r="AI46" s="8">
        <v>2204</v>
      </c>
      <c r="AJ46" s="9">
        <f t="shared" si="29"/>
        <v>0.63460984739418369</v>
      </c>
      <c r="AK46" s="17">
        <f t="shared" si="3"/>
        <v>367.33333333333331</v>
      </c>
      <c r="AL46" s="17">
        <f t="shared" si="4"/>
        <v>17</v>
      </c>
      <c r="AM46" s="17">
        <f t="shared" si="5"/>
        <v>1269</v>
      </c>
      <c r="AN46" s="17">
        <f t="shared" si="6"/>
        <v>74.647058823529406</v>
      </c>
      <c r="AO46" s="8">
        <v>15</v>
      </c>
      <c r="AP46" s="9">
        <f t="shared" si="30"/>
        <v>0.65217391304347827</v>
      </c>
      <c r="AQ46" s="8">
        <v>1250</v>
      </c>
      <c r="AR46" s="9">
        <f t="shared" si="31"/>
        <v>0.35991937805931473</v>
      </c>
      <c r="AS46" s="8">
        <v>2</v>
      </c>
      <c r="AT46" s="9">
        <f t="shared" si="32"/>
        <v>8.6956521739130432E-2</v>
      </c>
      <c r="AU46" s="8">
        <v>19</v>
      </c>
      <c r="AV46" s="9">
        <f t="shared" si="33"/>
        <v>5.4707745465015839E-3</v>
      </c>
      <c r="AW46" s="8">
        <v>3</v>
      </c>
      <c r="AX46" s="9">
        <f t="shared" si="36"/>
        <v>0.17647058823529413</v>
      </c>
      <c r="AY46" s="9">
        <f t="shared" si="21"/>
        <v>0.13043478260869565</v>
      </c>
      <c r="AZ46" s="8">
        <v>14</v>
      </c>
      <c r="BA46" s="9">
        <f t="shared" si="37"/>
        <v>0.82352941176470584</v>
      </c>
      <c r="BB46" s="9">
        <f t="shared" si="35"/>
        <v>0.60869565217391308</v>
      </c>
      <c r="BC46" s="8">
        <v>2</v>
      </c>
      <c r="BD46" s="9">
        <f t="shared" si="9"/>
        <v>1</v>
      </c>
      <c r="BE46" s="9">
        <f t="shared" si="10"/>
        <v>1</v>
      </c>
      <c r="BG46" s="9">
        <f t="shared" si="34"/>
        <v>0</v>
      </c>
      <c r="BH46" s="9">
        <f t="shared" si="22"/>
        <v>0</v>
      </c>
      <c r="BI46" s="8">
        <v>1</v>
      </c>
      <c r="BJ46" s="8">
        <v>479</v>
      </c>
      <c r="BK46" s="9">
        <f t="shared" si="11"/>
        <v>0.1379211056723294</v>
      </c>
      <c r="BL46" s="8">
        <v>790</v>
      </c>
      <c r="BM46" s="9">
        <f t="shared" si="12"/>
        <v>0.22746904693348691</v>
      </c>
    </row>
    <row r="47" spans="1:65" x14ac:dyDescent="0.4">
      <c r="A47" s="8">
        <v>3</v>
      </c>
      <c r="B47" s="8">
        <v>41</v>
      </c>
      <c r="C47" s="8">
        <v>22</v>
      </c>
      <c r="D47" s="8">
        <v>4681</v>
      </c>
      <c r="F47" s="9">
        <f t="shared" si="1"/>
        <v>0</v>
      </c>
      <c r="H47" s="9">
        <f t="shared" si="2"/>
        <v>0</v>
      </c>
      <c r="I47" s="8">
        <v>6</v>
      </c>
      <c r="J47" s="9">
        <f t="shared" si="13"/>
        <v>0.27272727272727271</v>
      </c>
      <c r="K47" s="8">
        <v>3466</v>
      </c>
      <c r="L47" s="9">
        <f t="shared" si="14"/>
        <v>0.74044007690664393</v>
      </c>
      <c r="M47" s="8">
        <v>1</v>
      </c>
      <c r="N47" s="9">
        <f t="shared" si="15"/>
        <v>4.5454545454545456E-2</v>
      </c>
      <c r="O47" s="8">
        <v>52</v>
      </c>
      <c r="P47" s="9">
        <f t="shared" si="16"/>
        <v>1.1108737449262978E-2</v>
      </c>
      <c r="Q47" s="8">
        <v>2</v>
      </c>
      <c r="R47" s="9">
        <f t="shared" si="17"/>
        <v>9.0909090909090912E-2</v>
      </c>
      <c r="S47" s="8">
        <v>166</v>
      </c>
      <c r="T47" s="9">
        <f t="shared" si="18"/>
        <v>3.5462508011108736E-2</v>
      </c>
      <c r="U47" s="8">
        <v>13</v>
      </c>
      <c r="V47" s="9">
        <f t="shared" si="19"/>
        <v>0.59090909090909094</v>
      </c>
      <c r="W47" s="8">
        <v>997</v>
      </c>
      <c r="X47" s="9">
        <f t="shared" si="23"/>
        <v>0.2129886776329844</v>
      </c>
      <c r="Y47" s="8">
        <v>3</v>
      </c>
      <c r="Z47" s="9">
        <f t="shared" si="24"/>
        <v>0.13636363636363635</v>
      </c>
      <c r="AA47" s="8">
        <v>2835</v>
      </c>
      <c r="AB47" s="9">
        <f t="shared" si="25"/>
        <v>0.60563982055116428</v>
      </c>
      <c r="AC47" s="8">
        <v>19</v>
      </c>
      <c r="AD47" s="9">
        <f t="shared" si="26"/>
        <v>0.86363636363636365</v>
      </c>
      <c r="AE47" s="8">
        <v>1846</v>
      </c>
      <c r="AF47" s="9">
        <f t="shared" si="27"/>
        <v>0.39436017944883572</v>
      </c>
      <c r="AG47" s="8">
        <v>12</v>
      </c>
      <c r="AH47" s="9">
        <f t="shared" si="28"/>
        <v>0.54545454545454541</v>
      </c>
      <c r="AI47" s="8">
        <v>3915</v>
      </c>
      <c r="AJ47" s="9">
        <f t="shared" si="29"/>
        <v>0.83635975218970304</v>
      </c>
      <c r="AK47" s="17">
        <f t="shared" si="3"/>
        <v>326.25</v>
      </c>
      <c r="AL47" s="17">
        <f t="shared" si="4"/>
        <v>10</v>
      </c>
      <c r="AM47" s="17">
        <f t="shared" si="5"/>
        <v>766</v>
      </c>
      <c r="AN47" s="17">
        <f t="shared" si="6"/>
        <v>76.599999999999994</v>
      </c>
      <c r="AO47" s="8">
        <v>5</v>
      </c>
      <c r="AP47" s="9">
        <f t="shared" si="30"/>
        <v>0.22727272727272727</v>
      </c>
      <c r="AQ47" s="8">
        <v>647</v>
      </c>
      <c r="AR47" s="9">
        <f t="shared" si="31"/>
        <v>0.1382183294167913</v>
      </c>
      <c r="AS47" s="8">
        <v>5</v>
      </c>
      <c r="AT47" s="9">
        <f t="shared" si="32"/>
        <v>0.22727272727272727</v>
      </c>
      <c r="AU47" s="8">
        <v>119</v>
      </c>
      <c r="AV47" s="9">
        <f t="shared" si="33"/>
        <v>2.542191839350566E-2</v>
      </c>
      <c r="AX47" s="9">
        <f t="shared" si="36"/>
        <v>0</v>
      </c>
      <c r="AY47" s="9">
        <f t="shared" si="21"/>
        <v>0</v>
      </c>
      <c r="AZ47" s="8">
        <v>10</v>
      </c>
      <c r="BA47" s="9">
        <f t="shared" si="37"/>
        <v>1</v>
      </c>
      <c r="BB47" s="9">
        <f t="shared" si="35"/>
        <v>0.45454545454545453</v>
      </c>
      <c r="BD47" s="9">
        <f t="shared" si="9"/>
        <v>0</v>
      </c>
      <c r="BE47" s="9" t="str">
        <f t="shared" si="10"/>
        <v/>
      </c>
      <c r="BG47" s="9">
        <f t="shared" si="34"/>
        <v>0</v>
      </c>
      <c r="BH47" s="9" t="str">
        <f t="shared" si="22"/>
        <v/>
      </c>
      <c r="BK47" s="9">
        <f t="shared" si="11"/>
        <v>0</v>
      </c>
      <c r="BL47" s="8">
        <v>766</v>
      </c>
      <c r="BM47" s="9">
        <f t="shared" si="12"/>
        <v>0.16364024781029696</v>
      </c>
    </row>
    <row r="48" spans="1:65" x14ac:dyDescent="0.4">
      <c r="A48" s="8">
        <v>3</v>
      </c>
      <c r="B48" s="8">
        <v>47</v>
      </c>
      <c r="C48" s="8">
        <v>15</v>
      </c>
      <c r="D48" s="8">
        <v>4515</v>
      </c>
      <c r="F48" s="9">
        <f t="shared" si="1"/>
        <v>0</v>
      </c>
      <c r="H48" s="9">
        <f t="shared" si="2"/>
        <v>0</v>
      </c>
      <c r="I48" s="8">
        <v>7</v>
      </c>
      <c r="J48" s="9">
        <f t="shared" si="13"/>
        <v>0.46666666666666667</v>
      </c>
      <c r="K48" s="8">
        <v>3644</v>
      </c>
      <c r="L48" s="9">
        <f t="shared" si="14"/>
        <v>0.80708748615725356</v>
      </c>
      <c r="N48" s="9">
        <f t="shared" si="15"/>
        <v>0</v>
      </c>
      <c r="P48" s="9">
        <f t="shared" si="16"/>
        <v>0</v>
      </c>
      <c r="Q48" s="8">
        <v>2</v>
      </c>
      <c r="R48" s="9">
        <f t="shared" si="17"/>
        <v>0.13333333333333333</v>
      </c>
      <c r="S48" s="8">
        <v>80</v>
      </c>
      <c r="T48" s="9">
        <f t="shared" si="18"/>
        <v>1.7718715393133997E-2</v>
      </c>
      <c r="U48" s="8">
        <v>6</v>
      </c>
      <c r="V48" s="9">
        <f t="shared" si="19"/>
        <v>0.4</v>
      </c>
      <c r="W48" s="8">
        <v>791</v>
      </c>
      <c r="X48" s="9">
        <f t="shared" si="23"/>
        <v>0.17519379844961241</v>
      </c>
      <c r="Y48" s="8">
        <v>6</v>
      </c>
      <c r="Z48" s="9">
        <f t="shared" si="24"/>
        <v>0.4</v>
      </c>
      <c r="AA48" s="8">
        <v>1949</v>
      </c>
      <c r="AB48" s="9">
        <f t="shared" si="25"/>
        <v>0.43167220376522702</v>
      </c>
      <c r="AC48" s="8">
        <v>9</v>
      </c>
      <c r="AD48" s="9">
        <f t="shared" si="26"/>
        <v>0.6</v>
      </c>
      <c r="AE48" s="8">
        <v>2566</v>
      </c>
      <c r="AF48" s="9">
        <f t="shared" si="27"/>
        <v>0.56832779623477303</v>
      </c>
      <c r="AG48" s="8">
        <v>5</v>
      </c>
      <c r="AH48" s="9">
        <f t="shared" si="28"/>
        <v>0.33333333333333331</v>
      </c>
      <c r="AI48" s="8">
        <v>3606</v>
      </c>
      <c r="AJ48" s="9">
        <f t="shared" si="29"/>
        <v>0.79867109634551492</v>
      </c>
      <c r="AK48" s="17">
        <f t="shared" si="3"/>
        <v>721.2</v>
      </c>
      <c r="AL48" s="17">
        <f t="shared" si="4"/>
        <v>10</v>
      </c>
      <c r="AM48" s="17">
        <f t="shared" si="5"/>
        <v>909</v>
      </c>
      <c r="AN48" s="17">
        <f t="shared" si="6"/>
        <v>90.9</v>
      </c>
      <c r="AO48" s="8">
        <v>7</v>
      </c>
      <c r="AP48" s="9">
        <f t="shared" si="30"/>
        <v>0.46666666666666667</v>
      </c>
      <c r="AQ48" s="8">
        <v>611</v>
      </c>
      <c r="AR48" s="9">
        <f t="shared" si="31"/>
        <v>0.13532668881506091</v>
      </c>
      <c r="AS48" s="8">
        <v>3</v>
      </c>
      <c r="AT48" s="9">
        <f t="shared" si="32"/>
        <v>0.2</v>
      </c>
      <c r="AU48" s="8">
        <v>298</v>
      </c>
      <c r="AV48" s="9">
        <f t="shared" si="33"/>
        <v>6.6002214839424145E-2</v>
      </c>
      <c r="AW48" s="8">
        <v>3</v>
      </c>
      <c r="AX48" s="9">
        <f t="shared" si="36"/>
        <v>0.3</v>
      </c>
      <c r="AY48" s="9">
        <f t="shared" si="21"/>
        <v>0.2</v>
      </c>
      <c r="AZ48" s="8">
        <v>7</v>
      </c>
      <c r="BA48" s="9">
        <f t="shared" si="37"/>
        <v>0.7</v>
      </c>
      <c r="BB48" s="9">
        <f t="shared" si="35"/>
        <v>0.46666666666666667</v>
      </c>
      <c r="BC48" s="8">
        <v>3</v>
      </c>
      <c r="BD48" s="9">
        <f t="shared" si="9"/>
        <v>1</v>
      </c>
      <c r="BE48" s="9">
        <f t="shared" si="10"/>
        <v>1</v>
      </c>
      <c r="BG48" s="9">
        <f t="shared" si="34"/>
        <v>0</v>
      </c>
      <c r="BH48" s="9">
        <f t="shared" si="22"/>
        <v>0</v>
      </c>
      <c r="BJ48" s="8">
        <v>295</v>
      </c>
      <c r="BK48" s="9">
        <f t="shared" si="11"/>
        <v>6.533776301218161E-2</v>
      </c>
      <c r="BL48" s="8">
        <v>614</v>
      </c>
      <c r="BM48" s="9">
        <f t="shared" si="12"/>
        <v>0.13599114064230344</v>
      </c>
    </row>
    <row r="49" spans="1:65" x14ac:dyDescent="0.4">
      <c r="A49" s="8">
        <v>3</v>
      </c>
      <c r="B49" s="8">
        <v>51</v>
      </c>
      <c r="C49" s="8">
        <v>21</v>
      </c>
      <c r="D49" s="8">
        <v>6181</v>
      </c>
      <c r="F49" s="9">
        <f t="shared" si="1"/>
        <v>0</v>
      </c>
      <c r="H49" s="9">
        <f t="shared" si="2"/>
        <v>0</v>
      </c>
      <c r="I49" s="8">
        <v>7</v>
      </c>
      <c r="J49" s="9">
        <f t="shared" si="13"/>
        <v>0.33333333333333331</v>
      </c>
      <c r="K49" s="8">
        <v>5577</v>
      </c>
      <c r="L49" s="9">
        <f t="shared" si="14"/>
        <v>0.9022811842743893</v>
      </c>
      <c r="M49" s="8">
        <v>2</v>
      </c>
      <c r="N49" s="9">
        <f t="shared" si="15"/>
        <v>9.5238095238095233E-2</v>
      </c>
      <c r="O49" s="8">
        <v>66</v>
      </c>
      <c r="P49" s="9">
        <f t="shared" si="16"/>
        <v>1.0677883837566737E-2</v>
      </c>
      <c r="Q49" s="8">
        <v>2</v>
      </c>
      <c r="R49" s="9">
        <f t="shared" si="17"/>
        <v>9.5238095238095233E-2</v>
      </c>
      <c r="S49" s="8">
        <v>237</v>
      </c>
      <c r="T49" s="9">
        <f t="shared" si="18"/>
        <v>3.8343310143989645E-2</v>
      </c>
      <c r="U49" s="8">
        <v>10</v>
      </c>
      <c r="V49" s="9">
        <f t="shared" si="19"/>
        <v>0.47619047619047616</v>
      </c>
      <c r="W49" s="8">
        <v>301</v>
      </c>
      <c r="X49" s="9">
        <f t="shared" si="23"/>
        <v>4.8697621744054363E-2</v>
      </c>
      <c r="Y49" s="8">
        <v>4</v>
      </c>
      <c r="Z49" s="9">
        <f t="shared" si="24"/>
        <v>0.19047619047619047</v>
      </c>
      <c r="AA49" s="8">
        <v>2463</v>
      </c>
      <c r="AB49" s="9">
        <f t="shared" si="25"/>
        <v>0.39847921048374052</v>
      </c>
      <c r="AC49" s="8">
        <v>17</v>
      </c>
      <c r="AD49" s="9">
        <f t="shared" si="26"/>
        <v>0.80952380952380953</v>
      </c>
      <c r="AE49" s="8">
        <v>3718</v>
      </c>
      <c r="AF49" s="9">
        <f t="shared" si="27"/>
        <v>0.60152078951625954</v>
      </c>
      <c r="AG49" s="8">
        <v>6</v>
      </c>
      <c r="AH49" s="9">
        <f t="shared" si="28"/>
        <v>0.2857142857142857</v>
      </c>
      <c r="AI49" s="8">
        <v>5504</v>
      </c>
      <c r="AJ49" s="9">
        <f t="shared" si="29"/>
        <v>0.89047079760556547</v>
      </c>
      <c r="AK49" s="17">
        <f t="shared" si="3"/>
        <v>917.33333333333337</v>
      </c>
      <c r="AL49" s="17">
        <f t="shared" si="4"/>
        <v>15</v>
      </c>
      <c r="AM49" s="17">
        <f t="shared" si="5"/>
        <v>677</v>
      </c>
      <c r="AN49" s="17">
        <f t="shared" si="6"/>
        <v>45.133333333333333</v>
      </c>
      <c r="AO49" s="8">
        <v>9</v>
      </c>
      <c r="AP49" s="9">
        <f t="shared" si="30"/>
        <v>0.42857142857142855</v>
      </c>
      <c r="AQ49" s="8">
        <v>273</v>
      </c>
      <c r="AR49" s="9">
        <f t="shared" si="31"/>
        <v>4.4167610419026046E-2</v>
      </c>
      <c r="AS49" s="8">
        <v>6</v>
      </c>
      <c r="AT49" s="9">
        <f t="shared" si="32"/>
        <v>0.2857142857142857</v>
      </c>
      <c r="AU49" s="8">
        <v>404</v>
      </c>
      <c r="AV49" s="9">
        <f t="shared" si="33"/>
        <v>6.5361591975408515E-2</v>
      </c>
      <c r="AW49" s="8">
        <v>2</v>
      </c>
      <c r="AX49" s="9">
        <f t="shared" si="36"/>
        <v>0.13333333333333333</v>
      </c>
      <c r="AY49" s="9">
        <f t="shared" si="21"/>
        <v>9.5238095238095233E-2</v>
      </c>
      <c r="AZ49" s="8">
        <v>13</v>
      </c>
      <c r="BA49" s="9">
        <f t="shared" si="37"/>
        <v>0.8666666666666667</v>
      </c>
      <c r="BB49" s="9">
        <f t="shared" si="35"/>
        <v>0.61904761904761907</v>
      </c>
      <c r="BC49" s="8">
        <v>1</v>
      </c>
      <c r="BD49" s="9">
        <f t="shared" si="9"/>
        <v>0.5</v>
      </c>
      <c r="BE49" s="9">
        <f t="shared" si="10"/>
        <v>0.5</v>
      </c>
      <c r="BF49" s="8">
        <v>2</v>
      </c>
      <c r="BG49" s="9">
        <f t="shared" si="34"/>
        <v>1</v>
      </c>
      <c r="BH49" s="9">
        <f t="shared" si="22"/>
        <v>1</v>
      </c>
      <c r="BJ49" s="8">
        <v>228</v>
      </c>
      <c r="BK49" s="9">
        <f t="shared" si="11"/>
        <v>3.6887235075230548E-2</v>
      </c>
      <c r="BL49" s="8">
        <v>449</v>
      </c>
      <c r="BM49" s="9">
        <f t="shared" si="12"/>
        <v>7.2641967319204012E-2</v>
      </c>
    </row>
    <row r="50" spans="1:65" x14ac:dyDescent="0.4">
      <c r="A50" s="8">
        <v>3</v>
      </c>
      <c r="B50" s="8">
        <v>93</v>
      </c>
      <c r="C50" s="8">
        <v>3</v>
      </c>
      <c r="D50" s="8">
        <v>1308</v>
      </c>
      <c r="F50" s="9">
        <f t="shared" si="1"/>
        <v>0</v>
      </c>
      <c r="H50" s="9">
        <f t="shared" si="2"/>
        <v>0</v>
      </c>
      <c r="I50" s="8">
        <v>2</v>
      </c>
      <c r="J50" s="9">
        <f t="shared" si="13"/>
        <v>0.66666666666666663</v>
      </c>
      <c r="K50" s="8">
        <v>1284</v>
      </c>
      <c r="L50" s="9">
        <f t="shared" si="14"/>
        <v>0.98165137614678899</v>
      </c>
      <c r="M50" s="8">
        <v>1</v>
      </c>
      <c r="N50" s="9">
        <f t="shared" si="15"/>
        <v>0.33333333333333331</v>
      </c>
      <c r="O50" s="8">
        <v>24</v>
      </c>
      <c r="P50" s="9">
        <f t="shared" si="16"/>
        <v>1.834862385321101E-2</v>
      </c>
      <c r="R50" s="9">
        <f t="shared" si="17"/>
        <v>0</v>
      </c>
      <c r="T50" s="9">
        <f t="shared" si="18"/>
        <v>0</v>
      </c>
      <c r="V50" s="9">
        <f t="shared" si="19"/>
        <v>0</v>
      </c>
      <c r="X50" s="9">
        <f t="shared" si="23"/>
        <v>0</v>
      </c>
      <c r="Y50" s="8">
        <v>1</v>
      </c>
      <c r="Z50" s="9">
        <f t="shared" si="24"/>
        <v>0.33333333333333331</v>
      </c>
      <c r="AA50" s="8">
        <v>622</v>
      </c>
      <c r="AB50" s="9">
        <f t="shared" si="25"/>
        <v>0.47553516819571867</v>
      </c>
      <c r="AC50" s="8">
        <v>2</v>
      </c>
      <c r="AD50" s="9">
        <f t="shared" si="26"/>
        <v>0.66666666666666663</v>
      </c>
      <c r="AE50" s="8">
        <v>686</v>
      </c>
      <c r="AF50" s="9">
        <f t="shared" si="27"/>
        <v>0.52446483180428138</v>
      </c>
      <c r="AG50" s="8">
        <v>1</v>
      </c>
      <c r="AH50" s="9">
        <f t="shared" si="28"/>
        <v>0.33333333333333331</v>
      </c>
      <c r="AI50" s="8">
        <v>622</v>
      </c>
      <c r="AJ50" s="9">
        <f t="shared" si="29"/>
        <v>0.47553516819571867</v>
      </c>
      <c r="AK50" s="17">
        <f t="shared" si="3"/>
        <v>622</v>
      </c>
      <c r="AL50" s="17">
        <f t="shared" si="4"/>
        <v>2</v>
      </c>
      <c r="AM50" s="17">
        <f t="shared" si="5"/>
        <v>686</v>
      </c>
      <c r="AN50" s="17">
        <f t="shared" si="6"/>
        <v>343</v>
      </c>
      <c r="AO50" s="8">
        <v>2</v>
      </c>
      <c r="AP50" s="9">
        <f t="shared" si="30"/>
        <v>0.66666666666666663</v>
      </c>
      <c r="AQ50" s="8">
        <v>686</v>
      </c>
      <c r="AR50" s="9">
        <f t="shared" si="31"/>
        <v>0.52446483180428138</v>
      </c>
      <c r="AT50" s="9">
        <f t="shared" si="32"/>
        <v>0</v>
      </c>
      <c r="AV50" s="9">
        <f t="shared" si="33"/>
        <v>0</v>
      </c>
      <c r="AX50" s="9">
        <f t="shared" si="36"/>
        <v>0</v>
      </c>
      <c r="AY50" s="9">
        <f t="shared" si="21"/>
        <v>0</v>
      </c>
      <c r="AZ50" s="8">
        <v>2</v>
      </c>
      <c r="BA50" s="9">
        <f t="shared" si="37"/>
        <v>1</v>
      </c>
      <c r="BB50" s="9">
        <f t="shared" si="35"/>
        <v>0.66666666666666663</v>
      </c>
      <c r="BD50" s="9">
        <f t="shared" si="9"/>
        <v>0</v>
      </c>
      <c r="BE50" s="9" t="str">
        <f t="shared" si="10"/>
        <v/>
      </c>
      <c r="BG50" s="9">
        <f t="shared" si="34"/>
        <v>0</v>
      </c>
      <c r="BH50" s="9" t="str">
        <f t="shared" si="22"/>
        <v/>
      </c>
      <c r="BK50" s="9">
        <f t="shared" si="11"/>
        <v>0</v>
      </c>
      <c r="BL50" s="8">
        <v>686</v>
      </c>
      <c r="BM50" s="9">
        <f t="shared" si="12"/>
        <v>0.52446483180428138</v>
      </c>
    </row>
    <row r="51" spans="1:65" x14ac:dyDescent="0.4">
      <c r="A51" s="8">
        <v>3</v>
      </c>
      <c r="B51" s="8">
        <v>124</v>
      </c>
      <c r="C51" s="8">
        <v>16</v>
      </c>
      <c r="D51" s="8">
        <v>6327</v>
      </c>
      <c r="F51" s="9">
        <f t="shared" si="1"/>
        <v>0</v>
      </c>
      <c r="H51" s="9">
        <f t="shared" si="2"/>
        <v>0</v>
      </c>
      <c r="I51" s="8">
        <v>8</v>
      </c>
      <c r="J51" s="9">
        <f t="shared" si="13"/>
        <v>0.5</v>
      </c>
      <c r="K51" s="8">
        <v>4897</v>
      </c>
      <c r="L51" s="9">
        <f t="shared" si="14"/>
        <v>0.77398451082661612</v>
      </c>
      <c r="N51" s="9">
        <f t="shared" si="15"/>
        <v>0</v>
      </c>
      <c r="P51" s="9">
        <f t="shared" si="16"/>
        <v>0</v>
      </c>
      <c r="Q51" s="8">
        <v>6</v>
      </c>
      <c r="R51" s="9">
        <f t="shared" si="17"/>
        <v>0.375</v>
      </c>
      <c r="S51" s="8">
        <v>1425</v>
      </c>
      <c r="T51" s="9">
        <f t="shared" si="18"/>
        <v>0.22522522522522523</v>
      </c>
      <c r="U51" s="8">
        <v>2</v>
      </c>
      <c r="V51" s="9">
        <f t="shared" si="19"/>
        <v>0.125</v>
      </c>
      <c r="W51" s="8">
        <v>5</v>
      </c>
      <c r="X51" s="9">
        <f t="shared" si="23"/>
        <v>7.9026394815868495E-4</v>
      </c>
      <c r="Y51" s="8">
        <v>7</v>
      </c>
      <c r="Z51" s="9">
        <f t="shared" si="24"/>
        <v>0.4375</v>
      </c>
      <c r="AA51" s="8">
        <v>4906</v>
      </c>
      <c r="AB51" s="9">
        <f t="shared" si="25"/>
        <v>0.77540698593330171</v>
      </c>
      <c r="AC51" s="8">
        <v>9</v>
      </c>
      <c r="AD51" s="9">
        <f t="shared" si="26"/>
        <v>0.5625</v>
      </c>
      <c r="AE51" s="8">
        <v>1421</v>
      </c>
      <c r="AF51" s="9">
        <f t="shared" si="27"/>
        <v>0.22459301406669827</v>
      </c>
      <c r="AG51" s="8">
        <v>10</v>
      </c>
      <c r="AH51" s="9">
        <f t="shared" si="28"/>
        <v>0.625</v>
      </c>
      <c r="AI51" s="8">
        <v>5229</v>
      </c>
      <c r="AJ51" s="9">
        <f t="shared" si="29"/>
        <v>0.82645803698435283</v>
      </c>
      <c r="AK51" s="17">
        <f t="shared" si="3"/>
        <v>522.9</v>
      </c>
      <c r="AL51" s="17">
        <f t="shared" si="4"/>
        <v>6</v>
      </c>
      <c r="AM51" s="17">
        <f t="shared" si="5"/>
        <v>1098</v>
      </c>
      <c r="AN51" s="17">
        <f t="shared" si="6"/>
        <v>183</v>
      </c>
      <c r="AO51" s="8">
        <v>4</v>
      </c>
      <c r="AP51" s="9">
        <f t="shared" si="30"/>
        <v>0.25</v>
      </c>
      <c r="AQ51" s="8">
        <v>1083</v>
      </c>
      <c r="AR51" s="9">
        <f t="shared" si="31"/>
        <v>0.17117117117117117</v>
      </c>
      <c r="AS51" s="8">
        <v>2</v>
      </c>
      <c r="AT51" s="9">
        <f t="shared" si="32"/>
        <v>0.125</v>
      </c>
      <c r="AU51" s="8">
        <v>15</v>
      </c>
      <c r="AV51" s="9">
        <f t="shared" si="33"/>
        <v>2.3707918444760552E-3</v>
      </c>
      <c r="AX51" s="9">
        <f t="shared" si="36"/>
        <v>0</v>
      </c>
      <c r="AY51" s="9">
        <f t="shared" si="21"/>
        <v>0</v>
      </c>
      <c r="AZ51" s="8">
        <v>6</v>
      </c>
      <c r="BA51" s="9">
        <f t="shared" si="37"/>
        <v>1</v>
      </c>
      <c r="BB51" s="9">
        <f t="shared" si="35"/>
        <v>0.375</v>
      </c>
      <c r="BD51" s="9">
        <f t="shared" si="9"/>
        <v>0</v>
      </c>
      <c r="BE51" s="9" t="str">
        <f t="shared" si="10"/>
        <v/>
      </c>
      <c r="BG51" s="9">
        <f t="shared" si="34"/>
        <v>0</v>
      </c>
      <c r="BH51" s="9" t="str">
        <f t="shared" si="22"/>
        <v/>
      </c>
      <c r="BK51" s="9">
        <f t="shared" si="11"/>
        <v>0</v>
      </c>
      <c r="BL51" s="8">
        <v>1098</v>
      </c>
      <c r="BM51" s="9">
        <f t="shared" si="12"/>
        <v>0.17354196301564723</v>
      </c>
    </row>
    <row r="52" spans="1:65" x14ac:dyDescent="0.4">
      <c r="A52" s="8">
        <v>3</v>
      </c>
      <c r="B52" s="8">
        <v>132</v>
      </c>
      <c r="C52" s="8">
        <v>10</v>
      </c>
      <c r="D52" s="8">
        <v>4677</v>
      </c>
      <c r="F52" s="9">
        <f t="shared" si="1"/>
        <v>0</v>
      </c>
      <c r="H52" s="9">
        <f t="shared" si="2"/>
        <v>0</v>
      </c>
      <c r="I52" s="8">
        <v>4</v>
      </c>
      <c r="J52" s="9">
        <f t="shared" si="13"/>
        <v>0.4</v>
      </c>
      <c r="K52" s="8">
        <v>4405</v>
      </c>
      <c r="L52" s="9">
        <f t="shared" si="14"/>
        <v>0.94184306179174682</v>
      </c>
      <c r="N52" s="9">
        <f t="shared" si="15"/>
        <v>0</v>
      </c>
      <c r="P52" s="9">
        <f t="shared" si="16"/>
        <v>0</v>
      </c>
      <c r="Q52" s="8">
        <v>2</v>
      </c>
      <c r="R52" s="9">
        <f t="shared" si="17"/>
        <v>0.2</v>
      </c>
      <c r="S52" s="8">
        <v>236</v>
      </c>
      <c r="T52" s="9">
        <f t="shared" si="18"/>
        <v>5.0459696386572592E-2</v>
      </c>
      <c r="U52" s="8">
        <v>4</v>
      </c>
      <c r="V52" s="9">
        <f t="shared" si="19"/>
        <v>0.4</v>
      </c>
      <c r="W52" s="8">
        <v>36</v>
      </c>
      <c r="X52" s="9">
        <f t="shared" si="23"/>
        <v>7.6972418216805644E-3</v>
      </c>
      <c r="Y52" s="8">
        <v>4</v>
      </c>
      <c r="Z52" s="9">
        <f t="shared" si="24"/>
        <v>0.4</v>
      </c>
      <c r="AA52" s="8">
        <v>4405</v>
      </c>
      <c r="AB52" s="9">
        <f t="shared" si="25"/>
        <v>0.94184306179174682</v>
      </c>
      <c r="AC52" s="8">
        <v>6</v>
      </c>
      <c r="AD52" s="9">
        <f t="shared" si="26"/>
        <v>0.6</v>
      </c>
      <c r="AE52" s="8">
        <v>272</v>
      </c>
      <c r="AF52" s="9">
        <f t="shared" si="27"/>
        <v>5.8156938208253156E-2</v>
      </c>
      <c r="AG52" s="8">
        <v>4</v>
      </c>
      <c r="AH52" s="9">
        <f t="shared" si="28"/>
        <v>0.4</v>
      </c>
      <c r="AI52" s="8">
        <v>4288</v>
      </c>
      <c r="AJ52" s="9">
        <f t="shared" si="29"/>
        <v>0.91682702587128506</v>
      </c>
      <c r="AK52" s="17">
        <f t="shared" si="3"/>
        <v>1072</v>
      </c>
      <c r="AL52" s="17">
        <f t="shared" si="4"/>
        <v>6</v>
      </c>
      <c r="AM52" s="17">
        <f t="shared" si="5"/>
        <v>389</v>
      </c>
      <c r="AN52" s="17">
        <f t="shared" si="6"/>
        <v>64.833333333333329</v>
      </c>
      <c r="AO52" s="8">
        <v>6</v>
      </c>
      <c r="AP52" s="9">
        <f t="shared" si="30"/>
        <v>0.6</v>
      </c>
      <c r="AQ52" s="8">
        <v>389</v>
      </c>
      <c r="AR52" s="9">
        <f t="shared" si="31"/>
        <v>8.3172974128714994E-2</v>
      </c>
      <c r="AT52" s="9">
        <f t="shared" si="32"/>
        <v>0</v>
      </c>
      <c r="AV52" s="9">
        <f t="shared" si="33"/>
        <v>0</v>
      </c>
      <c r="AW52" s="8">
        <v>1</v>
      </c>
      <c r="AX52" s="9">
        <f t="shared" si="36"/>
        <v>0.16666666666666666</v>
      </c>
      <c r="AY52" s="9">
        <f t="shared" si="21"/>
        <v>0.1</v>
      </c>
      <c r="AZ52" s="8">
        <v>5</v>
      </c>
      <c r="BA52" s="9">
        <f t="shared" si="37"/>
        <v>0.83333333333333337</v>
      </c>
      <c r="BB52" s="9">
        <f t="shared" si="35"/>
        <v>0.5</v>
      </c>
      <c r="BC52" s="8">
        <v>1</v>
      </c>
      <c r="BD52" s="9">
        <f t="shared" si="9"/>
        <v>1</v>
      </c>
      <c r="BE52" s="9">
        <f t="shared" si="10"/>
        <v>1</v>
      </c>
      <c r="BG52" s="9">
        <f t="shared" si="34"/>
        <v>0</v>
      </c>
      <c r="BH52" s="9">
        <f t="shared" si="22"/>
        <v>0</v>
      </c>
      <c r="BJ52" s="8">
        <v>244</v>
      </c>
      <c r="BK52" s="9">
        <f t="shared" si="11"/>
        <v>5.2170194569168271E-2</v>
      </c>
      <c r="BL52" s="8">
        <v>145</v>
      </c>
      <c r="BM52" s="9">
        <f t="shared" si="12"/>
        <v>3.1002779559546719E-2</v>
      </c>
    </row>
    <row r="53" spans="1:65" x14ac:dyDescent="0.4">
      <c r="A53" s="8">
        <v>3</v>
      </c>
      <c r="B53" s="8">
        <v>154</v>
      </c>
      <c r="C53" s="8">
        <v>9</v>
      </c>
      <c r="D53" s="8">
        <v>1865</v>
      </c>
      <c r="F53" s="9">
        <f t="shared" si="1"/>
        <v>0</v>
      </c>
      <c r="H53" s="9">
        <f t="shared" si="2"/>
        <v>0</v>
      </c>
      <c r="I53" s="8">
        <v>5</v>
      </c>
      <c r="J53" s="9">
        <f t="shared" si="13"/>
        <v>0.55555555555555558</v>
      </c>
      <c r="K53" s="8">
        <v>1379</v>
      </c>
      <c r="L53" s="9">
        <f t="shared" si="14"/>
        <v>0.73941018766756028</v>
      </c>
      <c r="N53" s="9">
        <f t="shared" si="15"/>
        <v>0</v>
      </c>
      <c r="P53" s="9">
        <f t="shared" si="16"/>
        <v>0</v>
      </c>
      <c r="Q53" s="8">
        <v>3</v>
      </c>
      <c r="R53" s="9">
        <f t="shared" si="17"/>
        <v>0.33333333333333331</v>
      </c>
      <c r="S53" s="8">
        <v>483</v>
      </c>
      <c r="T53" s="9">
        <f t="shared" si="18"/>
        <v>0.25898123324396782</v>
      </c>
      <c r="U53" s="8">
        <v>1</v>
      </c>
      <c r="V53" s="9">
        <f t="shared" si="19"/>
        <v>0.1111111111111111</v>
      </c>
      <c r="W53" s="8">
        <v>3</v>
      </c>
      <c r="X53" s="9">
        <f t="shared" si="23"/>
        <v>1.6085790884718498E-3</v>
      </c>
      <c r="Y53" s="8">
        <v>5</v>
      </c>
      <c r="Z53" s="9">
        <f t="shared" si="24"/>
        <v>0.55555555555555558</v>
      </c>
      <c r="AA53" s="8">
        <v>1073</v>
      </c>
      <c r="AB53" s="9">
        <f t="shared" si="25"/>
        <v>0.57533512064343162</v>
      </c>
      <c r="AC53" s="8">
        <v>4</v>
      </c>
      <c r="AD53" s="9">
        <f t="shared" si="26"/>
        <v>0.44444444444444442</v>
      </c>
      <c r="AE53" s="8">
        <v>792</v>
      </c>
      <c r="AF53" s="9">
        <f t="shared" si="27"/>
        <v>0.42466487935656838</v>
      </c>
      <c r="AG53" s="8">
        <v>8</v>
      </c>
      <c r="AH53" s="9">
        <f t="shared" si="28"/>
        <v>0.88888888888888884</v>
      </c>
      <c r="AI53" s="8">
        <v>1802</v>
      </c>
      <c r="AJ53" s="9">
        <f t="shared" si="29"/>
        <v>0.9662198391420912</v>
      </c>
      <c r="AK53" s="17">
        <f t="shared" si="3"/>
        <v>225.25</v>
      </c>
      <c r="AL53" s="17">
        <f t="shared" si="4"/>
        <v>1</v>
      </c>
      <c r="AM53" s="17">
        <f t="shared" si="5"/>
        <v>63</v>
      </c>
      <c r="AN53" s="17">
        <f t="shared" si="6"/>
        <v>63</v>
      </c>
      <c r="AO53" s="8">
        <v>1</v>
      </c>
      <c r="AP53" s="9">
        <f t="shared" si="30"/>
        <v>0.1111111111111111</v>
      </c>
      <c r="AQ53" s="8">
        <v>63</v>
      </c>
      <c r="AR53" s="9">
        <f t="shared" si="31"/>
        <v>3.3780160857908845E-2</v>
      </c>
      <c r="AT53" s="9">
        <f t="shared" si="32"/>
        <v>0</v>
      </c>
      <c r="AV53" s="9">
        <f t="shared" si="33"/>
        <v>0</v>
      </c>
      <c r="AW53" s="8">
        <v>1</v>
      </c>
      <c r="AX53" s="9">
        <f t="shared" si="36"/>
        <v>1</v>
      </c>
      <c r="AY53" s="9">
        <f t="shared" si="21"/>
        <v>0.1111111111111111</v>
      </c>
      <c r="BA53" s="9">
        <f t="shared" si="37"/>
        <v>0</v>
      </c>
      <c r="BB53" s="9">
        <f t="shared" si="35"/>
        <v>0</v>
      </c>
      <c r="BC53" s="8">
        <v>1</v>
      </c>
      <c r="BD53" s="9">
        <f t="shared" si="9"/>
        <v>1</v>
      </c>
      <c r="BE53" s="9">
        <f t="shared" si="10"/>
        <v>1</v>
      </c>
      <c r="BF53" s="8">
        <v>1</v>
      </c>
      <c r="BG53" s="9">
        <f t="shared" si="34"/>
        <v>1</v>
      </c>
      <c r="BH53" s="9">
        <f t="shared" si="22"/>
        <v>1</v>
      </c>
      <c r="BJ53" s="8">
        <v>63</v>
      </c>
      <c r="BK53" s="9">
        <f t="shared" si="11"/>
        <v>3.3780160857908845E-2</v>
      </c>
      <c r="BM53" s="9">
        <f t="shared" si="12"/>
        <v>0</v>
      </c>
    </row>
    <row r="54" spans="1:65" x14ac:dyDescent="0.4">
      <c r="A54" s="8">
        <v>3</v>
      </c>
      <c r="B54" s="8">
        <v>186</v>
      </c>
      <c r="C54" s="8">
        <v>8</v>
      </c>
      <c r="D54" s="8">
        <v>704</v>
      </c>
      <c r="F54" s="9">
        <f t="shared" si="1"/>
        <v>0</v>
      </c>
      <c r="H54" s="9">
        <f t="shared" si="2"/>
        <v>0</v>
      </c>
      <c r="I54" s="8">
        <v>5</v>
      </c>
      <c r="J54" s="9">
        <f t="shared" si="13"/>
        <v>0.625</v>
      </c>
      <c r="K54" s="8">
        <v>671</v>
      </c>
      <c r="L54" s="9">
        <f t="shared" si="14"/>
        <v>0.953125</v>
      </c>
      <c r="N54" s="9">
        <f t="shared" si="15"/>
        <v>0</v>
      </c>
      <c r="P54" s="9">
        <f t="shared" si="16"/>
        <v>0</v>
      </c>
      <c r="R54" s="9">
        <f t="shared" si="17"/>
        <v>0</v>
      </c>
      <c r="T54" s="9">
        <f t="shared" si="18"/>
        <v>0</v>
      </c>
      <c r="U54" s="8">
        <v>3</v>
      </c>
      <c r="V54" s="9">
        <f t="shared" si="19"/>
        <v>0.375</v>
      </c>
      <c r="W54" s="8">
        <v>33</v>
      </c>
      <c r="X54" s="9">
        <f t="shared" si="23"/>
        <v>4.6875E-2</v>
      </c>
      <c r="Y54" s="8">
        <v>2</v>
      </c>
      <c r="Z54" s="9">
        <f t="shared" si="24"/>
        <v>0.25</v>
      </c>
      <c r="AA54" s="8">
        <v>160</v>
      </c>
      <c r="AB54" s="9">
        <f t="shared" si="25"/>
        <v>0.22727272727272727</v>
      </c>
      <c r="AC54" s="8">
        <v>6</v>
      </c>
      <c r="AD54" s="9">
        <f t="shared" si="26"/>
        <v>0.75</v>
      </c>
      <c r="AE54" s="8">
        <v>544</v>
      </c>
      <c r="AF54" s="9">
        <f t="shared" si="27"/>
        <v>0.77272727272727271</v>
      </c>
      <c r="AG54" s="8">
        <v>5</v>
      </c>
      <c r="AH54" s="9">
        <f t="shared" si="28"/>
        <v>0.625</v>
      </c>
      <c r="AI54" s="8">
        <v>671</v>
      </c>
      <c r="AJ54" s="9">
        <f t="shared" si="29"/>
        <v>0.953125</v>
      </c>
      <c r="AK54" s="17">
        <f t="shared" si="3"/>
        <v>134.19999999999999</v>
      </c>
      <c r="AL54" s="17">
        <f t="shared" si="4"/>
        <v>3</v>
      </c>
      <c r="AM54" s="17">
        <f t="shared" si="5"/>
        <v>33</v>
      </c>
      <c r="AN54" s="17">
        <f t="shared" si="6"/>
        <v>11</v>
      </c>
      <c r="AO54" s="8">
        <v>3</v>
      </c>
      <c r="AP54" s="9">
        <f t="shared" si="30"/>
        <v>0.375</v>
      </c>
      <c r="AQ54" s="8">
        <v>33</v>
      </c>
      <c r="AR54" s="9">
        <f t="shared" si="31"/>
        <v>4.6875E-2</v>
      </c>
      <c r="AT54" s="9">
        <f t="shared" si="32"/>
        <v>0</v>
      </c>
      <c r="AV54" s="9">
        <f t="shared" si="33"/>
        <v>0</v>
      </c>
      <c r="AX54" s="9">
        <f t="shared" si="36"/>
        <v>0</v>
      </c>
      <c r="AY54" s="9">
        <f t="shared" si="21"/>
        <v>0</v>
      </c>
      <c r="AZ54" s="8">
        <v>3</v>
      </c>
      <c r="BA54" s="9">
        <f t="shared" si="37"/>
        <v>1</v>
      </c>
      <c r="BB54" s="9">
        <f t="shared" si="35"/>
        <v>0.375</v>
      </c>
      <c r="BD54" s="9">
        <f t="shared" si="9"/>
        <v>0</v>
      </c>
      <c r="BE54" s="9" t="str">
        <f t="shared" si="10"/>
        <v/>
      </c>
      <c r="BG54" s="9">
        <f t="shared" si="34"/>
        <v>0</v>
      </c>
      <c r="BH54" s="9" t="str">
        <f t="shared" si="22"/>
        <v/>
      </c>
      <c r="BK54" s="9">
        <f t="shared" si="11"/>
        <v>0</v>
      </c>
      <c r="BL54" s="8">
        <v>33</v>
      </c>
      <c r="BM54" s="9">
        <f t="shared" si="12"/>
        <v>4.6875E-2</v>
      </c>
    </row>
    <row r="55" spans="1:65" x14ac:dyDescent="0.4">
      <c r="A55" s="8">
        <v>3</v>
      </c>
      <c r="B55" s="8">
        <v>188</v>
      </c>
      <c r="C55" s="8">
        <v>18</v>
      </c>
      <c r="D55" s="8">
        <v>3553</v>
      </c>
      <c r="E55" s="8">
        <v>2</v>
      </c>
      <c r="F55" s="9">
        <f t="shared" si="1"/>
        <v>0.1111111111111111</v>
      </c>
      <c r="G55" s="8">
        <v>274</v>
      </c>
      <c r="H55" s="9">
        <f t="shared" si="2"/>
        <v>7.7117928511117359E-2</v>
      </c>
      <c r="I55" s="8">
        <v>3</v>
      </c>
      <c r="J55" s="9">
        <f t="shared" si="13"/>
        <v>0.16666666666666666</v>
      </c>
      <c r="K55" s="8">
        <v>1084</v>
      </c>
      <c r="L55" s="9">
        <f t="shared" si="14"/>
        <v>0.30509428651843512</v>
      </c>
      <c r="M55" s="8">
        <v>1</v>
      </c>
      <c r="N55" s="9">
        <f t="shared" si="15"/>
        <v>5.5555555555555552E-2</v>
      </c>
      <c r="O55" s="8">
        <v>995</v>
      </c>
      <c r="P55" s="9">
        <f t="shared" si="16"/>
        <v>0.28004503236701378</v>
      </c>
      <c r="Q55" s="8">
        <v>8</v>
      </c>
      <c r="R55" s="9">
        <f t="shared" si="17"/>
        <v>0.44444444444444442</v>
      </c>
      <c r="S55" s="8">
        <v>1174</v>
      </c>
      <c r="T55" s="9">
        <f t="shared" si="18"/>
        <v>0.33042499296369265</v>
      </c>
      <c r="U55" s="8">
        <v>4</v>
      </c>
      <c r="V55" s="9">
        <f t="shared" si="19"/>
        <v>0.22222222222222221</v>
      </c>
      <c r="W55" s="8">
        <v>26</v>
      </c>
      <c r="X55" s="9">
        <f t="shared" si="23"/>
        <v>7.317759639741064E-3</v>
      </c>
      <c r="Y55" s="8">
        <v>7</v>
      </c>
      <c r="Z55" s="9">
        <f t="shared" si="24"/>
        <v>0.3888888888888889</v>
      </c>
      <c r="AA55" s="8">
        <v>1546</v>
      </c>
      <c r="AB55" s="9">
        <f t="shared" si="25"/>
        <v>0.4351252462707571</v>
      </c>
      <c r="AC55" s="8">
        <v>11</v>
      </c>
      <c r="AD55" s="9">
        <f t="shared" si="26"/>
        <v>0.61111111111111116</v>
      </c>
      <c r="AE55" s="8">
        <v>2007</v>
      </c>
      <c r="AF55" s="9">
        <f t="shared" si="27"/>
        <v>0.5648747537292429</v>
      </c>
      <c r="AG55" s="8">
        <v>7</v>
      </c>
      <c r="AH55" s="9">
        <f t="shared" si="28"/>
        <v>0.3888888888888889</v>
      </c>
      <c r="AI55" s="8">
        <v>2411</v>
      </c>
      <c r="AJ55" s="9">
        <f t="shared" si="29"/>
        <v>0.67858148043906563</v>
      </c>
      <c r="AK55" s="17">
        <f t="shared" si="3"/>
        <v>344.42857142857144</v>
      </c>
      <c r="AL55" s="17">
        <f t="shared" si="4"/>
        <v>11</v>
      </c>
      <c r="AM55" s="17">
        <f t="shared" si="5"/>
        <v>1142</v>
      </c>
      <c r="AN55" s="17">
        <f t="shared" si="6"/>
        <v>103.81818181818181</v>
      </c>
      <c r="AO55" s="8">
        <v>10</v>
      </c>
      <c r="AP55" s="9">
        <f t="shared" si="30"/>
        <v>0.55555555555555558</v>
      </c>
      <c r="AQ55" s="8">
        <v>1052</v>
      </c>
      <c r="AR55" s="9">
        <f t="shared" si="31"/>
        <v>0.29608781311567689</v>
      </c>
      <c r="AS55" s="8">
        <v>1</v>
      </c>
      <c r="AT55" s="9">
        <f t="shared" si="32"/>
        <v>5.5555555555555552E-2</v>
      </c>
      <c r="AU55" s="8">
        <v>90</v>
      </c>
      <c r="AV55" s="9">
        <f t="shared" si="33"/>
        <v>2.533070644525753E-2</v>
      </c>
      <c r="AW55" s="8">
        <v>4</v>
      </c>
      <c r="AX55" s="9">
        <f t="shared" si="36"/>
        <v>0.36363636363636365</v>
      </c>
      <c r="AY55" s="9">
        <f t="shared" si="21"/>
        <v>0.22222222222222221</v>
      </c>
      <c r="AZ55" s="8">
        <v>7</v>
      </c>
      <c r="BA55" s="9">
        <f t="shared" si="37"/>
        <v>0.63636363636363635</v>
      </c>
      <c r="BB55" s="9">
        <f t="shared" si="35"/>
        <v>0.3888888888888889</v>
      </c>
      <c r="BC55" s="8">
        <v>3</v>
      </c>
      <c r="BD55" s="9">
        <f t="shared" si="9"/>
        <v>0.75</v>
      </c>
      <c r="BE55" s="9">
        <f t="shared" si="10"/>
        <v>0.75</v>
      </c>
      <c r="BF55" s="8">
        <v>2</v>
      </c>
      <c r="BG55" s="9">
        <f t="shared" si="34"/>
        <v>0.5</v>
      </c>
      <c r="BH55" s="9">
        <f t="shared" si="22"/>
        <v>0.5</v>
      </c>
      <c r="BJ55" s="8">
        <v>695</v>
      </c>
      <c r="BK55" s="9">
        <f t="shared" si="11"/>
        <v>0.19560934421615536</v>
      </c>
      <c r="BL55" s="8">
        <v>447</v>
      </c>
      <c r="BM55" s="9">
        <f t="shared" si="12"/>
        <v>0.12580917534477906</v>
      </c>
    </row>
    <row r="56" spans="1:65" x14ac:dyDescent="0.4">
      <c r="A56" s="8">
        <v>3</v>
      </c>
      <c r="B56" s="8">
        <v>195</v>
      </c>
      <c r="C56" s="8">
        <v>24</v>
      </c>
      <c r="D56" s="8">
        <v>4771</v>
      </c>
      <c r="F56" s="9">
        <f t="shared" si="1"/>
        <v>0</v>
      </c>
      <c r="H56" s="9">
        <f t="shared" si="2"/>
        <v>0</v>
      </c>
      <c r="I56" s="8">
        <v>12</v>
      </c>
      <c r="J56" s="9">
        <f t="shared" si="13"/>
        <v>0.5</v>
      </c>
      <c r="K56" s="8">
        <v>4123</v>
      </c>
      <c r="L56" s="9">
        <f t="shared" si="14"/>
        <v>0.86417941731293235</v>
      </c>
      <c r="N56" s="9">
        <f t="shared" si="15"/>
        <v>0</v>
      </c>
      <c r="P56" s="9">
        <f t="shared" si="16"/>
        <v>0</v>
      </c>
      <c r="Q56" s="8">
        <v>5</v>
      </c>
      <c r="R56" s="9">
        <f t="shared" si="17"/>
        <v>0.20833333333333334</v>
      </c>
      <c r="S56" s="8">
        <v>571</v>
      </c>
      <c r="T56" s="9">
        <f t="shared" si="18"/>
        <v>0.11968140850974639</v>
      </c>
      <c r="U56" s="8">
        <v>7</v>
      </c>
      <c r="V56" s="9">
        <f t="shared" si="19"/>
        <v>0.29166666666666669</v>
      </c>
      <c r="W56" s="8">
        <v>77</v>
      </c>
      <c r="X56" s="9">
        <f t="shared" si="23"/>
        <v>1.6139174177321317E-2</v>
      </c>
      <c r="Y56" s="8">
        <v>10</v>
      </c>
      <c r="Z56" s="9">
        <f t="shared" si="24"/>
        <v>0.41666666666666669</v>
      </c>
      <c r="AA56" s="8">
        <v>1958</v>
      </c>
      <c r="AB56" s="9">
        <f t="shared" si="25"/>
        <v>0.41039614336617064</v>
      </c>
      <c r="AC56" s="8">
        <v>14</v>
      </c>
      <c r="AD56" s="9">
        <f t="shared" si="26"/>
        <v>0.58333333333333337</v>
      </c>
      <c r="AE56" s="8">
        <v>2813</v>
      </c>
      <c r="AF56" s="9">
        <f t="shared" si="27"/>
        <v>0.58960385663382942</v>
      </c>
      <c r="AG56" s="8">
        <v>13</v>
      </c>
      <c r="AH56" s="9">
        <f t="shared" si="28"/>
        <v>0.54166666666666663</v>
      </c>
      <c r="AI56" s="8">
        <v>3634</v>
      </c>
      <c r="AJ56" s="9">
        <f t="shared" si="29"/>
        <v>0.76168518130370988</v>
      </c>
      <c r="AK56" s="17">
        <f t="shared" si="3"/>
        <v>279.53846153846155</v>
      </c>
      <c r="AL56" s="17">
        <f t="shared" si="4"/>
        <v>11</v>
      </c>
      <c r="AM56" s="17">
        <f t="shared" si="5"/>
        <v>1137</v>
      </c>
      <c r="AN56" s="17">
        <f t="shared" si="6"/>
        <v>103.36363636363636</v>
      </c>
      <c r="AO56" s="8">
        <v>7</v>
      </c>
      <c r="AP56" s="9">
        <f t="shared" si="30"/>
        <v>0.29166666666666669</v>
      </c>
      <c r="AQ56" s="8">
        <v>680</v>
      </c>
      <c r="AR56" s="9">
        <f t="shared" si="31"/>
        <v>0.14252777195556487</v>
      </c>
      <c r="AS56" s="8">
        <v>4</v>
      </c>
      <c r="AT56" s="9">
        <f t="shared" si="32"/>
        <v>0.16666666666666666</v>
      </c>
      <c r="AU56" s="8">
        <v>457</v>
      </c>
      <c r="AV56" s="9">
        <f t="shared" si="33"/>
        <v>9.5787046740725218E-2</v>
      </c>
      <c r="AW56" s="8">
        <v>3</v>
      </c>
      <c r="AX56" s="9">
        <f t="shared" si="36"/>
        <v>0.27272727272727271</v>
      </c>
      <c r="AY56" s="9">
        <f t="shared" si="21"/>
        <v>0.125</v>
      </c>
      <c r="AZ56" s="8">
        <v>8</v>
      </c>
      <c r="BA56" s="9">
        <f t="shared" si="37"/>
        <v>0.72727272727272729</v>
      </c>
      <c r="BB56" s="9">
        <f t="shared" si="35"/>
        <v>0.33333333333333331</v>
      </c>
      <c r="BD56" s="9">
        <f t="shared" si="9"/>
        <v>0</v>
      </c>
      <c r="BE56" s="9">
        <f t="shared" si="10"/>
        <v>0</v>
      </c>
      <c r="BF56" s="8">
        <v>3</v>
      </c>
      <c r="BG56" s="9">
        <f t="shared" si="34"/>
        <v>1</v>
      </c>
      <c r="BH56" s="9">
        <f t="shared" si="22"/>
        <v>1</v>
      </c>
      <c r="BJ56" s="8">
        <v>401</v>
      </c>
      <c r="BK56" s="9">
        <f t="shared" si="11"/>
        <v>8.4049465520855168E-2</v>
      </c>
      <c r="BL56" s="8">
        <v>736</v>
      </c>
      <c r="BM56" s="9">
        <f t="shared" si="12"/>
        <v>0.15426535317543491</v>
      </c>
    </row>
    <row r="57" spans="1:65" x14ac:dyDescent="0.4">
      <c r="A57" s="8">
        <v>3</v>
      </c>
      <c r="B57" s="8">
        <v>199</v>
      </c>
      <c r="C57" s="8">
        <v>12</v>
      </c>
      <c r="D57" s="8">
        <v>4357</v>
      </c>
      <c r="F57" s="9">
        <f t="shared" si="1"/>
        <v>0</v>
      </c>
      <c r="H57" s="9">
        <f t="shared" si="2"/>
        <v>0</v>
      </c>
      <c r="I57" s="8">
        <v>5</v>
      </c>
      <c r="J57" s="9">
        <f t="shared" si="13"/>
        <v>0.41666666666666669</v>
      </c>
      <c r="K57" s="8">
        <v>4167</v>
      </c>
      <c r="L57" s="9">
        <f t="shared" si="14"/>
        <v>0.95639201285288045</v>
      </c>
      <c r="N57" s="9">
        <f t="shared" si="15"/>
        <v>0</v>
      </c>
      <c r="P57" s="9">
        <f t="shared" si="16"/>
        <v>0</v>
      </c>
      <c r="Q57" s="8">
        <v>2</v>
      </c>
      <c r="R57" s="9">
        <f t="shared" si="17"/>
        <v>0.16666666666666666</v>
      </c>
      <c r="S57" s="8">
        <v>157</v>
      </c>
      <c r="T57" s="9">
        <f t="shared" si="18"/>
        <v>3.6033968326830389E-2</v>
      </c>
      <c r="U57" s="8">
        <v>5</v>
      </c>
      <c r="V57" s="9">
        <f t="shared" si="19"/>
        <v>0.41666666666666669</v>
      </c>
      <c r="W57" s="8">
        <v>33</v>
      </c>
      <c r="X57" s="9">
        <f t="shared" si="23"/>
        <v>7.5740188202891899E-3</v>
      </c>
      <c r="Y57" s="8">
        <v>5</v>
      </c>
      <c r="Z57" s="9">
        <f t="shared" si="24"/>
        <v>0.41666666666666669</v>
      </c>
      <c r="AA57" s="8">
        <v>4167</v>
      </c>
      <c r="AB57" s="9">
        <f t="shared" si="25"/>
        <v>0.95639201285288045</v>
      </c>
      <c r="AC57" s="8">
        <v>7</v>
      </c>
      <c r="AD57" s="9">
        <f t="shared" si="26"/>
        <v>0.58333333333333337</v>
      </c>
      <c r="AE57" s="8">
        <v>190</v>
      </c>
      <c r="AF57" s="9">
        <f t="shared" si="27"/>
        <v>4.3607987147119574E-2</v>
      </c>
      <c r="AG57" s="8">
        <v>5</v>
      </c>
      <c r="AH57" s="9">
        <f t="shared" si="28"/>
        <v>0.41666666666666669</v>
      </c>
      <c r="AI57" s="8">
        <v>4167</v>
      </c>
      <c r="AJ57" s="9">
        <f t="shared" si="29"/>
        <v>0.95639201285288045</v>
      </c>
      <c r="AK57" s="17">
        <f t="shared" si="3"/>
        <v>833.4</v>
      </c>
      <c r="AL57" s="17">
        <f t="shared" si="4"/>
        <v>7</v>
      </c>
      <c r="AM57" s="17">
        <f t="shared" si="5"/>
        <v>190</v>
      </c>
      <c r="AN57" s="17">
        <f t="shared" si="6"/>
        <v>27.142857142857142</v>
      </c>
      <c r="AO57" s="8">
        <v>7</v>
      </c>
      <c r="AP57" s="9">
        <f t="shared" si="30"/>
        <v>0.58333333333333337</v>
      </c>
      <c r="AQ57" s="8">
        <v>190</v>
      </c>
      <c r="AR57" s="9">
        <f t="shared" si="31"/>
        <v>4.3607987147119574E-2</v>
      </c>
      <c r="AT57" s="9">
        <f t="shared" si="32"/>
        <v>0</v>
      </c>
      <c r="AV57" s="9">
        <f t="shared" si="33"/>
        <v>0</v>
      </c>
      <c r="AX57" s="9">
        <f t="shared" si="36"/>
        <v>0</v>
      </c>
      <c r="AY57" s="9">
        <f t="shared" si="21"/>
        <v>0</v>
      </c>
      <c r="AZ57" s="8">
        <v>7</v>
      </c>
      <c r="BA57" s="9">
        <f t="shared" si="37"/>
        <v>1</v>
      </c>
      <c r="BB57" s="9">
        <f t="shared" si="35"/>
        <v>0.58333333333333337</v>
      </c>
      <c r="BD57" s="9">
        <f t="shared" si="9"/>
        <v>0</v>
      </c>
      <c r="BE57" s="9" t="str">
        <f t="shared" si="10"/>
        <v/>
      </c>
      <c r="BG57" s="9">
        <f t="shared" si="34"/>
        <v>0</v>
      </c>
      <c r="BH57" s="9" t="str">
        <f t="shared" si="22"/>
        <v/>
      </c>
      <c r="BK57" s="9">
        <f t="shared" si="11"/>
        <v>0</v>
      </c>
      <c r="BL57" s="8">
        <v>190</v>
      </c>
      <c r="BM57" s="9">
        <f t="shared" si="12"/>
        <v>4.3607987147119574E-2</v>
      </c>
    </row>
    <row r="58" spans="1:65" x14ac:dyDescent="0.4">
      <c r="A58" s="8">
        <v>3</v>
      </c>
      <c r="B58" s="8">
        <v>201</v>
      </c>
      <c r="C58" s="8">
        <v>22</v>
      </c>
      <c r="D58" s="8">
        <v>5098</v>
      </c>
      <c r="E58" s="8">
        <v>1</v>
      </c>
      <c r="F58" s="9">
        <f t="shared" si="1"/>
        <v>4.5454545454545456E-2</v>
      </c>
      <c r="G58" s="8">
        <v>304</v>
      </c>
      <c r="H58" s="9">
        <f t="shared" si="2"/>
        <v>5.9631227932522561E-2</v>
      </c>
      <c r="I58" s="8">
        <v>10</v>
      </c>
      <c r="J58" s="9">
        <f t="shared" si="13"/>
        <v>0.45454545454545453</v>
      </c>
      <c r="K58" s="8">
        <v>4446</v>
      </c>
      <c r="L58" s="9">
        <f t="shared" si="14"/>
        <v>0.87210670851314243</v>
      </c>
      <c r="N58" s="9">
        <f t="shared" si="15"/>
        <v>0</v>
      </c>
      <c r="P58" s="9">
        <f t="shared" si="16"/>
        <v>0</v>
      </c>
      <c r="Q58" s="8">
        <v>3</v>
      </c>
      <c r="R58" s="9">
        <f t="shared" si="17"/>
        <v>0.13636363636363635</v>
      </c>
      <c r="S58" s="8">
        <v>283</v>
      </c>
      <c r="T58" s="9">
        <f t="shared" si="18"/>
        <v>5.5511965476657515E-2</v>
      </c>
      <c r="U58" s="8">
        <v>8</v>
      </c>
      <c r="V58" s="9">
        <f t="shared" si="19"/>
        <v>0.36363636363636365</v>
      </c>
      <c r="W58" s="8">
        <v>65</v>
      </c>
      <c r="X58" s="9">
        <f t="shared" si="23"/>
        <v>1.275009807767752E-2</v>
      </c>
      <c r="Y58" s="8">
        <v>10</v>
      </c>
      <c r="Z58" s="9">
        <f t="shared" si="24"/>
        <v>0.45454545454545453</v>
      </c>
      <c r="AA58" s="8">
        <v>4356</v>
      </c>
      <c r="AB58" s="9">
        <f t="shared" si="25"/>
        <v>0.85445272655943505</v>
      </c>
      <c r="AC58" s="8">
        <v>12</v>
      </c>
      <c r="AD58" s="9">
        <f t="shared" si="26"/>
        <v>0.54545454545454541</v>
      </c>
      <c r="AE58" s="8">
        <v>742</v>
      </c>
      <c r="AF58" s="9">
        <f t="shared" si="27"/>
        <v>0.14554727344056492</v>
      </c>
      <c r="AG58" s="8">
        <v>11</v>
      </c>
      <c r="AH58" s="9">
        <f t="shared" si="28"/>
        <v>0.5</v>
      </c>
      <c r="AI58" s="8">
        <v>4318</v>
      </c>
      <c r="AJ58" s="9">
        <f t="shared" si="29"/>
        <v>0.84699882306786978</v>
      </c>
      <c r="AK58" s="17">
        <f t="shared" si="3"/>
        <v>392.54545454545456</v>
      </c>
      <c r="AL58" s="17">
        <f t="shared" si="4"/>
        <v>11</v>
      </c>
      <c r="AM58" s="17">
        <f t="shared" si="5"/>
        <v>780</v>
      </c>
      <c r="AN58" s="17">
        <f t="shared" si="6"/>
        <v>70.909090909090907</v>
      </c>
      <c r="AO58" s="8">
        <v>9</v>
      </c>
      <c r="AP58" s="9">
        <f t="shared" si="30"/>
        <v>0.40909090909090912</v>
      </c>
      <c r="AQ58" s="8">
        <v>700</v>
      </c>
      <c r="AR58" s="9">
        <f t="shared" si="31"/>
        <v>0.13730874852883485</v>
      </c>
      <c r="AS58" s="8">
        <v>2</v>
      </c>
      <c r="AT58" s="9">
        <f t="shared" si="32"/>
        <v>9.0909090909090912E-2</v>
      </c>
      <c r="AU58" s="8">
        <v>80</v>
      </c>
      <c r="AV58" s="9">
        <f t="shared" si="33"/>
        <v>1.5692428403295409E-2</v>
      </c>
      <c r="AW58" s="8">
        <v>3</v>
      </c>
      <c r="AX58" s="9">
        <f t="shared" si="36"/>
        <v>0.27272727272727271</v>
      </c>
      <c r="AY58" s="9">
        <f t="shared" si="21"/>
        <v>0.13636363636363635</v>
      </c>
      <c r="AZ58" s="8">
        <v>8</v>
      </c>
      <c r="BA58" s="9">
        <f t="shared" si="37"/>
        <v>0.72727272727272729</v>
      </c>
      <c r="BB58" s="9">
        <f t="shared" si="35"/>
        <v>0.36363636363636365</v>
      </c>
      <c r="BC58" s="8">
        <v>1</v>
      </c>
      <c r="BD58" s="9">
        <f t="shared" si="9"/>
        <v>0.33333333333333331</v>
      </c>
      <c r="BE58" s="9">
        <f t="shared" si="10"/>
        <v>0.33333333333333331</v>
      </c>
      <c r="BG58" s="9">
        <f t="shared" si="34"/>
        <v>0</v>
      </c>
      <c r="BH58" s="9">
        <f t="shared" si="22"/>
        <v>0</v>
      </c>
      <c r="BJ58" s="8">
        <v>664</v>
      </c>
      <c r="BK58" s="9">
        <f t="shared" si="11"/>
        <v>0.13024715574735191</v>
      </c>
      <c r="BL58" s="8">
        <v>116</v>
      </c>
      <c r="BM58" s="9">
        <f t="shared" si="12"/>
        <v>2.2754021184778345E-2</v>
      </c>
    </row>
    <row r="59" spans="1:65" x14ac:dyDescent="0.4">
      <c r="A59" s="8">
        <v>3</v>
      </c>
      <c r="B59" s="8">
        <v>213</v>
      </c>
      <c r="C59" s="8">
        <v>39</v>
      </c>
      <c r="D59" s="8">
        <v>11373</v>
      </c>
      <c r="E59" s="8">
        <v>2</v>
      </c>
      <c r="F59" s="9">
        <f t="shared" si="1"/>
        <v>5.128205128205128E-2</v>
      </c>
      <c r="G59" s="8">
        <v>331</v>
      </c>
      <c r="H59" s="9">
        <f t="shared" si="2"/>
        <v>2.9104018288929921E-2</v>
      </c>
      <c r="I59" s="8">
        <v>20</v>
      </c>
      <c r="J59" s="9">
        <f t="shared" si="13"/>
        <v>0.51282051282051277</v>
      </c>
      <c r="K59" s="8">
        <v>9180</v>
      </c>
      <c r="L59" s="9">
        <f t="shared" si="14"/>
        <v>0.80717488789237668</v>
      </c>
      <c r="M59" s="8">
        <v>2</v>
      </c>
      <c r="N59" s="9">
        <f t="shared" si="15"/>
        <v>5.128205128205128E-2</v>
      </c>
      <c r="O59" s="8">
        <v>1338</v>
      </c>
      <c r="P59" s="9">
        <f t="shared" si="16"/>
        <v>0.11764705882352941</v>
      </c>
      <c r="Q59" s="8">
        <v>6</v>
      </c>
      <c r="R59" s="9">
        <f t="shared" si="17"/>
        <v>0.15384615384615385</v>
      </c>
      <c r="S59" s="8">
        <v>469</v>
      </c>
      <c r="T59" s="9">
        <f t="shared" si="18"/>
        <v>4.1238019871625779E-2</v>
      </c>
      <c r="U59" s="8">
        <v>9</v>
      </c>
      <c r="V59" s="9">
        <f t="shared" si="19"/>
        <v>0.23076923076923078</v>
      </c>
      <c r="W59" s="8">
        <v>55</v>
      </c>
      <c r="X59" s="9">
        <f t="shared" si="23"/>
        <v>4.8360151235382048E-3</v>
      </c>
      <c r="Y59" s="8">
        <v>19</v>
      </c>
      <c r="Z59" s="9">
        <f t="shared" si="24"/>
        <v>0.48717948717948717</v>
      </c>
      <c r="AA59" s="8">
        <v>7418</v>
      </c>
      <c r="AB59" s="9">
        <f t="shared" si="25"/>
        <v>0.65224654884375277</v>
      </c>
      <c r="AC59" s="8">
        <v>20</v>
      </c>
      <c r="AD59" s="9">
        <f t="shared" si="26"/>
        <v>0.51282051282051277</v>
      </c>
      <c r="AE59" s="8">
        <v>3955</v>
      </c>
      <c r="AF59" s="9">
        <f t="shared" si="27"/>
        <v>0.34775345115624723</v>
      </c>
      <c r="AG59" s="8">
        <v>21</v>
      </c>
      <c r="AH59" s="9">
        <f t="shared" si="28"/>
        <v>0.53846153846153844</v>
      </c>
      <c r="AI59" s="8">
        <v>9274</v>
      </c>
      <c r="AJ59" s="9">
        <f t="shared" si="29"/>
        <v>0.81544007737624202</v>
      </c>
      <c r="AK59" s="17">
        <f t="shared" si="3"/>
        <v>441.61904761904759</v>
      </c>
      <c r="AL59" s="17">
        <f t="shared" si="4"/>
        <v>18</v>
      </c>
      <c r="AM59" s="17">
        <f t="shared" si="5"/>
        <v>2099</v>
      </c>
      <c r="AN59" s="17">
        <f t="shared" si="6"/>
        <v>116.61111111111111</v>
      </c>
      <c r="AO59" s="8">
        <v>15</v>
      </c>
      <c r="AP59" s="9">
        <f t="shared" si="30"/>
        <v>0.38461538461538464</v>
      </c>
      <c r="AQ59" s="8">
        <v>1797</v>
      </c>
      <c r="AR59" s="9">
        <f t="shared" si="31"/>
        <v>0.15800580321814825</v>
      </c>
      <c r="AS59" s="8">
        <v>3</v>
      </c>
      <c r="AT59" s="9">
        <f t="shared" si="32"/>
        <v>7.6923076923076927E-2</v>
      </c>
      <c r="AU59" s="8">
        <v>302</v>
      </c>
      <c r="AV59" s="9">
        <f t="shared" si="33"/>
        <v>2.6554119405609776E-2</v>
      </c>
      <c r="AW59" s="8">
        <v>4</v>
      </c>
      <c r="AX59" s="9">
        <f t="shared" si="36"/>
        <v>0.22222222222222221</v>
      </c>
      <c r="AY59" s="9">
        <f t="shared" si="21"/>
        <v>0.10256410256410256</v>
      </c>
      <c r="AZ59" s="8">
        <v>14</v>
      </c>
      <c r="BA59" s="9">
        <f t="shared" si="37"/>
        <v>0.77777777777777779</v>
      </c>
      <c r="BB59" s="9">
        <f t="shared" si="35"/>
        <v>0.35897435897435898</v>
      </c>
      <c r="BC59" s="8">
        <v>2</v>
      </c>
      <c r="BD59" s="9">
        <f t="shared" si="9"/>
        <v>0.5</v>
      </c>
      <c r="BE59" s="9">
        <f t="shared" si="10"/>
        <v>0.5</v>
      </c>
      <c r="BF59" s="8">
        <v>2</v>
      </c>
      <c r="BG59" s="9">
        <f t="shared" si="34"/>
        <v>0.5</v>
      </c>
      <c r="BH59" s="9">
        <f t="shared" si="22"/>
        <v>0.5</v>
      </c>
      <c r="BJ59" s="8">
        <v>608</v>
      </c>
      <c r="BK59" s="9">
        <f t="shared" si="11"/>
        <v>5.3459949002022333E-2</v>
      </c>
      <c r="BL59" s="8">
        <v>1491</v>
      </c>
      <c r="BM59" s="9">
        <f t="shared" si="12"/>
        <v>0.1310999736217357</v>
      </c>
    </row>
    <row r="60" spans="1:65" x14ac:dyDescent="0.4">
      <c r="A60" s="8">
        <v>3</v>
      </c>
      <c r="B60" s="8">
        <v>222</v>
      </c>
      <c r="C60" s="8">
        <v>34</v>
      </c>
      <c r="D60" s="8">
        <v>7183</v>
      </c>
      <c r="E60" s="8">
        <v>1</v>
      </c>
      <c r="F60" s="9">
        <f t="shared" si="1"/>
        <v>2.9411764705882353E-2</v>
      </c>
      <c r="G60" s="8">
        <v>189</v>
      </c>
      <c r="H60" s="9">
        <f t="shared" si="2"/>
        <v>2.6312125852707782E-2</v>
      </c>
      <c r="I60" s="8">
        <v>13</v>
      </c>
      <c r="J60" s="9">
        <f t="shared" si="13"/>
        <v>0.38235294117647056</v>
      </c>
      <c r="K60" s="8">
        <v>6403</v>
      </c>
      <c r="L60" s="9">
        <f t="shared" si="14"/>
        <v>0.89141027425866626</v>
      </c>
      <c r="M60" s="8">
        <v>1</v>
      </c>
      <c r="N60" s="9">
        <f t="shared" si="15"/>
        <v>2.9411764705882353E-2</v>
      </c>
      <c r="O60" s="8">
        <v>19</v>
      </c>
      <c r="P60" s="9">
        <f t="shared" si="16"/>
        <v>2.6451343449812054E-3</v>
      </c>
      <c r="Q60" s="8">
        <v>5</v>
      </c>
      <c r="R60" s="9">
        <f t="shared" si="17"/>
        <v>0.14705882352941177</v>
      </c>
      <c r="S60" s="8">
        <v>288</v>
      </c>
      <c r="T60" s="9">
        <f t="shared" si="18"/>
        <v>4.0094667966030909E-2</v>
      </c>
      <c r="U60" s="8">
        <v>14</v>
      </c>
      <c r="V60" s="9">
        <f t="shared" si="19"/>
        <v>0.41176470588235292</v>
      </c>
      <c r="W60" s="8">
        <v>284</v>
      </c>
      <c r="X60" s="9">
        <f t="shared" si="23"/>
        <v>3.953779757761381E-2</v>
      </c>
      <c r="Y60" s="8">
        <v>12</v>
      </c>
      <c r="Z60" s="9">
        <f t="shared" si="24"/>
        <v>0.35294117647058826</v>
      </c>
      <c r="AA60" s="8">
        <v>5686</v>
      </c>
      <c r="AB60" s="9">
        <f t="shared" si="25"/>
        <v>0.79159125713490186</v>
      </c>
      <c r="AC60" s="8">
        <v>22</v>
      </c>
      <c r="AD60" s="9">
        <f t="shared" si="26"/>
        <v>0.6470588235294118</v>
      </c>
      <c r="AE60" s="8">
        <v>1497</v>
      </c>
      <c r="AF60" s="9">
        <f t="shared" si="27"/>
        <v>0.20840874286509814</v>
      </c>
      <c r="AG60" s="8">
        <v>21</v>
      </c>
      <c r="AH60" s="9">
        <f t="shared" si="28"/>
        <v>0.61764705882352944</v>
      </c>
      <c r="AI60" s="8">
        <v>5689</v>
      </c>
      <c r="AJ60" s="9">
        <f t="shared" si="29"/>
        <v>0.79200890992621464</v>
      </c>
      <c r="AK60" s="17">
        <f t="shared" si="3"/>
        <v>270.90476190476193</v>
      </c>
      <c r="AL60" s="17">
        <f t="shared" si="4"/>
        <v>13</v>
      </c>
      <c r="AM60" s="17">
        <f t="shared" si="5"/>
        <v>1494</v>
      </c>
      <c r="AN60" s="17">
        <f t="shared" si="6"/>
        <v>114.92307692307692</v>
      </c>
      <c r="AO60" s="8">
        <v>11</v>
      </c>
      <c r="AP60" s="9">
        <f t="shared" si="30"/>
        <v>0.3235294117647059</v>
      </c>
      <c r="AQ60" s="8">
        <v>1441</v>
      </c>
      <c r="AR60" s="9">
        <f t="shared" si="31"/>
        <v>0.20061255742725881</v>
      </c>
      <c r="AS60" s="8">
        <v>2</v>
      </c>
      <c r="AT60" s="9">
        <f t="shared" si="32"/>
        <v>5.8823529411764705E-2</v>
      </c>
      <c r="AU60" s="8">
        <v>53</v>
      </c>
      <c r="AV60" s="9">
        <f t="shared" si="33"/>
        <v>7.3785326465265208E-3</v>
      </c>
      <c r="AW60" s="8">
        <v>2</v>
      </c>
      <c r="AX60" s="9">
        <f t="shared" si="36"/>
        <v>0.15384615384615385</v>
      </c>
      <c r="AY60" s="9">
        <f t="shared" si="21"/>
        <v>5.8823529411764705E-2</v>
      </c>
      <c r="AZ60" s="8">
        <v>11</v>
      </c>
      <c r="BA60" s="9">
        <f t="shared" si="37"/>
        <v>0.84615384615384615</v>
      </c>
      <c r="BB60" s="9">
        <f t="shared" si="35"/>
        <v>0.3235294117647059</v>
      </c>
      <c r="BC60" s="8">
        <v>2</v>
      </c>
      <c r="BD60" s="9">
        <f t="shared" si="9"/>
        <v>1</v>
      </c>
      <c r="BE60" s="9">
        <f t="shared" si="10"/>
        <v>1</v>
      </c>
      <c r="BF60" s="8">
        <v>1</v>
      </c>
      <c r="BG60" s="9">
        <f t="shared" si="34"/>
        <v>0.5</v>
      </c>
      <c r="BH60" s="9">
        <f t="shared" si="22"/>
        <v>0.5</v>
      </c>
      <c r="BJ60" s="8">
        <v>1196</v>
      </c>
      <c r="BK60" s="9">
        <f t="shared" si="11"/>
        <v>0.16650424613671169</v>
      </c>
      <c r="BL60" s="8">
        <v>298</v>
      </c>
      <c r="BM60" s="9">
        <f t="shared" si="12"/>
        <v>4.1486843937073643E-2</v>
      </c>
    </row>
    <row r="61" spans="1:65" x14ac:dyDescent="0.4">
      <c r="A61" s="8">
        <v>3</v>
      </c>
      <c r="B61" s="8">
        <v>234</v>
      </c>
      <c r="C61" s="8">
        <v>28</v>
      </c>
      <c r="D61" s="8">
        <v>5794</v>
      </c>
      <c r="E61" s="8">
        <v>1</v>
      </c>
      <c r="F61" s="9">
        <f t="shared" si="1"/>
        <v>3.5714285714285712E-2</v>
      </c>
      <c r="G61" s="8">
        <v>552</v>
      </c>
      <c r="H61" s="9">
        <f t="shared" si="2"/>
        <v>9.5270969968933375E-2</v>
      </c>
      <c r="I61" s="8">
        <v>15</v>
      </c>
      <c r="J61" s="9">
        <f t="shared" si="13"/>
        <v>0.5357142857142857</v>
      </c>
      <c r="K61" s="8">
        <v>4022</v>
      </c>
      <c r="L61" s="9">
        <f t="shared" si="14"/>
        <v>0.69416637901277178</v>
      </c>
      <c r="M61" s="8">
        <v>3</v>
      </c>
      <c r="N61" s="9">
        <f t="shared" si="15"/>
        <v>0.10714285714285714</v>
      </c>
      <c r="O61" s="8">
        <v>600</v>
      </c>
      <c r="P61" s="9">
        <f t="shared" si="16"/>
        <v>0.10355540214014498</v>
      </c>
      <c r="Q61" s="8">
        <v>4</v>
      </c>
      <c r="R61" s="9">
        <f t="shared" si="17"/>
        <v>0.14285714285714285</v>
      </c>
      <c r="S61" s="8">
        <v>460</v>
      </c>
      <c r="T61" s="9">
        <f t="shared" si="18"/>
        <v>7.9392474974111144E-2</v>
      </c>
      <c r="U61" s="8">
        <v>5</v>
      </c>
      <c r="V61" s="9">
        <f t="shared" si="19"/>
        <v>0.17857142857142858</v>
      </c>
      <c r="W61" s="8">
        <v>160</v>
      </c>
      <c r="X61" s="9">
        <f t="shared" si="23"/>
        <v>2.7614773904038662E-2</v>
      </c>
      <c r="Y61" s="8">
        <v>10</v>
      </c>
      <c r="Z61" s="9">
        <f t="shared" si="24"/>
        <v>0.35714285714285715</v>
      </c>
      <c r="AA61" s="8">
        <v>1851</v>
      </c>
      <c r="AB61" s="9">
        <f t="shared" si="25"/>
        <v>0.31946841560234723</v>
      </c>
      <c r="AC61" s="8">
        <v>18</v>
      </c>
      <c r="AD61" s="9">
        <f t="shared" si="26"/>
        <v>0.6428571428571429</v>
      </c>
      <c r="AE61" s="8">
        <v>3943</v>
      </c>
      <c r="AF61" s="9">
        <f t="shared" si="27"/>
        <v>0.68053158439765271</v>
      </c>
      <c r="AG61" s="8">
        <v>21</v>
      </c>
      <c r="AH61" s="9">
        <f t="shared" si="28"/>
        <v>0.75</v>
      </c>
      <c r="AI61" s="8">
        <v>4154</v>
      </c>
      <c r="AJ61" s="9">
        <f t="shared" si="29"/>
        <v>0.71694856748360369</v>
      </c>
      <c r="AK61" s="17">
        <f t="shared" si="3"/>
        <v>197.8095238095238</v>
      </c>
      <c r="AL61" s="17">
        <f t="shared" si="4"/>
        <v>7</v>
      </c>
      <c r="AM61" s="17">
        <f t="shared" si="5"/>
        <v>1640</v>
      </c>
      <c r="AN61" s="17">
        <f t="shared" si="6"/>
        <v>234.28571428571428</v>
      </c>
      <c r="AO61" s="8">
        <v>5</v>
      </c>
      <c r="AP61" s="9">
        <f t="shared" si="30"/>
        <v>0.17857142857142858</v>
      </c>
      <c r="AQ61" s="8">
        <v>1344</v>
      </c>
      <c r="AR61" s="9">
        <f t="shared" si="31"/>
        <v>0.23196410079392474</v>
      </c>
      <c r="AS61" s="8">
        <v>2</v>
      </c>
      <c r="AT61" s="9">
        <f t="shared" si="32"/>
        <v>7.1428571428571425E-2</v>
      </c>
      <c r="AU61" s="8">
        <v>296</v>
      </c>
      <c r="AV61" s="9">
        <f t="shared" si="33"/>
        <v>5.108733172247152E-2</v>
      </c>
      <c r="AW61" s="8">
        <v>5</v>
      </c>
      <c r="AX61" s="9">
        <f t="shared" si="36"/>
        <v>0.7142857142857143</v>
      </c>
      <c r="AY61" s="9">
        <f t="shared" si="21"/>
        <v>0.17857142857142858</v>
      </c>
      <c r="AZ61" s="8">
        <v>2</v>
      </c>
      <c r="BA61" s="9">
        <f t="shared" si="37"/>
        <v>0.2857142857142857</v>
      </c>
      <c r="BB61" s="9">
        <f t="shared" si="35"/>
        <v>7.1428571428571425E-2</v>
      </c>
      <c r="BC61" s="8">
        <v>4</v>
      </c>
      <c r="BD61" s="9">
        <f t="shared" si="9"/>
        <v>0.8</v>
      </c>
      <c r="BE61" s="9">
        <f t="shared" si="10"/>
        <v>0.8</v>
      </c>
      <c r="BG61" s="9">
        <f t="shared" si="34"/>
        <v>0</v>
      </c>
      <c r="BH61" s="9">
        <f t="shared" si="22"/>
        <v>0</v>
      </c>
      <c r="BJ61" s="8">
        <v>959</v>
      </c>
      <c r="BK61" s="9">
        <f t="shared" si="11"/>
        <v>0.16551605108733172</v>
      </c>
      <c r="BL61" s="8">
        <v>681</v>
      </c>
      <c r="BM61" s="9">
        <f t="shared" si="12"/>
        <v>0.11753538142906456</v>
      </c>
    </row>
    <row r="62" spans="1:65" x14ac:dyDescent="0.4">
      <c r="A62" s="8">
        <v>3</v>
      </c>
      <c r="B62" s="8">
        <v>257</v>
      </c>
      <c r="C62" s="8">
        <v>41</v>
      </c>
      <c r="D62" s="8">
        <v>6048</v>
      </c>
      <c r="F62" s="9">
        <f t="shared" si="1"/>
        <v>0</v>
      </c>
      <c r="H62" s="9">
        <f t="shared" si="2"/>
        <v>0</v>
      </c>
      <c r="I62" s="8">
        <v>13</v>
      </c>
      <c r="J62" s="9">
        <f t="shared" si="13"/>
        <v>0.31707317073170732</v>
      </c>
      <c r="K62" s="8">
        <v>5205</v>
      </c>
      <c r="L62" s="9">
        <f t="shared" si="14"/>
        <v>0.86061507936507942</v>
      </c>
      <c r="M62" s="8">
        <v>1</v>
      </c>
      <c r="N62" s="9">
        <f t="shared" si="15"/>
        <v>2.4390243902439025E-2</v>
      </c>
      <c r="O62" s="8">
        <v>45</v>
      </c>
      <c r="P62" s="9">
        <f t="shared" si="16"/>
        <v>7.4404761904761901E-3</v>
      </c>
      <c r="Q62" s="8">
        <v>5</v>
      </c>
      <c r="R62" s="9">
        <f t="shared" si="17"/>
        <v>0.12195121951219512</v>
      </c>
      <c r="S62" s="8">
        <v>517</v>
      </c>
      <c r="T62" s="9">
        <f t="shared" si="18"/>
        <v>8.548280423280423E-2</v>
      </c>
      <c r="U62" s="8">
        <v>22</v>
      </c>
      <c r="V62" s="9">
        <f t="shared" si="19"/>
        <v>0.53658536585365857</v>
      </c>
      <c r="W62" s="8">
        <v>281</v>
      </c>
      <c r="X62" s="9">
        <f t="shared" si="23"/>
        <v>4.6461640211640211E-2</v>
      </c>
      <c r="Y62" s="8">
        <v>6</v>
      </c>
      <c r="Z62" s="9">
        <f t="shared" si="24"/>
        <v>0.14634146341463414</v>
      </c>
      <c r="AA62" s="8">
        <v>4368</v>
      </c>
      <c r="AB62" s="9">
        <f t="shared" si="25"/>
        <v>0.72222222222222221</v>
      </c>
      <c r="AC62" s="8">
        <v>35</v>
      </c>
      <c r="AD62" s="9">
        <f t="shared" si="26"/>
        <v>0.85365853658536583</v>
      </c>
      <c r="AE62" s="8">
        <v>1680</v>
      </c>
      <c r="AF62" s="9">
        <f t="shared" si="27"/>
        <v>0.27777777777777779</v>
      </c>
      <c r="AG62" s="8">
        <v>13</v>
      </c>
      <c r="AH62" s="9">
        <f t="shared" si="28"/>
        <v>0.31707317073170732</v>
      </c>
      <c r="AI62" s="8">
        <v>4352</v>
      </c>
      <c r="AJ62" s="9">
        <f t="shared" si="29"/>
        <v>0.71957671957671954</v>
      </c>
      <c r="AK62" s="17">
        <f t="shared" si="3"/>
        <v>334.76923076923077</v>
      </c>
      <c r="AL62" s="17">
        <f t="shared" si="4"/>
        <v>28</v>
      </c>
      <c r="AM62" s="17">
        <f t="shared" si="5"/>
        <v>1696</v>
      </c>
      <c r="AN62" s="17">
        <f t="shared" si="6"/>
        <v>60.571428571428569</v>
      </c>
      <c r="AO62" s="8">
        <v>17</v>
      </c>
      <c r="AP62" s="9">
        <f t="shared" si="30"/>
        <v>0.41463414634146339</v>
      </c>
      <c r="AQ62" s="8">
        <v>1302</v>
      </c>
      <c r="AR62" s="9">
        <f t="shared" si="31"/>
        <v>0.21527777777777779</v>
      </c>
      <c r="AS62" s="8">
        <v>11</v>
      </c>
      <c r="AT62" s="9">
        <f t="shared" si="32"/>
        <v>0.26829268292682928</v>
      </c>
      <c r="AU62" s="8">
        <v>394</v>
      </c>
      <c r="AV62" s="9">
        <f t="shared" si="33"/>
        <v>6.5145502645502645E-2</v>
      </c>
      <c r="AW62" s="8">
        <v>2</v>
      </c>
      <c r="AX62" s="9">
        <f t="shared" si="36"/>
        <v>7.1428571428571425E-2</v>
      </c>
      <c r="AY62" s="9">
        <f t="shared" si="21"/>
        <v>4.878048780487805E-2</v>
      </c>
      <c r="AZ62" s="8">
        <v>26</v>
      </c>
      <c r="BA62" s="9">
        <f t="shared" si="37"/>
        <v>0.9285714285714286</v>
      </c>
      <c r="BB62" s="9">
        <f t="shared" si="35"/>
        <v>0.63414634146341464</v>
      </c>
      <c r="BC62" s="8">
        <v>1</v>
      </c>
      <c r="BD62" s="9">
        <f t="shared" si="9"/>
        <v>0.5</v>
      </c>
      <c r="BE62" s="9">
        <f t="shared" si="10"/>
        <v>0.5</v>
      </c>
      <c r="BF62" s="8">
        <v>1</v>
      </c>
      <c r="BG62" s="9">
        <f t="shared" si="34"/>
        <v>0.5</v>
      </c>
      <c r="BH62" s="9">
        <f t="shared" si="22"/>
        <v>0.5</v>
      </c>
      <c r="BJ62" s="8">
        <v>531</v>
      </c>
      <c r="BK62" s="9">
        <f t="shared" si="11"/>
        <v>8.7797619047619041E-2</v>
      </c>
      <c r="BL62" s="8">
        <v>1165</v>
      </c>
      <c r="BM62" s="9">
        <f t="shared" si="12"/>
        <v>0.19262566137566137</v>
      </c>
    </row>
    <row r="63" spans="1:65" x14ac:dyDescent="0.4">
      <c r="A63" s="8">
        <v>3</v>
      </c>
      <c r="B63" s="8">
        <v>278</v>
      </c>
      <c r="C63" s="8">
        <v>18</v>
      </c>
      <c r="D63" s="8">
        <v>2313</v>
      </c>
      <c r="E63" s="8">
        <v>1</v>
      </c>
      <c r="F63" s="9">
        <f t="shared" si="1"/>
        <v>5.5555555555555552E-2</v>
      </c>
      <c r="G63" s="8">
        <v>185</v>
      </c>
      <c r="H63" s="9">
        <f t="shared" si="2"/>
        <v>7.9982706441850404E-2</v>
      </c>
      <c r="I63" s="8">
        <v>8</v>
      </c>
      <c r="J63" s="9">
        <f t="shared" si="13"/>
        <v>0.44444444444444442</v>
      </c>
      <c r="K63" s="8">
        <v>2013</v>
      </c>
      <c r="L63" s="9">
        <f t="shared" si="14"/>
        <v>0.87029831387808043</v>
      </c>
      <c r="N63" s="9">
        <f t="shared" si="15"/>
        <v>0</v>
      </c>
      <c r="P63" s="9">
        <f t="shared" si="16"/>
        <v>0</v>
      </c>
      <c r="R63" s="9">
        <f t="shared" si="17"/>
        <v>0</v>
      </c>
      <c r="T63" s="9">
        <f t="shared" si="18"/>
        <v>0</v>
      </c>
      <c r="U63" s="8">
        <v>9</v>
      </c>
      <c r="V63" s="9">
        <f t="shared" si="19"/>
        <v>0.5</v>
      </c>
      <c r="W63" s="8">
        <v>115</v>
      </c>
      <c r="X63" s="9">
        <f t="shared" si="23"/>
        <v>4.9718979680069171E-2</v>
      </c>
      <c r="Y63" s="8">
        <v>7</v>
      </c>
      <c r="Z63" s="9">
        <f t="shared" si="24"/>
        <v>0.3888888888888889</v>
      </c>
      <c r="AA63" s="8">
        <v>1959</v>
      </c>
      <c r="AB63" s="9">
        <f t="shared" si="25"/>
        <v>0.84695201037613488</v>
      </c>
      <c r="AC63" s="8">
        <v>11</v>
      </c>
      <c r="AD63" s="9">
        <f t="shared" si="26"/>
        <v>0.61111111111111116</v>
      </c>
      <c r="AE63" s="8">
        <v>354</v>
      </c>
      <c r="AF63" s="9">
        <f t="shared" si="27"/>
        <v>0.15304798962386512</v>
      </c>
      <c r="AG63" s="8">
        <v>5</v>
      </c>
      <c r="AH63" s="9">
        <f t="shared" si="28"/>
        <v>0.27777777777777779</v>
      </c>
      <c r="AI63" s="8">
        <v>1637</v>
      </c>
      <c r="AJ63" s="9">
        <f t="shared" si="29"/>
        <v>0.70773886727194124</v>
      </c>
      <c r="AK63" s="17">
        <f t="shared" si="3"/>
        <v>327.39999999999998</v>
      </c>
      <c r="AL63" s="17">
        <f t="shared" si="4"/>
        <v>13</v>
      </c>
      <c r="AM63" s="17">
        <f t="shared" si="5"/>
        <v>676</v>
      </c>
      <c r="AN63" s="17">
        <f t="shared" si="6"/>
        <v>52</v>
      </c>
      <c r="AO63" s="8">
        <v>11</v>
      </c>
      <c r="AP63" s="9">
        <f t="shared" si="30"/>
        <v>0.61111111111111116</v>
      </c>
      <c r="AQ63" s="8">
        <v>378</v>
      </c>
      <c r="AR63" s="9">
        <f t="shared" si="31"/>
        <v>0.16342412451361868</v>
      </c>
      <c r="AS63" s="8">
        <v>2</v>
      </c>
      <c r="AT63" s="9">
        <f t="shared" si="32"/>
        <v>0.1111111111111111</v>
      </c>
      <c r="AU63" s="8">
        <v>298</v>
      </c>
      <c r="AV63" s="9">
        <f t="shared" si="33"/>
        <v>0.12883700821444011</v>
      </c>
      <c r="AW63" s="8">
        <v>3</v>
      </c>
      <c r="AX63" s="9">
        <f t="shared" si="36"/>
        <v>0.23076923076923078</v>
      </c>
      <c r="AY63" s="9">
        <f t="shared" si="21"/>
        <v>0.16666666666666666</v>
      </c>
      <c r="AZ63" s="8">
        <v>10</v>
      </c>
      <c r="BA63" s="9">
        <f t="shared" si="37"/>
        <v>0.76923076923076927</v>
      </c>
      <c r="BB63" s="9">
        <f t="shared" si="35"/>
        <v>0.55555555555555558</v>
      </c>
      <c r="BC63" s="8">
        <v>2</v>
      </c>
      <c r="BD63" s="9">
        <f t="shared" si="9"/>
        <v>1</v>
      </c>
      <c r="BE63" s="9">
        <f t="shared" si="10"/>
        <v>1</v>
      </c>
      <c r="BG63" s="9">
        <f t="shared" si="34"/>
        <v>0</v>
      </c>
      <c r="BH63" s="9">
        <f t="shared" si="22"/>
        <v>0</v>
      </c>
      <c r="BI63" s="8">
        <v>1</v>
      </c>
      <c r="BJ63" s="8">
        <v>326</v>
      </c>
      <c r="BK63" s="9">
        <f t="shared" si="11"/>
        <v>0.14094249891915261</v>
      </c>
      <c r="BL63" s="8">
        <v>350</v>
      </c>
      <c r="BM63" s="9">
        <f t="shared" si="12"/>
        <v>0.15131863380890617</v>
      </c>
    </row>
    <row r="64" spans="1:65" x14ac:dyDescent="0.4">
      <c r="A64" s="8" t="s">
        <v>948</v>
      </c>
      <c r="B64" s="8">
        <v>81</v>
      </c>
      <c r="C64" s="8">
        <v>2</v>
      </c>
      <c r="D64" s="8">
        <v>715</v>
      </c>
      <c r="F64" s="9">
        <f t="shared" si="1"/>
        <v>0</v>
      </c>
      <c r="H64" s="9">
        <f t="shared" si="2"/>
        <v>0</v>
      </c>
      <c r="I64" s="8">
        <v>1</v>
      </c>
      <c r="J64" s="9">
        <f t="shared" si="13"/>
        <v>0.5</v>
      </c>
      <c r="K64" s="8">
        <v>597</v>
      </c>
      <c r="L64" s="9">
        <f t="shared" si="14"/>
        <v>0.83496503496503494</v>
      </c>
      <c r="N64" s="9">
        <f t="shared" si="15"/>
        <v>0</v>
      </c>
      <c r="P64" s="9">
        <f t="shared" si="16"/>
        <v>0</v>
      </c>
      <c r="R64" s="9">
        <f t="shared" si="17"/>
        <v>0</v>
      </c>
      <c r="T64" s="9">
        <f t="shared" si="18"/>
        <v>0</v>
      </c>
      <c r="U64" s="8">
        <v>1</v>
      </c>
      <c r="V64" s="9">
        <f t="shared" si="19"/>
        <v>0.5</v>
      </c>
      <c r="W64" s="8">
        <v>118</v>
      </c>
      <c r="X64" s="9">
        <f t="shared" si="23"/>
        <v>0.16503496503496504</v>
      </c>
      <c r="Y64" s="8">
        <v>1</v>
      </c>
      <c r="Z64" s="9">
        <f t="shared" si="24"/>
        <v>0.5</v>
      </c>
      <c r="AA64" s="8">
        <v>597</v>
      </c>
      <c r="AB64" s="9">
        <f t="shared" si="25"/>
        <v>0.83496503496503494</v>
      </c>
      <c r="AC64" s="8">
        <v>1</v>
      </c>
      <c r="AD64" s="9">
        <f t="shared" si="26"/>
        <v>0.5</v>
      </c>
      <c r="AE64" s="8">
        <v>118</v>
      </c>
      <c r="AF64" s="9">
        <f t="shared" si="27"/>
        <v>0.16503496503496504</v>
      </c>
      <c r="AG64" s="8">
        <v>1</v>
      </c>
      <c r="AH64" s="9">
        <f t="shared" si="28"/>
        <v>0.5</v>
      </c>
      <c r="AI64" s="8">
        <v>597</v>
      </c>
      <c r="AJ64" s="9">
        <f t="shared" si="29"/>
        <v>0.83496503496503494</v>
      </c>
      <c r="AK64" s="17">
        <f t="shared" si="3"/>
        <v>597</v>
      </c>
      <c r="AL64" s="17">
        <f t="shared" si="4"/>
        <v>1</v>
      </c>
      <c r="AM64" s="17">
        <f t="shared" si="5"/>
        <v>118</v>
      </c>
      <c r="AN64" s="17">
        <f t="shared" si="6"/>
        <v>118</v>
      </c>
      <c r="AP64" s="9">
        <f t="shared" si="30"/>
        <v>0</v>
      </c>
      <c r="AR64" s="9">
        <f t="shared" si="31"/>
        <v>0</v>
      </c>
      <c r="AS64" s="8">
        <v>1</v>
      </c>
      <c r="AT64" s="9">
        <f t="shared" si="32"/>
        <v>0.5</v>
      </c>
      <c r="AU64" s="8">
        <v>118</v>
      </c>
      <c r="AV64" s="9">
        <f t="shared" si="33"/>
        <v>0.16503496503496504</v>
      </c>
      <c r="AX64" s="9">
        <f t="shared" si="36"/>
        <v>0</v>
      </c>
      <c r="AY64" s="9">
        <f t="shared" si="21"/>
        <v>0</v>
      </c>
      <c r="AZ64" s="8">
        <v>1</v>
      </c>
      <c r="BA64" s="9">
        <f t="shared" si="37"/>
        <v>1</v>
      </c>
      <c r="BB64" s="9">
        <f t="shared" si="35"/>
        <v>0.5</v>
      </c>
      <c r="BD64" s="9">
        <f t="shared" si="9"/>
        <v>0</v>
      </c>
      <c r="BE64" s="9" t="str">
        <f t="shared" si="10"/>
        <v/>
      </c>
      <c r="BG64" s="9">
        <f t="shared" si="34"/>
        <v>0</v>
      </c>
      <c r="BH64" s="9" t="str">
        <f t="shared" si="22"/>
        <v/>
      </c>
      <c r="BK64" s="9">
        <f t="shared" si="11"/>
        <v>0</v>
      </c>
      <c r="BL64" s="8">
        <v>118</v>
      </c>
      <c r="BM64" s="9">
        <f t="shared" si="12"/>
        <v>0.16503496503496504</v>
      </c>
    </row>
    <row r="65" spans="1:65" x14ac:dyDescent="0.4">
      <c r="A65" s="8" t="s">
        <v>948</v>
      </c>
      <c r="B65" s="8">
        <v>87</v>
      </c>
      <c r="C65" s="8">
        <v>1</v>
      </c>
      <c r="D65" s="8">
        <v>257</v>
      </c>
      <c r="F65" s="9">
        <f t="shared" si="1"/>
        <v>0</v>
      </c>
      <c r="H65" s="9">
        <f t="shared" si="2"/>
        <v>0</v>
      </c>
      <c r="I65" s="8">
        <v>1</v>
      </c>
      <c r="J65" s="9">
        <f t="shared" si="13"/>
        <v>1</v>
      </c>
      <c r="K65" s="8">
        <v>257</v>
      </c>
      <c r="L65" s="9">
        <f t="shared" si="14"/>
        <v>1</v>
      </c>
      <c r="N65" s="9">
        <f t="shared" si="15"/>
        <v>0</v>
      </c>
      <c r="P65" s="9">
        <f t="shared" si="16"/>
        <v>0</v>
      </c>
      <c r="R65" s="9">
        <f t="shared" si="17"/>
        <v>0</v>
      </c>
      <c r="T65" s="9">
        <f t="shared" si="18"/>
        <v>0</v>
      </c>
      <c r="V65" s="9">
        <f t="shared" si="19"/>
        <v>0</v>
      </c>
      <c r="X65" s="9">
        <f t="shared" si="23"/>
        <v>0</v>
      </c>
      <c r="Y65" s="8">
        <v>1</v>
      </c>
      <c r="Z65" s="9">
        <f t="shared" si="24"/>
        <v>1</v>
      </c>
      <c r="AA65" s="8">
        <v>257</v>
      </c>
      <c r="AB65" s="9">
        <f t="shared" si="25"/>
        <v>1</v>
      </c>
      <c r="AD65" s="9">
        <f t="shared" si="26"/>
        <v>0</v>
      </c>
      <c r="AF65" s="9">
        <f t="shared" si="27"/>
        <v>0</v>
      </c>
      <c r="AH65" s="9">
        <f t="shared" si="28"/>
        <v>0</v>
      </c>
      <c r="AJ65" s="9">
        <f t="shared" si="29"/>
        <v>0</v>
      </c>
      <c r="AK65" s="17" t="str">
        <f t="shared" si="3"/>
        <v/>
      </c>
      <c r="AL65" s="17">
        <f t="shared" si="4"/>
        <v>1</v>
      </c>
      <c r="AM65" s="17">
        <f t="shared" si="5"/>
        <v>257</v>
      </c>
      <c r="AN65" s="17">
        <f t="shared" si="6"/>
        <v>257</v>
      </c>
      <c r="AO65" s="8">
        <v>1</v>
      </c>
      <c r="AP65" s="9">
        <f t="shared" si="30"/>
        <v>1</v>
      </c>
      <c r="AQ65" s="8">
        <v>257</v>
      </c>
      <c r="AR65" s="9">
        <f t="shared" si="31"/>
        <v>1</v>
      </c>
      <c r="AT65" s="9">
        <f t="shared" si="32"/>
        <v>0</v>
      </c>
      <c r="AV65" s="9">
        <f t="shared" si="33"/>
        <v>0</v>
      </c>
      <c r="AW65" s="8">
        <v>1</v>
      </c>
      <c r="AX65" s="9">
        <f t="shared" si="36"/>
        <v>1</v>
      </c>
      <c r="AY65" s="9">
        <f t="shared" si="21"/>
        <v>1</v>
      </c>
      <c r="BA65" s="9">
        <f t="shared" si="37"/>
        <v>0</v>
      </c>
      <c r="BB65" s="9">
        <f t="shared" si="35"/>
        <v>0</v>
      </c>
      <c r="BD65" s="9">
        <f t="shared" si="9"/>
        <v>0</v>
      </c>
      <c r="BE65" s="9">
        <f t="shared" si="10"/>
        <v>0</v>
      </c>
      <c r="BG65" s="9">
        <f t="shared" si="34"/>
        <v>0</v>
      </c>
      <c r="BH65" s="9">
        <f t="shared" si="22"/>
        <v>0</v>
      </c>
      <c r="BJ65" s="8">
        <v>257</v>
      </c>
      <c r="BK65" s="9">
        <f t="shared" si="11"/>
        <v>1</v>
      </c>
      <c r="BM65" s="9">
        <f t="shared" si="12"/>
        <v>0</v>
      </c>
    </row>
    <row r="66" spans="1:65" x14ac:dyDescent="0.4">
      <c r="A66" s="8" t="s">
        <v>948</v>
      </c>
      <c r="B66" s="8">
        <v>95</v>
      </c>
      <c r="C66" s="8">
        <v>3</v>
      </c>
      <c r="D66" s="8">
        <v>452</v>
      </c>
      <c r="F66" s="9">
        <f t="shared" si="1"/>
        <v>0</v>
      </c>
      <c r="H66" s="9">
        <f t="shared" si="2"/>
        <v>0</v>
      </c>
      <c r="I66" s="8">
        <v>2</v>
      </c>
      <c r="J66" s="9">
        <f t="shared" si="13"/>
        <v>0.66666666666666663</v>
      </c>
      <c r="K66" s="8">
        <v>311</v>
      </c>
      <c r="L66" s="9">
        <f t="shared" si="14"/>
        <v>0.68805309734513276</v>
      </c>
      <c r="N66" s="9">
        <f t="shared" si="15"/>
        <v>0</v>
      </c>
      <c r="P66" s="9">
        <f t="shared" si="16"/>
        <v>0</v>
      </c>
      <c r="Q66" s="8">
        <v>1</v>
      </c>
      <c r="R66" s="9">
        <f t="shared" si="17"/>
        <v>0.33333333333333331</v>
      </c>
      <c r="S66" s="8">
        <v>141</v>
      </c>
      <c r="T66" s="9">
        <f t="shared" si="18"/>
        <v>0.31194690265486724</v>
      </c>
      <c r="V66" s="9">
        <f t="shared" si="19"/>
        <v>0</v>
      </c>
      <c r="X66" s="9">
        <f t="shared" si="23"/>
        <v>0</v>
      </c>
      <c r="Y66" s="8">
        <v>2</v>
      </c>
      <c r="Z66" s="9">
        <f t="shared" si="24"/>
        <v>0.66666666666666663</v>
      </c>
      <c r="AA66" s="8">
        <v>311</v>
      </c>
      <c r="AB66" s="9">
        <f t="shared" si="25"/>
        <v>0.68805309734513276</v>
      </c>
      <c r="AC66" s="8">
        <v>1</v>
      </c>
      <c r="AD66" s="9">
        <f t="shared" si="26"/>
        <v>0.33333333333333331</v>
      </c>
      <c r="AE66" s="8">
        <v>141</v>
      </c>
      <c r="AF66" s="9">
        <f t="shared" si="27"/>
        <v>0.31194690265486724</v>
      </c>
      <c r="AH66" s="9">
        <f t="shared" si="28"/>
        <v>0</v>
      </c>
      <c r="AJ66" s="9">
        <f t="shared" si="29"/>
        <v>0</v>
      </c>
      <c r="AK66" s="17" t="str">
        <f t="shared" si="3"/>
        <v/>
      </c>
      <c r="AL66" s="17">
        <f t="shared" si="4"/>
        <v>3</v>
      </c>
      <c r="AM66" s="17">
        <f t="shared" si="5"/>
        <v>452</v>
      </c>
      <c r="AN66" s="17">
        <f t="shared" si="6"/>
        <v>150.66666666666666</v>
      </c>
      <c r="AO66" s="8">
        <v>1</v>
      </c>
      <c r="AP66" s="9">
        <f t="shared" si="30"/>
        <v>0.33333333333333331</v>
      </c>
      <c r="AQ66" s="8">
        <v>82</v>
      </c>
      <c r="AR66" s="9">
        <f t="shared" si="31"/>
        <v>0.18141592920353983</v>
      </c>
      <c r="AS66" s="8">
        <v>2</v>
      </c>
      <c r="AT66" s="9">
        <f t="shared" si="32"/>
        <v>0.66666666666666663</v>
      </c>
      <c r="AU66" s="8">
        <v>370</v>
      </c>
      <c r="AV66" s="9">
        <f t="shared" si="33"/>
        <v>0.81858407079646023</v>
      </c>
      <c r="AW66" s="8">
        <v>2</v>
      </c>
      <c r="AX66" s="9">
        <f t="shared" si="36"/>
        <v>0.66666666666666663</v>
      </c>
      <c r="AY66" s="9">
        <f t="shared" si="21"/>
        <v>0.66666666666666663</v>
      </c>
      <c r="AZ66" s="8">
        <v>1</v>
      </c>
      <c r="BA66" s="9">
        <f t="shared" si="37"/>
        <v>0.33333333333333331</v>
      </c>
      <c r="BB66" s="9">
        <f t="shared" si="35"/>
        <v>0.33333333333333331</v>
      </c>
      <c r="BC66" s="8">
        <v>2</v>
      </c>
      <c r="BD66" s="9">
        <f t="shared" si="9"/>
        <v>1</v>
      </c>
      <c r="BE66" s="9">
        <f t="shared" si="10"/>
        <v>1</v>
      </c>
      <c r="BF66" s="8">
        <v>2</v>
      </c>
      <c r="BG66" s="9">
        <f t="shared" si="34"/>
        <v>1</v>
      </c>
      <c r="BH66" s="9">
        <f t="shared" si="22"/>
        <v>1</v>
      </c>
      <c r="BJ66" s="8">
        <v>311</v>
      </c>
      <c r="BK66" s="9">
        <f t="shared" si="11"/>
        <v>0.68805309734513276</v>
      </c>
      <c r="BL66" s="8">
        <v>141</v>
      </c>
      <c r="BM66" s="9">
        <f t="shared" si="12"/>
        <v>0.31194690265486724</v>
      </c>
    </row>
    <row r="67" spans="1:65" x14ac:dyDescent="0.4">
      <c r="A67" s="8" t="s">
        <v>948</v>
      </c>
      <c r="B67" s="8">
        <v>96</v>
      </c>
      <c r="C67" s="8">
        <v>4</v>
      </c>
      <c r="D67" s="8">
        <v>2504</v>
      </c>
      <c r="F67" s="9">
        <f t="shared" si="1"/>
        <v>0</v>
      </c>
      <c r="H67" s="9">
        <f t="shared" si="2"/>
        <v>0</v>
      </c>
      <c r="I67" s="8">
        <v>2</v>
      </c>
      <c r="J67" s="9">
        <f t="shared" si="13"/>
        <v>0.5</v>
      </c>
      <c r="K67" s="8">
        <v>2321</v>
      </c>
      <c r="L67" s="9">
        <f t="shared" si="14"/>
        <v>0.92691693290734822</v>
      </c>
      <c r="M67" s="8">
        <v>1</v>
      </c>
      <c r="N67" s="9">
        <f t="shared" si="15"/>
        <v>0.25</v>
      </c>
      <c r="O67" s="8">
        <v>172</v>
      </c>
      <c r="P67" s="9">
        <f t="shared" si="16"/>
        <v>6.8690095846645371E-2</v>
      </c>
      <c r="R67" s="9">
        <f t="shared" si="17"/>
        <v>0</v>
      </c>
      <c r="T67" s="9">
        <f t="shared" si="18"/>
        <v>0</v>
      </c>
      <c r="U67" s="8">
        <v>1</v>
      </c>
      <c r="V67" s="9">
        <f t="shared" si="19"/>
        <v>0.25</v>
      </c>
      <c r="W67" s="8">
        <v>11</v>
      </c>
      <c r="X67" s="9">
        <f t="shared" si="23"/>
        <v>4.3929712460063896E-3</v>
      </c>
      <c r="Y67" s="8">
        <v>2</v>
      </c>
      <c r="Z67" s="9">
        <f t="shared" si="24"/>
        <v>0.5</v>
      </c>
      <c r="AA67" s="8">
        <v>2321</v>
      </c>
      <c r="AB67" s="9">
        <f t="shared" si="25"/>
        <v>0.92691693290734822</v>
      </c>
      <c r="AC67" s="8">
        <v>2</v>
      </c>
      <c r="AD67" s="9">
        <f t="shared" si="26"/>
        <v>0.5</v>
      </c>
      <c r="AE67" s="8">
        <v>183</v>
      </c>
      <c r="AF67" s="9">
        <f t="shared" si="27"/>
        <v>7.3083067092651763E-2</v>
      </c>
      <c r="AG67" s="8">
        <v>3</v>
      </c>
      <c r="AH67" s="9">
        <f t="shared" si="28"/>
        <v>0.75</v>
      </c>
      <c r="AI67" s="8">
        <v>2332</v>
      </c>
      <c r="AJ67" s="9">
        <f t="shared" si="29"/>
        <v>0.93130990415335468</v>
      </c>
      <c r="AK67" s="17">
        <f t="shared" si="3"/>
        <v>777.33333333333337</v>
      </c>
      <c r="AL67" s="17">
        <f t="shared" si="4"/>
        <v>1</v>
      </c>
      <c r="AM67" s="17">
        <f t="shared" si="5"/>
        <v>172</v>
      </c>
      <c r="AN67" s="17">
        <f t="shared" si="6"/>
        <v>172</v>
      </c>
      <c r="AP67" s="9">
        <f t="shared" si="30"/>
        <v>0</v>
      </c>
      <c r="AR67" s="9">
        <f t="shared" si="31"/>
        <v>0</v>
      </c>
      <c r="AS67" s="8">
        <v>1</v>
      </c>
      <c r="AT67" s="9">
        <f t="shared" si="32"/>
        <v>0.25</v>
      </c>
      <c r="AU67" s="8">
        <v>172</v>
      </c>
      <c r="AV67" s="9">
        <f t="shared" si="33"/>
        <v>6.8690095846645371E-2</v>
      </c>
      <c r="AX67" s="9">
        <f t="shared" si="36"/>
        <v>0</v>
      </c>
      <c r="AY67" s="9">
        <f t="shared" si="21"/>
        <v>0</v>
      </c>
      <c r="AZ67" s="8">
        <v>1</v>
      </c>
      <c r="BA67" s="9">
        <f t="shared" si="37"/>
        <v>1</v>
      </c>
      <c r="BB67" s="9">
        <f t="shared" si="35"/>
        <v>0.25</v>
      </c>
      <c r="BD67" s="9">
        <f t="shared" si="9"/>
        <v>0</v>
      </c>
      <c r="BE67" s="9" t="str">
        <f t="shared" si="10"/>
        <v/>
      </c>
      <c r="BG67" s="9">
        <f t="shared" si="34"/>
        <v>0</v>
      </c>
      <c r="BH67" s="9" t="str">
        <f t="shared" si="22"/>
        <v/>
      </c>
      <c r="BK67" s="9">
        <f t="shared" si="11"/>
        <v>0</v>
      </c>
      <c r="BL67" s="8">
        <v>172</v>
      </c>
      <c r="BM67" s="9">
        <f t="shared" si="12"/>
        <v>6.8690095846645371E-2</v>
      </c>
    </row>
    <row r="68" spans="1:65" x14ac:dyDescent="0.4">
      <c r="A68" s="8" t="s">
        <v>948</v>
      </c>
      <c r="B68" s="8">
        <v>110</v>
      </c>
      <c r="C68" s="8">
        <v>2</v>
      </c>
      <c r="D68" s="8">
        <v>1035</v>
      </c>
      <c r="F68" s="9">
        <f t="shared" ref="F68:F107" si="38">E68/$C68</f>
        <v>0</v>
      </c>
      <c r="H68" s="9">
        <f t="shared" ref="H68:H107" si="39">G68/$D68</f>
        <v>0</v>
      </c>
      <c r="I68" s="8">
        <v>2</v>
      </c>
      <c r="J68" s="9">
        <f t="shared" si="13"/>
        <v>1</v>
      </c>
      <c r="K68" s="8">
        <v>1035</v>
      </c>
      <c r="L68" s="9">
        <f t="shared" si="14"/>
        <v>1</v>
      </c>
      <c r="N68" s="9">
        <f t="shared" si="15"/>
        <v>0</v>
      </c>
      <c r="P68" s="9">
        <f t="shared" si="16"/>
        <v>0</v>
      </c>
      <c r="R68" s="9">
        <f t="shared" si="17"/>
        <v>0</v>
      </c>
      <c r="T68" s="9">
        <f t="shared" si="18"/>
        <v>0</v>
      </c>
      <c r="V68" s="9">
        <f t="shared" si="19"/>
        <v>0</v>
      </c>
      <c r="X68" s="9">
        <f t="shared" si="23"/>
        <v>0</v>
      </c>
      <c r="Y68" s="8">
        <v>2</v>
      </c>
      <c r="Z68" s="9">
        <f t="shared" si="24"/>
        <v>1</v>
      </c>
      <c r="AA68" s="8">
        <v>1035</v>
      </c>
      <c r="AB68" s="9">
        <f t="shared" si="25"/>
        <v>1</v>
      </c>
      <c r="AD68" s="9">
        <f t="shared" si="26"/>
        <v>0</v>
      </c>
      <c r="AF68" s="9">
        <f t="shared" si="27"/>
        <v>0</v>
      </c>
      <c r="AG68" s="8">
        <v>2</v>
      </c>
      <c r="AH68" s="9">
        <f t="shared" si="28"/>
        <v>1</v>
      </c>
      <c r="AI68" s="8">
        <v>1035</v>
      </c>
      <c r="AJ68" s="9">
        <f t="shared" si="29"/>
        <v>1</v>
      </c>
      <c r="AK68" s="17">
        <f t="shared" ref="AK68:AK107" si="40">IF(AG68&lt;&gt;0, AI68/AG68, "")</f>
        <v>517.5</v>
      </c>
      <c r="AL68" s="17">
        <f t="shared" ref="AL68:AL107" si="41">C68-AG68</f>
        <v>0</v>
      </c>
      <c r="AM68" s="17">
        <f t="shared" ref="AM68:AM107" si="42">D68-AI68</f>
        <v>0</v>
      </c>
      <c r="AN68" s="17" t="str">
        <f t="shared" ref="AN68:AN107" si="43">IF(AL68&lt;&gt;0, AM68/AL68, "")</f>
        <v/>
      </c>
      <c r="AP68" s="9">
        <f t="shared" si="30"/>
        <v>0</v>
      </c>
      <c r="AR68" s="9">
        <f t="shared" si="31"/>
        <v>0</v>
      </c>
      <c r="AT68" s="9">
        <f t="shared" si="32"/>
        <v>0</v>
      </c>
      <c r="AV68" s="9">
        <f t="shared" si="33"/>
        <v>0</v>
      </c>
      <c r="AX68" s="9">
        <f t="shared" si="36"/>
        <v>0</v>
      </c>
      <c r="AY68" s="9">
        <f t="shared" ref="AY68:AY107" si="44">AW68/$C68</f>
        <v>0</v>
      </c>
      <c r="BA68" s="9">
        <f t="shared" si="37"/>
        <v>0</v>
      </c>
      <c r="BB68" s="9">
        <f t="shared" si="35"/>
        <v>0</v>
      </c>
      <c r="BD68" s="9">
        <f t="shared" ref="BD68:BD107" si="45">IF(($AW68-$BI68)&lt;&gt;0, BC68/($AW68-$BI68), 0)</f>
        <v>0</v>
      </c>
      <c r="BE68" s="9" t="str">
        <f t="shared" ref="BE68:BE107" si="46">IF($AW68="", "", BD68)</f>
        <v/>
      </c>
      <c r="BG68" s="9">
        <f t="shared" ref="BG68:BG107" si="47">IF(($AW68-$BI68)&lt;&gt;0, BF68/($AW68-$BI68), 0)</f>
        <v>0</v>
      </c>
      <c r="BH68" s="9" t="str">
        <f t="shared" ref="BH68:BH107" si="48">IF($AW68="", "", BG68)</f>
        <v/>
      </c>
      <c r="BK68" s="9">
        <f t="shared" ref="BK68:BK107" si="49">BJ68/$D68</f>
        <v>0</v>
      </c>
      <c r="BM68" s="9">
        <f t="shared" ref="BM68:BM107" si="50">BL68/$D68</f>
        <v>0</v>
      </c>
    </row>
    <row r="69" spans="1:65" x14ac:dyDescent="0.4">
      <c r="A69" s="8" t="s">
        <v>948</v>
      </c>
      <c r="B69" s="8">
        <v>128</v>
      </c>
      <c r="C69" s="8">
        <v>3</v>
      </c>
      <c r="D69" s="8">
        <v>621</v>
      </c>
      <c r="F69" s="9">
        <f t="shared" si="38"/>
        <v>0</v>
      </c>
      <c r="H69" s="9">
        <f t="shared" si="39"/>
        <v>0</v>
      </c>
      <c r="I69" s="8">
        <v>1</v>
      </c>
      <c r="J69" s="9">
        <f t="shared" ref="J69:J107" si="51">I69/$C69</f>
        <v>0.33333333333333331</v>
      </c>
      <c r="K69" s="8">
        <v>347</v>
      </c>
      <c r="L69" s="9">
        <f t="shared" ref="L69:L107" si="52">K69/$D69</f>
        <v>0.55877616747181968</v>
      </c>
      <c r="M69" s="8">
        <v>2</v>
      </c>
      <c r="N69" s="9">
        <f t="shared" ref="N69:N107" si="53">M69/$C69</f>
        <v>0.66666666666666663</v>
      </c>
      <c r="O69" s="8">
        <v>274</v>
      </c>
      <c r="P69" s="9">
        <f t="shared" ref="P69:P107" si="54">O69/$D69</f>
        <v>0.44122383252818037</v>
      </c>
      <c r="R69" s="9">
        <f t="shared" ref="R69:R107" si="55">Q69/$C69</f>
        <v>0</v>
      </c>
      <c r="T69" s="9">
        <f t="shared" ref="T69:T107" si="56">S69/$D69</f>
        <v>0</v>
      </c>
      <c r="V69" s="9">
        <f t="shared" ref="V69:V107" si="57">U69/$C69</f>
        <v>0</v>
      </c>
      <c r="X69" s="9">
        <f t="shared" si="23"/>
        <v>0</v>
      </c>
      <c r="Y69" s="8">
        <v>1</v>
      </c>
      <c r="Z69" s="9">
        <f t="shared" si="24"/>
        <v>0.33333333333333331</v>
      </c>
      <c r="AA69" s="8">
        <v>347</v>
      </c>
      <c r="AB69" s="9">
        <f t="shared" si="25"/>
        <v>0.55877616747181968</v>
      </c>
      <c r="AC69" s="8">
        <v>2</v>
      </c>
      <c r="AD69" s="9">
        <f t="shared" si="26"/>
        <v>0.66666666666666663</v>
      </c>
      <c r="AE69" s="8">
        <v>274</v>
      </c>
      <c r="AF69" s="9">
        <f t="shared" si="27"/>
        <v>0.44122383252818037</v>
      </c>
      <c r="AG69" s="8">
        <v>2</v>
      </c>
      <c r="AH69" s="9">
        <f t="shared" si="28"/>
        <v>0.66666666666666663</v>
      </c>
      <c r="AI69" s="8">
        <v>580</v>
      </c>
      <c r="AJ69" s="9">
        <f t="shared" si="29"/>
        <v>0.93397745571658619</v>
      </c>
      <c r="AK69" s="17">
        <f t="shared" si="40"/>
        <v>290</v>
      </c>
      <c r="AL69" s="17">
        <f t="shared" si="41"/>
        <v>1</v>
      </c>
      <c r="AM69" s="17">
        <f t="shared" si="42"/>
        <v>41</v>
      </c>
      <c r="AN69" s="17">
        <f t="shared" si="43"/>
        <v>41</v>
      </c>
      <c r="AP69" s="9">
        <f t="shared" si="30"/>
        <v>0</v>
      </c>
      <c r="AR69" s="9">
        <f t="shared" si="31"/>
        <v>0</v>
      </c>
      <c r="AS69" s="8">
        <v>1</v>
      </c>
      <c r="AT69" s="9">
        <f t="shared" si="32"/>
        <v>0.33333333333333331</v>
      </c>
      <c r="AU69" s="8">
        <v>41</v>
      </c>
      <c r="AV69" s="9">
        <f t="shared" si="33"/>
        <v>6.602254428341385E-2</v>
      </c>
      <c r="AX69" s="9">
        <f t="shared" si="36"/>
        <v>0</v>
      </c>
      <c r="AY69" s="9">
        <f t="shared" si="44"/>
        <v>0</v>
      </c>
      <c r="AZ69" s="8">
        <v>1</v>
      </c>
      <c r="BA69" s="9">
        <f t="shared" si="37"/>
        <v>1</v>
      </c>
      <c r="BB69" s="9">
        <f t="shared" si="35"/>
        <v>0.33333333333333331</v>
      </c>
      <c r="BD69" s="9">
        <f t="shared" si="45"/>
        <v>0</v>
      </c>
      <c r="BE69" s="9" t="str">
        <f t="shared" si="46"/>
        <v/>
      </c>
      <c r="BG69" s="9">
        <f t="shared" si="47"/>
        <v>0</v>
      </c>
      <c r="BH69" s="9" t="str">
        <f t="shared" si="48"/>
        <v/>
      </c>
      <c r="BK69" s="9">
        <f t="shared" si="49"/>
        <v>0</v>
      </c>
      <c r="BL69" s="8">
        <v>41</v>
      </c>
      <c r="BM69" s="9">
        <f t="shared" si="50"/>
        <v>6.602254428341385E-2</v>
      </c>
    </row>
    <row r="70" spans="1:65" x14ac:dyDescent="0.4">
      <c r="A70" s="8" t="s">
        <v>948</v>
      </c>
      <c r="B70" s="8">
        <v>130</v>
      </c>
      <c r="C70" s="8">
        <v>5</v>
      </c>
      <c r="D70" s="8">
        <v>709</v>
      </c>
      <c r="F70" s="9">
        <f t="shared" si="38"/>
        <v>0</v>
      </c>
      <c r="H70" s="9">
        <f t="shared" si="39"/>
        <v>0</v>
      </c>
      <c r="I70" s="8">
        <v>4</v>
      </c>
      <c r="J70" s="9">
        <f t="shared" si="51"/>
        <v>0.8</v>
      </c>
      <c r="K70" s="8">
        <v>707</v>
      </c>
      <c r="L70" s="9">
        <f t="shared" si="52"/>
        <v>0.99717912552891397</v>
      </c>
      <c r="N70" s="9">
        <f t="shared" si="53"/>
        <v>0</v>
      </c>
      <c r="P70" s="9">
        <f t="shared" si="54"/>
        <v>0</v>
      </c>
      <c r="R70" s="9">
        <f t="shared" si="55"/>
        <v>0</v>
      </c>
      <c r="T70" s="9">
        <f t="shared" si="56"/>
        <v>0</v>
      </c>
      <c r="U70" s="8">
        <v>1</v>
      </c>
      <c r="V70" s="9">
        <f t="shared" si="57"/>
        <v>0.2</v>
      </c>
      <c r="W70" s="8">
        <v>2</v>
      </c>
      <c r="X70" s="9">
        <f t="shared" ref="X70:X107" si="58">W70/$D70</f>
        <v>2.8208744710860366E-3</v>
      </c>
      <c r="Y70" s="8">
        <v>4</v>
      </c>
      <c r="Z70" s="9">
        <f t="shared" ref="Z70:Z107" si="59">Y70/$C70</f>
        <v>0.8</v>
      </c>
      <c r="AA70" s="8">
        <v>707</v>
      </c>
      <c r="AB70" s="9">
        <f t="shared" ref="AB70:AB107" si="60">AA70/$D70</f>
        <v>0.99717912552891397</v>
      </c>
      <c r="AC70" s="8">
        <v>1</v>
      </c>
      <c r="AD70" s="9">
        <f t="shared" ref="AD70:AD107" si="61">AC70/$C70</f>
        <v>0.2</v>
      </c>
      <c r="AE70" s="8">
        <v>2</v>
      </c>
      <c r="AF70" s="9">
        <f t="shared" ref="AF70:AF107" si="62">AE70/$D70</f>
        <v>2.8208744710860366E-3</v>
      </c>
      <c r="AG70" s="8">
        <v>4</v>
      </c>
      <c r="AH70" s="9">
        <f t="shared" ref="AH70:AH107" si="63">AG70/$C70</f>
        <v>0.8</v>
      </c>
      <c r="AI70" s="8">
        <v>707</v>
      </c>
      <c r="AJ70" s="9">
        <f t="shared" ref="AJ70:AJ107" si="64">AI70/$D70</f>
        <v>0.99717912552891397</v>
      </c>
      <c r="AK70" s="17">
        <f t="shared" si="40"/>
        <v>176.75</v>
      </c>
      <c r="AL70" s="17">
        <f t="shared" si="41"/>
        <v>1</v>
      </c>
      <c r="AM70" s="17">
        <f t="shared" si="42"/>
        <v>2</v>
      </c>
      <c r="AN70" s="17">
        <f t="shared" si="43"/>
        <v>2</v>
      </c>
      <c r="AO70" s="8">
        <v>1</v>
      </c>
      <c r="AP70" s="9">
        <f t="shared" ref="AP70:AP107" si="65">AO70/$C70</f>
        <v>0.2</v>
      </c>
      <c r="AQ70" s="8">
        <v>2</v>
      </c>
      <c r="AR70" s="9">
        <f t="shared" ref="AR70:AR107" si="66">AQ70/$D70</f>
        <v>2.8208744710860366E-3</v>
      </c>
      <c r="AT70" s="9">
        <f t="shared" ref="AT70:AT107" si="67">AS70/$C70</f>
        <v>0</v>
      </c>
      <c r="AV70" s="9">
        <f t="shared" ref="AV70:AV107" si="68">AU70/$D70</f>
        <v>0</v>
      </c>
      <c r="AX70" s="9">
        <f t="shared" si="36"/>
        <v>0</v>
      </c>
      <c r="AY70" s="9">
        <f t="shared" si="44"/>
        <v>0</v>
      </c>
      <c r="AZ70" s="8">
        <v>1</v>
      </c>
      <c r="BA70" s="9">
        <f t="shared" si="37"/>
        <v>1</v>
      </c>
      <c r="BB70" s="9">
        <f t="shared" si="35"/>
        <v>0.2</v>
      </c>
      <c r="BD70" s="9">
        <f t="shared" si="45"/>
        <v>0</v>
      </c>
      <c r="BE70" s="9" t="str">
        <f t="shared" si="46"/>
        <v/>
      </c>
      <c r="BG70" s="9">
        <f t="shared" si="47"/>
        <v>0</v>
      </c>
      <c r="BH70" s="9" t="str">
        <f t="shared" si="48"/>
        <v/>
      </c>
      <c r="BK70" s="9">
        <f t="shared" si="49"/>
        <v>0</v>
      </c>
      <c r="BL70" s="8">
        <v>2</v>
      </c>
      <c r="BM70" s="9">
        <f t="shared" si="50"/>
        <v>2.8208744710860366E-3</v>
      </c>
    </row>
    <row r="71" spans="1:65" x14ac:dyDescent="0.4">
      <c r="A71" s="8" t="s">
        <v>948</v>
      </c>
      <c r="B71" s="8">
        <v>139</v>
      </c>
      <c r="C71" s="8">
        <v>11</v>
      </c>
      <c r="D71" s="8">
        <v>3754</v>
      </c>
      <c r="E71" s="8">
        <v>2</v>
      </c>
      <c r="F71" s="9">
        <f t="shared" si="38"/>
        <v>0.18181818181818182</v>
      </c>
      <c r="G71" s="8">
        <v>79</v>
      </c>
      <c r="H71" s="9">
        <f t="shared" si="39"/>
        <v>2.1044219499200854E-2</v>
      </c>
      <c r="I71" s="8">
        <v>5</v>
      </c>
      <c r="J71" s="9">
        <f t="shared" si="51"/>
        <v>0.45454545454545453</v>
      </c>
      <c r="K71" s="8">
        <v>3296</v>
      </c>
      <c r="L71" s="9">
        <f t="shared" si="52"/>
        <v>0.87799680340969632</v>
      </c>
      <c r="M71" s="8">
        <v>1</v>
      </c>
      <c r="N71" s="9">
        <f t="shared" si="53"/>
        <v>9.0909090909090912E-2</v>
      </c>
      <c r="O71" s="8">
        <v>144</v>
      </c>
      <c r="P71" s="9">
        <f t="shared" si="54"/>
        <v>3.8359083644112946E-2</v>
      </c>
      <c r="Q71" s="8">
        <v>2</v>
      </c>
      <c r="R71" s="9">
        <f t="shared" si="55"/>
        <v>0.18181818181818182</v>
      </c>
      <c r="S71" s="8">
        <v>232</v>
      </c>
      <c r="T71" s="9">
        <f t="shared" si="56"/>
        <v>6.1800745871070858E-2</v>
      </c>
      <c r="U71" s="8">
        <v>1</v>
      </c>
      <c r="V71" s="9">
        <f t="shared" si="57"/>
        <v>9.0909090909090912E-2</v>
      </c>
      <c r="W71" s="8">
        <v>3</v>
      </c>
      <c r="X71" s="9">
        <f t="shared" si="58"/>
        <v>7.9914757591901967E-4</v>
      </c>
      <c r="Y71" s="8">
        <v>6</v>
      </c>
      <c r="Z71" s="9">
        <f t="shared" si="59"/>
        <v>0.54545454545454541</v>
      </c>
      <c r="AA71" s="8">
        <v>3399</v>
      </c>
      <c r="AB71" s="9">
        <f t="shared" si="60"/>
        <v>0.90543420351624937</v>
      </c>
      <c r="AC71" s="8">
        <v>5</v>
      </c>
      <c r="AD71" s="9">
        <f t="shared" si="61"/>
        <v>0.45454545454545453</v>
      </c>
      <c r="AE71" s="8">
        <v>355</v>
      </c>
      <c r="AF71" s="9">
        <f t="shared" si="62"/>
        <v>9.4565796483750672E-2</v>
      </c>
      <c r="AG71" s="8">
        <v>7</v>
      </c>
      <c r="AH71" s="9">
        <f t="shared" si="63"/>
        <v>0.63636363636363635</v>
      </c>
      <c r="AI71" s="8">
        <v>3546</v>
      </c>
      <c r="AJ71" s="9">
        <f t="shared" si="64"/>
        <v>0.94459243473628129</v>
      </c>
      <c r="AK71" s="17">
        <f t="shared" si="40"/>
        <v>506.57142857142856</v>
      </c>
      <c r="AL71" s="17">
        <f t="shared" si="41"/>
        <v>4</v>
      </c>
      <c r="AM71" s="17">
        <f t="shared" si="42"/>
        <v>208</v>
      </c>
      <c r="AN71" s="17">
        <f t="shared" si="43"/>
        <v>52</v>
      </c>
      <c r="AO71" s="8">
        <v>3</v>
      </c>
      <c r="AP71" s="9">
        <f t="shared" si="65"/>
        <v>0.27272727272727271</v>
      </c>
      <c r="AQ71" s="8">
        <v>191</v>
      </c>
      <c r="AR71" s="9">
        <f t="shared" si="66"/>
        <v>5.0879062333510923E-2</v>
      </c>
      <c r="AS71" s="8">
        <v>1</v>
      </c>
      <c r="AT71" s="9">
        <f t="shared" si="67"/>
        <v>9.0909090909090912E-2</v>
      </c>
      <c r="AU71" s="8">
        <v>17</v>
      </c>
      <c r="AV71" s="9">
        <f t="shared" si="68"/>
        <v>4.5285029302077782E-3</v>
      </c>
      <c r="AW71" s="8">
        <v>2</v>
      </c>
      <c r="AX71" s="9">
        <f t="shared" si="36"/>
        <v>0.5</v>
      </c>
      <c r="AY71" s="9">
        <f t="shared" si="44"/>
        <v>0.18181818181818182</v>
      </c>
      <c r="AZ71" s="8">
        <v>2</v>
      </c>
      <c r="BA71" s="9">
        <f t="shared" si="37"/>
        <v>0.5</v>
      </c>
      <c r="BB71" s="9">
        <f t="shared" si="35"/>
        <v>0.18181818181818182</v>
      </c>
      <c r="BC71" s="8">
        <v>1</v>
      </c>
      <c r="BD71" s="9">
        <f t="shared" si="45"/>
        <v>0.5</v>
      </c>
      <c r="BE71" s="9">
        <f t="shared" si="46"/>
        <v>0.5</v>
      </c>
      <c r="BF71" s="8">
        <v>1</v>
      </c>
      <c r="BG71" s="9">
        <f t="shared" si="47"/>
        <v>0.5</v>
      </c>
      <c r="BH71" s="9">
        <f t="shared" si="48"/>
        <v>0.5</v>
      </c>
      <c r="BJ71" s="8">
        <v>188</v>
      </c>
      <c r="BK71" s="9">
        <f t="shared" si="49"/>
        <v>5.0079914757591902E-2</v>
      </c>
      <c r="BL71" s="8">
        <v>20</v>
      </c>
      <c r="BM71" s="9">
        <f t="shared" si="50"/>
        <v>5.3276505061267982E-3</v>
      </c>
    </row>
    <row r="72" spans="1:65" x14ac:dyDescent="0.4">
      <c r="A72" s="8" t="s">
        <v>948</v>
      </c>
      <c r="B72" s="8">
        <v>181</v>
      </c>
      <c r="C72" s="8">
        <v>2</v>
      </c>
      <c r="D72" s="8">
        <v>526</v>
      </c>
      <c r="F72" s="9">
        <f t="shared" si="38"/>
        <v>0</v>
      </c>
      <c r="H72" s="9">
        <f t="shared" si="39"/>
        <v>0</v>
      </c>
      <c r="I72" s="8">
        <v>2</v>
      </c>
      <c r="J72" s="9">
        <f t="shared" si="51"/>
        <v>1</v>
      </c>
      <c r="K72" s="8">
        <v>526</v>
      </c>
      <c r="L72" s="9">
        <f t="shared" si="52"/>
        <v>1</v>
      </c>
      <c r="N72" s="9">
        <f t="shared" si="53"/>
        <v>0</v>
      </c>
      <c r="P72" s="9">
        <f t="shared" si="54"/>
        <v>0</v>
      </c>
      <c r="R72" s="9">
        <f t="shared" si="55"/>
        <v>0</v>
      </c>
      <c r="T72" s="9">
        <f t="shared" si="56"/>
        <v>0</v>
      </c>
      <c r="V72" s="9">
        <f t="shared" si="57"/>
        <v>0</v>
      </c>
      <c r="X72" s="9">
        <f t="shared" si="58"/>
        <v>0</v>
      </c>
      <c r="Y72" s="8">
        <v>2</v>
      </c>
      <c r="Z72" s="9">
        <f t="shared" si="59"/>
        <v>1</v>
      </c>
      <c r="AA72" s="8">
        <v>526</v>
      </c>
      <c r="AB72" s="9">
        <f t="shared" si="60"/>
        <v>1</v>
      </c>
      <c r="AD72" s="9">
        <f t="shared" si="61"/>
        <v>0</v>
      </c>
      <c r="AF72" s="9">
        <f t="shared" si="62"/>
        <v>0</v>
      </c>
      <c r="AG72" s="8">
        <v>2</v>
      </c>
      <c r="AH72" s="9">
        <f t="shared" si="63"/>
        <v>1</v>
      </c>
      <c r="AI72" s="8">
        <v>526</v>
      </c>
      <c r="AJ72" s="9">
        <f t="shared" si="64"/>
        <v>1</v>
      </c>
      <c r="AK72" s="17">
        <f t="shared" si="40"/>
        <v>263</v>
      </c>
      <c r="AL72" s="17">
        <f t="shared" si="41"/>
        <v>0</v>
      </c>
      <c r="AM72" s="17">
        <f t="shared" si="42"/>
        <v>0</v>
      </c>
      <c r="AN72" s="17" t="str">
        <f t="shared" si="43"/>
        <v/>
      </c>
      <c r="AP72" s="9">
        <f t="shared" si="65"/>
        <v>0</v>
      </c>
      <c r="AR72" s="9">
        <f t="shared" si="66"/>
        <v>0</v>
      </c>
      <c r="AT72" s="9">
        <f t="shared" si="67"/>
        <v>0</v>
      </c>
      <c r="AV72" s="9">
        <f t="shared" si="68"/>
        <v>0</v>
      </c>
      <c r="AX72" s="9">
        <f t="shared" si="36"/>
        <v>0</v>
      </c>
      <c r="AY72" s="9">
        <f t="shared" si="44"/>
        <v>0</v>
      </c>
      <c r="BA72" s="9">
        <f t="shared" si="37"/>
        <v>0</v>
      </c>
      <c r="BB72" s="9">
        <f t="shared" ref="BB72:BB107" si="69">AZ72/$C72</f>
        <v>0</v>
      </c>
      <c r="BD72" s="9">
        <f t="shared" si="45"/>
        <v>0</v>
      </c>
      <c r="BE72" s="9" t="str">
        <f t="shared" si="46"/>
        <v/>
      </c>
      <c r="BG72" s="9">
        <f t="shared" si="47"/>
        <v>0</v>
      </c>
      <c r="BH72" s="9" t="str">
        <f t="shared" si="48"/>
        <v/>
      </c>
      <c r="BK72" s="9">
        <f t="shared" si="49"/>
        <v>0</v>
      </c>
      <c r="BM72" s="9">
        <f t="shared" si="50"/>
        <v>0</v>
      </c>
    </row>
    <row r="73" spans="1:65" x14ac:dyDescent="0.4">
      <c r="A73" s="8" t="s">
        <v>948</v>
      </c>
      <c r="B73" s="8">
        <v>191</v>
      </c>
      <c r="C73" s="8">
        <v>6</v>
      </c>
      <c r="D73" s="8">
        <v>3594</v>
      </c>
      <c r="F73" s="9">
        <f t="shared" si="38"/>
        <v>0</v>
      </c>
      <c r="H73" s="9">
        <f t="shared" si="39"/>
        <v>0</v>
      </c>
      <c r="I73" s="8">
        <v>5</v>
      </c>
      <c r="J73" s="9">
        <f t="shared" si="51"/>
        <v>0.83333333333333337</v>
      </c>
      <c r="K73" s="8">
        <v>3564</v>
      </c>
      <c r="L73" s="9">
        <f t="shared" si="52"/>
        <v>0.99165275459098501</v>
      </c>
      <c r="N73" s="9">
        <f t="shared" si="53"/>
        <v>0</v>
      </c>
      <c r="P73" s="9">
        <f t="shared" si="54"/>
        <v>0</v>
      </c>
      <c r="Q73" s="8">
        <v>1</v>
      </c>
      <c r="R73" s="9">
        <f t="shared" si="55"/>
        <v>0.16666666666666666</v>
      </c>
      <c r="S73" s="8">
        <v>30</v>
      </c>
      <c r="T73" s="9">
        <f t="shared" si="56"/>
        <v>8.3472454090150246E-3</v>
      </c>
      <c r="V73" s="9">
        <f t="shared" si="57"/>
        <v>0</v>
      </c>
      <c r="X73" s="9">
        <f t="shared" si="58"/>
        <v>0</v>
      </c>
      <c r="Y73" s="8">
        <v>4</v>
      </c>
      <c r="Z73" s="9">
        <f t="shared" si="59"/>
        <v>0.66666666666666663</v>
      </c>
      <c r="AA73" s="8">
        <v>3493</v>
      </c>
      <c r="AB73" s="9">
        <f t="shared" si="60"/>
        <v>0.97189760712298279</v>
      </c>
      <c r="AC73" s="8">
        <v>2</v>
      </c>
      <c r="AD73" s="9">
        <f t="shared" si="61"/>
        <v>0.33333333333333331</v>
      </c>
      <c r="AE73" s="8">
        <v>101</v>
      </c>
      <c r="AF73" s="9">
        <f t="shared" si="62"/>
        <v>2.8102392877017251E-2</v>
      </c>
      <c r="AG73" s="8">
        <v>4</v>
      </c>
      <c r="AH73" s="9">
        <f t="shared" si="63"/>
        <v>0.66666666666666663</v>
      </c>
      <c r="AI73" s="8">
        <v>3493</v>
      </c>
      <c r="AJ73" s="9">
        <f t="shared" si="64"/>
        <v>0.97189760712298279</v>
      </c>
      <c r="AK73" s="17">
        <f t="shared" si="40"/>
        <v>873.25</v>
      </c>
      <c r="AL73" s="17">
        <f t="shared" si="41"/>
        <v>2</v>
      </c>
      <c r="AM73" s="17">
        <f t="shared" si="42"/>
        <v>101</v>
      </c>
      <c r="AN73" s="17">
        <f t="shared" si="43"/>
        <v>50.5</v>
      </c>
      <c r="AO73" s="8">
        <v>1</v>
      </c>
      <c r="AP73" s="9">
        <f t="shared" si="65"/>
        <v>0.16666666666666666</v>
      </c>
      <c r="AQ73" s="8">
        <v>71</v>
      </c>
      <c r="AR73" s="9">
        <f t="shared" si="66"/>
        <v>1.9755147468002224E-2</v>
      </c>
      <c r="AS73" s="8">
        <v>1</v>
      </c>
      <c r="AT73" s="9">
        <f t="shared" si="67"/>
        <v>0.16666666666666666</v>
      </c>
      <c r="AU73" s="8">
        <v>30</v>
      </c>
      <c r="AV73" s="9">
        <f t="shared" si="68"/>
        <v>8.3472454090150246E-3</v>
      </c>
      <c r="AX73" s="9">
        <f t="shared" si="36"/>
        <v>0</v>
      </c>
      <c r="AY73" s="9">
        <f t="shared" si="44"/>
        <v>0</v>
      </c>
      <c r="AZ73" s="8">
        <v>2</v>
      </c>
      <c r="BA73" s="9">
        <f t="shared" si="37"/>
        <v>1</v>
      </c>
      <c r="BB73" s="9">
        <f t="shared" si="69"/>
        <v>0.33333333333333331</v>
      </c>
      <c r="BD73" s="9">
        <f t="shared" si="45"/>
        <v>0</v>
      </c>
      <c r="BE73" s="9" t="str">
        <f t="shared" si="46"/>
        <v/>
      </c>
      <c r="BG73" s="9">
        <f t="shared" si="47"/>
        <v>0</v>
      </c>
      <c r="BH73" s="9" t="str">
        <f t="shared" si="48"/>
        <v/>
      </c>
      <c r="BK73" s="9">
        <f t="shared" si="49"/>
        <v>0</v>
      </c>
      <c r="BL73" s="8">
        <v>101</v>
      </c>
      <c r="BM73" s="9">
        <f t="shared" si="50"/>
        <v>2.8102392877017251E-2</v>
      </c>
    </row>
    <row r="74" spans="1:65" x14ac:dyDescent="0.4">
      <c r="A74" s="8" t="s">
        <v>948</v>
      </c>
      <c r="B74" s="8">
        <v>192</v>
      </c>
      <c r="C74" s="8">
        <v>7</v>
      </c>
      <c r="D74" s="8">
        <v>3023</v>
      </c>
      <c r="E74" s="8">
        <v>1</v>
      </c>
      <c r="F74" s="9">
        <f t="shared" si="38"/>
        <v>0.14285714285714285</v>
      </c>
      <c r="G74" s="8">
        <v>188</v>
      </c>
      <c r="H74" s="9">
        <f t="shared" si="39"/>
        <v>6.2189877605028115E-2</v>
      </c>
      <c r="I74" s="8">
        <v>2</v>
      </c>
      <c r="J74" s="9">
        <f t="shared" si="51"/>
        <v>0.2857142857142857</v>
      </c>
      <c r="K74" s="8">
        <v>2178</v>
      </c>
      <c r="L74" s="9">
        <f t="shared" si="52"/>
        <v>0.72047634799867677</v>
      </c>
      <c r="N74" s="9">
        <f t="shared" si="53"/>
        <v>0</v>
      </c>
      <c r="P74" s="9">
        <f t="shared" si="54"/>
        <v>0</v>
      </c>
      <c r="Q74" s="8">
        <v>3</v>
      </c>
      <c r="R74" s="9">
        <f t="shared" si="55"/>
        <v>0.42857142857142855</v>
      </c>
      <c r="S74" s="8">
        <v>652</v>
      </c>
      <c r="T74" s="9">
        <f t="shared" si="56"/>
        <v>0.21567978828977838</v>
      </c>
      <c r="U74" s="8">
        <v>1</v>
      </c>
      <c r="V74" s="9">
        <f t="shared" si="57"/>
        <v>0.14285714285714285</v>
      </c>
      <c r="W74" s="8">
        <v>5</v>
      </c>
      <c r="X74" s="9">
        <f t="shared" si="58"/>
        <v>1.6539861065167053E-3</v>
      </c>
      <c r="Y74" s="8">
        <v>2</v>
      </c>
      <c r="Z74" s="9">
        <f t="shared" si="59"/>
        <v>0.2857142857142857</v>
      </c>
      <c r="AA74" s="8">
        <v>2178</v>
      </c>
      <c r="AB74" s="9">
        <f t="shared" si="60"/>
        <v>0.72047634799867677</v>
      </c>
      <c r="AC74" s="8">
        <v>5</v>
      </c>
      <c r="AD74" s="9">
        <f t="shared" si="61"/>
        <v>0.7142857142857143</v>
      </c>
      <c r="AE74" s="8">
        <v>845</v>
      </c>
      <c r="AF74" s="9">
        <f t="shared" si="62"/>
        <v>0.27952365200132318</v>
      </c>
      <c r="AG74" s="8">
        <v>6</v>
      </c>
      <c r="AH74" s="9">
        <f t="shared" si="63"/>
        <v>0.8571428571428571</v>
      </c>
      <c r="AI74" s="8">
        <v>3018</v>
      </c>
      <c r="AJ74" s="9">
        <f t="shared" si="64"/>
        <v>0.99834601389348332</v>
      </c>
      <c r="AK74" s="17">
        <f t="shared" si="40"/>
        <v>503</v>
      </c>
      <c r="AL74" s="17">
        <f t="shared" si="41"/>
        <v>1</v>
      </c>
      <c r="AM74" s="17">
        <f t="shared" si="42"/>
        <v>5</v>
      </c>
      <c r="AN74" s="17">
        <f t="shared" si="43"/>
        <v>5</v>
      </c>
      <c r="AO74" s="8">
        <v>1</v>
      </c>
      <c r="AP74" s="9">
        <f t="shared" si="65"/>
        <v>0.14285714285714285</v>
      </c>
      <c r="AQ74" s="8">
        <v>5</v>
      </c>
      <c r="AR74" s="9">
        <f t="shared" si="66"/>
        <v>1.6539861065167053E-3</v>
      </c>
      <c r="AT74" s="9">
        <f t="shared" si="67"/>
        <v>0</v>
      </c>
      <c r="AV74" s="9">
        <f t="shared" si="68"/>
        <v>0</v>
      </c>
      <c r="AX74" s="9">
        <f t="shared" si="36"/>
        <v>0</v>
      </c>
      <c r="AY74" s="9">
        <f t="shared" si="44"/>
        <v>0</v>
      </c>
      <c r="AZ74" s="8">
        <v>1</v>
      </c>
      <c r="BA74" s="9">
        <f t="shared" si="37"/>
        <v>1</v>
      </c>
      <c r="BB74" s="9">
        <f t="shared" si="69"/>
        <v>0.14285714285714285</v>
      </c>
      <c r="BD74" s="9">
        <f t="shared" si="45"/>
        <v>0</v>
      </c>
      <c r="BE74" s="9" t="str">
        <f t="shared" si="46"/>
        <v/>
      </c>
      <c r="BG74" s="9">
        <f t="shared" si="47"/>
        <v>0</v>
      </c>
      <c r="BH74" s="9" t="str">
        <f t="shared" si="48"/>
        <v/>
      </c>
      <c r="BK74" s="9">
        <f t="shared" si="49"/>
        <v>0</v>
      </c>
      <c r="BL74" s="8">
        <v>5</v>
      </c>
      <c r="BM74" s="9">
        <f t="shared" si="50"/>
        <v>1.6539861065167053E-3</v>
      </c>
    </row>
    <row r="75" spans="1:65" x14ac:dyDescent="0.4">
      <c r="A75" s="8" t="s">
        <v>948</v>
      </c>
      <c r="B75" s="8">
        <v>193</v>
      </c>
      <c r="C75" s="8">
        <v>5</v>
      </c>
      <c r="D75" s="8">
        <v>1182</v>
      </c>
      <c r="F75" s="9">
        <f t="shared" si="38"/>
        <v>0</v>
      </c>
      <c r="H75" s="9">
        <f t="shared" si="39"/>
        <v>0</v>
      </c>
      <c r="I75" s="8">
        <v>2</v>
      </c>
      <c r="J75" s="9">
        <f t="shared" si="51"/>
        <v>0.4</v>
      </c>
      <c r="K75" s="8">
        <v>910</v>
      </c>
      <c r="L75" s="9">
        <f t="shared" si="52"/>
        <v>0.76988155668358715</v>
      </c>
      <c r="N75" s="9">
        <f t="shared" si="53"/>
        <v>0</v>
      </c>
      <c r="P75" s="9">
        <f t="shared" si="54"/>
        <v>0</v>
      </c>
      <c r="Q75" s="8">
        <v>2</v>
      </c>
      <c r="R75" s="9">
        <f t="shared" si="55"/>
        <v>0.4</v>
      </c>
      <c r="S75" s="8">
        <v>265</v>
      </c>
      <c r="T75" s="9">
        <f t="shared" si="56"/>
        <v>0.22419627749576987</v>
      </c>
      <c r="U75" s="8">
        <v>1</v>
      </c>
      <c r="V75" s="9">
        <f t="shared" si="57"/>
        <v>0.2</v>
      </c>
      <c r="W75" s="8">
        <v>7</v>
      </c>
      <c r="X75" s="9">
        <f t="shared" si="58"/>
        <v>5.9221658206429781E-3</v>
      </c>
      <c r="Y75" s="8">
        <v>2</v>
      </c>
      <c r="Z75" s="9">
        <f t="shared" si="59"/>
        <v>0.4</v>
      </c>
      <c r="AA75" s="8">
        <v>910</v>
      </c>
      <c r="AB75" s="9">
        <f t="shared" si="60"/>
        <v>0.76988155668358715</v>
      </c>
      <c r="AC75" s="8">
        <v>3</v>
      </c>
      <c r="AD75" s="9">
        <f t="shared" si="61"/>
        <v>0.6</v>
      </c>
      <c r="AE75" s="8">
        <v>272</v>
      </c>
      <c r="AF75" s="9">
        <f t="shared" si="62"/>
        <v>0.23011844331641285</v>
      </c>
      <c r="AG75" s="8">
        <v>3</v>
      </c>
      <c r="AH75" s="9">
        <f t="shared" si="63"/>
        <v>0.6</v>
      </c>
      <c r="AI75" s="8">
        <v>1059</v>
      </c>
      <c r="AJ75" s="9">
        <f t="shared" si="64"/>
        <v>0.89593908629441621</v>
      </c>
      <c r="AK75" s="17">
        <f t="shared" si="40"/>
        <v>353</v>
      </c>
      <c r="AL75" s="17">
        <f t="shared" si="41"/>
        <v>2</v>
      </c>
      <c r="AM75" s="17">
        <f t="shared" si="42"/>
        <v>123</v>
      </c>
      <c r="AN75" s="17">
        <f t="shared" si="43"/>
        <v>61.5</v>
      </c>
      <c r="AO75" s="8">
        <v>2</v>
      </c>
      <c r="AP75" s="9">
        <f t="shared" si="65"/>
        <v>0.4</v>
      </c>
      <c r="AQ75" s="8">
        <v>123</v>
      </c>
      <c r="AR75" s="9">
        <f t="shared" si="66"/>
        <v>0.10406091370558376</v>
      </c>
      <c r="AT75" s="9">
        <f t="shared" si="67"/>
        <v>0</v>
      </c>
      <c r="AV75" s="9">
        <f t="shared" si="68"/>
        <v>0</v>
      </c>
      <c r="AX75" s="9">
        <f t="shared" si="36"/>
        <v>0</v>
      </c>
      <c r="AY75" s="9">
        <f t="shared" si="44"/>
        <v>0</v>
      </c>
      <c r="AZ75" s="8">
        <v>2</v>
      </c>
      <c r="BA75" s="9">
        <f t="shared" si="37"/>
        <v>1</v>
      </c>
      <c r="BB75" s="9">
        <f t="shared" si="69"/>
        <v>0.4</v>
      </c>
      <c r="BD75" s="9">
        <f t="shared" si="45"/>
        <v>0</v>
      </c>
      <c r="BE75" s="9" t="str">
        <f t="shared" si="46"/>
        <v/>
      </c>
      <c r="BG75" s="9">
        <f t="shared" si="47"/>
        <v>0</v>
      </c>
      <c r="BH75" s="9" t="str">
        <f t="shared" si="48"/>
        <v/>
      </c>
      <c r="BK75" s="9">
        <f t="shared" si="49"/>
        <v>0</v>
      </c>
      <c r="BL75" s="8">
        <v>123</v>
      </c>
      <c r="BM75" s="9">
        <f t="shared" si="50"/>
        <v>0.10406091370558376</v>
      </c>
    </row>
    <row r="76" spans="1:65" x14ac:dyDescent="0.4">
      <c r="A76" s="8" t="s">
        <v>948</v>
      </c>
      <c r="B76" s="8">
        <v>215</v>
      </c>
      <c r="C76" s="8">
        <v>2</v>
      </c>
      <c r="D76" s="8">
        <v>1878</v>
      </c>
      <c r="F76" s="9">
        <f t="shared" si="38"/>
        <v>0</v>
      </c>
      <c r="H76" s="9">
        <f t="shared" si="39"/>
        <v>0</v>
      </c>
      <c r="I76" s="8">
        <v>2</v>
      </c>
      <c r="J76" s="9">
        <f t="shared" si="51"/>
        <v>1</v>
      </c>
      <c r="K76" s="8">
        <v>1878</v>
      </c>
      <c r="L76" s="9">
        <f t="shared" si="52"/>
        <v>1</v>
      </c>
      <c r="N76" s="9">
        <f t="shared" si="53"/>
        <v>0</v>
      </c>
      <c r="P76" s="9">
        <f t="shared" si="54"/>
        <v>0</v>
      </c>
      <c r="R76" s="9">
        <f t="shared" si="55"/>
        <v>0</v>
      </c>
      <c r="T76" s="9">
        <f t="shared" si="56"/>
        <v>0</v>
      </c>
      <c r="V76" s="9">
        <f t="shared" si="57"/>
        <v>0</v>
      </c>
      <c r="X76" s="9">
        <f t="shared" si="58"/>
        <v>0</v>
      </c>
      <c r="Y76" s="8">
        <v>2</v>
      </c>
      <c r="Z76" s="9">
        <f t="shared" si="59"/>
        <v>1</v>
      </c>
      <c r="AA76" s="8">
        <v>1878</v>
      </c>
      <c r="AB76" s="9">
        <f t="shared" si="60"/>
        <v>1</v>
      </c>
      <c r="AD76" s="9">
        <f t="shared" si="61"/>
        <v>0</v>
      </c>
      <c r="AF76" s="9">
        <f t="shared" si="62"/>
        <v>0</v>
      </c>
      <c r="AG76" s="8">
        <v>2</v>
      </c>
      <c r="AH76" s="9">
        <f t="shared" si="63"/>
        <v>1</v>
      </c>
      <c r="AI76" s="8">
        <v>1878</v>
      </c>
      <c r="AJ76" s="9">
        <f t="shared" si="64"/>
        <v>1</v>
      </c>
      <c r="AK76" s="17">
        <f t="shared" si="40"/>
        <v>939</v>
      </c>
      <c r="AL76" s="17">
        <f t="shared" si="41"/>
        <v>0</v>
      </c>
      <c r="AM76" s="17">
        <f t="shared" si="42"/>
        <v>0</v>
      </c>
      <c r="AN76" s="17" t="str">
        <f t="shared" si="43"/>
        <v/>
      </c>
      <c r="AP76" s="9">
        <f t="shared" si="65"/>
        <v>0</v>
      </c>
      <c r="AR76" s="9">
        <f t="shared" si="66"/>
        <v>0</v>
      </c>
      <c r="AT76" s="9">
        <f t="shared" si="67"/>
        <v>0</v>
      </c>
      <c r="AV76" s="9">
        <f t="shared" si="68"/>
        <v>0</v>
      </c>
      <c r="AX76" s="9">
        <f t="shared" si="36"/>
        <v>0</v>
      </c>
      <c r="AY76" s="9">
        <f t="shared" si="44"/>
        <v>0</v>
      </c>
      <c r="BA76" s="9">
        <f t="shared" si="37"/>
        <v>0</v>
      </c>
      <c r="BB76" s="9">
        <f t="shared" si="69"/>
        <v>0</v>
      </c>
      <c r="BD76" s="9">
        <f t="shared" si="45"/>
        <v>0</v>
      </c>
      <c r="BE76" s="9" t="str">
        <f t="shared" si="46"/>
        <v/>
      </c>
      <c r="BG76" s="9">
        <f t="shared" si="47"/>
        <v>0</v>
      </c>
      <c r="BH76" s="9" t="str">
        <f t="shared" si="48"/>
        <v/>
      </c>
      <c r="BK76" s="9">
        <f t="shared" si="49"/>
        <v>0</v>
      </c>
      <c r="BM76" s="9">
        <f t="shared" si="50"/>
        <v>0</v>
      </c>
    </row>
    <row r="77" spans="1:65" x14ac:dyDescent="0.4">
      <c r="A77" s="8" t="s">
        <v>948</v>
      </c>
      <c r="B77" s="8">
        <v>227</v>
      </c>
      <c r="C77" s="8">
        <v>5</v>
      </c>
      <c r="D77" s="8">
        <v>1202</v>
      </c>
      <c r="F77" s="9">
        <f t="shared" si="38"/>
        <v>0</v>
      </c>
      <c r="H77" s="9">
        <f t="shared" si="39"/>
        <v>0</v>
      </c>
      <c r="I77" s="8">
        <v>2</v>
      </c>
      <c r="J77" s="9">
        <f t="shared" si="51"/>
        <v>0.4</v>
      </c>
      <c r="K77" s="8">
        <v>1141</v>
      </c>
      <c r="L77" s="9">
        <f t="shared" si="52"/>
        <v>0.94925124792013316</v>
      </c>
      <c r="M77" s="8">
        <v>1</v>
      </c>
      <c r="N77" s="9">
        <f t="shared" si="53"/>
        <v>0.2</v>
      </c>
      <c r="O77" s="8">
        <v>4</v>
      </c>
      <c r="P77" s="9">
        <f t="shared" si="54"/>
        <v>3.3277870216306157E-3</v>
      </c>
      <c r="Q77" s="8">
        <v>1</v>
      </c>
      <c r="R77" s="9">
        <f t="shared" si="55"/>
        <v>0.2</v>
      </c>
      <c r="S77" s="8">
        <v>56</v>
      </c>
      <c r="T77" s="9">
        <f t="shared" si="56"/>
        <v>4.6589018302828619E-2</v>
      </c>
      <c r="U77" s="8">
        <v>1</v>
      </c>
      <c r="V77" s="9">
        <f t="shared" si="57"/>
        <v>0.2</v>
      </c>
      <c r="W77" s="8">
        <v>1</v>
      </c>
      <c r="X77" s="9">
        <f t="shared" si="58"/>
        <v>8.3194675540765393E-4</v>
      </c>
      <c r="Y77" s="8">
        <v>2</v>
      </c>
      <c r="Z77" s="9">
        <f t="shared" si="59"/>
        <v>0.4</v>
      </c>
      <c r="AA77" s="8">
        <v>1141</v>
      </c>
      <c r="AB77" s="9">
        <f t="shared" si="60"/>
        <v>0.94925124792013316</v>
      </c>
      <c r="AC77" s="8">
        <v>3</v>
      </c>
      <c r="AD77" s="9">
        <f t="shared" si="61"/>
        <v>0.6</v>
      </c>
      <c r="AE77" s="8">
        <v>61</v>
      </c>
      <c r="AF77" s="9">
        <f t="shared" si="62"/>
        <v>5.0748752079866885E-2</v>
      </c>
      <c r="AG77" s="8">
        <v>3</v>
      </c>
      <c r="AH77" s="9">
        <f t="shared" si="63"/>
        <v>0.6</v>
      </c>
      <c r="AI77" s="8">
        <v>1197</v>
      </c>
      <c r="AJ77" s="9">
        <f t="shared" si="64"/>
        <v>0.99584026622296173</v>
      </c>
      <c r="AK77" s="17">
        <f t="shared" si="40"/>
        <v>399</v>
      </c>
      <c r="AL77" s="17">
        <f t="shared" si="41"/>
        <v>2</v>
      </c>
      <c r="AM77" s="17">
        <f t="shared" si="42"/>
        <v>5</v>
      </c>
      <c r="AN77" s="17">
        <f t="shared" si="43"/>
        <v>2.5</v>
      </c>
      <c r="AO77" s="8">
        <v>2</v>
      </c>
      <c r="AP77" s="9">
        <f t="shared" si="65"/>
        <v>0.4</v>
      </c>
      <c r="AQ77" s="8">
        <v>5</v>
      </c>
      <c r="AR77" s="9">
        <f t="shared" si="66"/>
        <v>4.1597337770382693E-3</v>
      </c>
      <c r="AT77" s="9">
        <f t="shared" si="67"/>
        <v>0</v>
      </c>
      <c r="AV77" s="9">
        <f t="shared" si="68"/>
        <v>0</v>
      </c>
      <c r="AX77" s="9">
        <f t="shared" si="36"/>
        <v>0</v>
      </c>
      <c r="AY77" s="9">
        <f t="shared" si="44"/>
        <v>0</v>
      </c>
      <c r="AZ77" s="8">
        <v>2</v>
      </c>
      <c r="BA77" s="9">
        <f t="shared" si="37"/>
        <v>1</v>
      </c>
      <c r="BB77" s="9">
        <f t="shared" si="69"/>
        <v>0.4</v>
      </c>
      <c r="BD77" s="9">
        <f t="shared" si="45"/>
        <v>0</v>
      </c>
      <c r="BE77" s="9" t="str">
        <f t="shared" si="46"/>
        <v/>
      </c>
      <c r="BG77" s="9">
        <f t="shared" si="47"/>
        <v>0</v>
      </c>
      <c r="BH77" s="9" t="str">
        <f t="shared" si="48"/>
        <v/>
      </c>
      <c r="BK77" s="9">
        <f t="shared" si="49"/>
        <v>0</v>
      </c>
      <c r="BL77" s="8">
        <v>5</v>
      </c>
      <c r="BM77" s="9">
        <f t="shared" si="50"/>
        <v>4.1597337770382693E-3</v>
      </c>
    </row>
    <row r="78" spans="1:65" x14ac:dyDescent="0.4">
      <c r="A78" s="8" t="s">
        <v>948</v>
      </c>
      <c r="B78" s="8">
        <v>228</v>
      </c>
      <c r="C78" s="8">
        <v>11</v>
      </c>
      <c r="D78" s="8">
        <v>2922</v>
      </c>
      <c r="F78" s="9">
        <f t="shared" si="38"/>
        <v>0</v>
      </c>
      <c r="H78" s="9">
        <f t="shared" si="39"/>
        <v>0</v>
      </c>
      <c r="I78" s="8">
        <v>7</v>
      </c>
      <c r="J78" s="9">
        <f t="shared" si="51"/>
        <v>0.63636363636363635</v>
      </c>
      <c r="K78" s="8">
        <v>2492</v>
      </c>
      <c r="L78" s="9">
        <f t="shared" si="52"/>
        <v>0.85284052019164958</v>
      </c>
      <c r="N78" s="9">
        <f t="shared" si="53"/>
        <v>0</v>
      </c>
      <c r="P78" s="9">
        <f t="shared" si="54"/>
        <v>0</v>
      </c>
      <c r="Q78" s="8">
        <v>2</v>
      </c>
      <c r="R78" s="9">
        <f t="shared" si="55"/>
        <v>0.18181818181818182</v>
      </c>
      <c r="S78" s="8">
        <v>426</v>
      </c>
      <c r="T78" s="9">
        <f t="shared" si="56"/>
        <v>0.14579055441478439</v>
      </c>
      <c r="U78" s="8">
        <v>2</v>
      </c>
      <c r="V78" s="9">
        <f t="shared" si="57"/>
        <v>0.18181818181818182</v>
      </c>
      <c r="W78" s="8">
        <v>4</v>
      </c>
      <c r="X78" s="9">
        <f t="shared" si="58"/>
        <v>1.3689253935660506E-3</v>
      </c>
      <c r="Y78" s="8">
        <v>5</v>
      </c>
      <c r="Z78" s="9">
        <f t="shared" si="59"/>
        <v>0.45454545454545453</v>
      </c>
      <c r="AA78" s="8">
        <v>2358</v>
      </c>
      <c r="AB78" s="9">
        <f t="shared" si="60"/>
        <v>0.80698151950718688</v>
      </c>
      <c r="AC78" s="8">
        <v>6</v>
      </c>
      <c r="AD78" s="9">
        <f t="shared" si="61"/>
        <v>0.54545454545454541</v>
      </c>
      <c r="AE78" s="8">
        <v>564</v>
      </c>
      <c r="AF78" s="9">
        <f t="shared" si="62"/>
        <v>0.19301848049281314</v>
      </c>
      <c r="AG78" s="8">
        <v>7</v>
      </c>
      <c r="AH78" s="9">
        <f t="shared" si="63"/>
        <v>0.63636363636363635</v>
      </c>
      <c r="AI78" s="8">
        <v>2492</v>
      </c>
      <c r="AJ78" s="9">
        <f t="shared" si="64"/>
        <v>0.85284052019164958</v>
      </c>
      <c r="AK78" s="17">
        <f t="shared" si="40"/>
        <v>356</v>
      </c>
      <c r="AL78" s="17">
        <f t="shared" si="41"/>
        <v>4</v>
      </c>
      <c r="AM78" s="17">
        <f t="shared" si="42"/>
        <v>430</v>
      </c>
      <c r="AN78" s="17">
        <f t="shared" si="43"/>
        <v>107.5</v>
      </c>
      <c r="AO78" s="8">
        <v>2</v>
      </c>
      <c r="AP78" s="9">
        <f t="shared" si="65"/>
        <v>0.18181818181818182</v>
      </c>
      <c r="AQ78" s="8">
        <v>69</v>
      </c>
      <c r="AR78" s="9">
        <f t="shared" si="66"/>
        <v>2.3613963039014373E-2</v>
      </c>
      <c r="AS78" s="8">
        <v>2</v>
      </c>
      <c r="AT78" s="9">
        <f t="shared" si="67"/>
        <v>0.18181818181818182</v>
      </c>
      <c r="AU78" s="8">
        <v>361</v>
      </c>
      <c r="AV78" s="9">
        <f t="shared" si="68"/>
        <v>0.12354551676933608</v>
      </c>
      <c r="AX78" s="9">
        <f t="shared" si="36"/>
        <v>0</v>
      </c>
      <c r="AY78" s="9">
        <f t="shared" si="44"/>
        <v>0</v>
      </c>
      <c r="AZ78" s="8">
        <v>4</v>
      </c>
      <c r="BA78" s="9">
        <f t="shared" si="37"/>
        <v>1</v>
      </c>
      <c r="BB78" s="9">
        <f t="shared" si="69"/>
        <v>0.36363636363636365</v>
      </c>
      <c r="BD78" s="9">
        <f t="shared" si="45"/>
        <v>0</v>
      </c>
      <c r="BE78" s="9" t="str">
        <f t="shared" si="46"/>
        <v/>
      </c>
      <c r="BG78" s="9">
        <f t="shared" si="47"/>
        <v>0</v>
      </c>
      <c r="BH78" s="9" t="str">
        <f t="shared" si="48"/>
        <v/>
      </c>
      <c r="BK78" s="9">
        <f t="shared" si="49"/>
        <v>0</v>
      </c>
      <c r="BL78" s="8">
        <v>430</v>
      </c>
      <c r="BM78" s="9">
        <f t="shared" si="50"/>
        <v>0.14715947980835045</v>
      </c>
    </row>
    <row r="79" spans="1:65" x14ac:dyDescent="0.4">
      <c r="A79" s="8" t="s">
        <v>948</v>
      </c>
      <c r="B79" s="8">
        <v>241</v>
      </c>
      <c r="C79" s="8">
        <v>6</v>
      </c>
      <c r="D79" s="8">
        <v>1577</v>
      </c>
      <c r="F79" s="9">
        <f t="shared" si="38"/>
        <v>0</v>
      </c>
      <c r="H79" s="9">
        <f t="shared" si="39"/>
        <v>0</v>
      </c>
      <c r="I79" s="8">
        <v>6</v>
      </c>
      <c r="J79" s="9">
        <f t="shared" si="51"/>
        <v>1</v>
      </c>
      <c r="K79" s="8">
        <v>1577</v>
      </c>
      <c r="L79" s="9">
        <f t="shared" si="52"/>
        <v>1</v>
      </c>
      <c r="N79" s="9">
        <f t="shared" si="53"/>
        <v>0</v>
      </c>
      <c r="P79" s="9">
        <f t="shared" si="54"/>
        <v>0</v>
      </c>
      <c r="R79" s="9">
        <f t="shared" si="55"/>
        <v>0</v>
      </c>
      <c r="T79" s="9">
        <f t="shared" si="56"/>
        <v>0</v>
      </c>
      <c r="V79" s="9">
        <f t="shared" si="57"/>
        <v>0</v>
      </c>
      <c r="X79" s="9">
        <f t="shared" si="58"/>
        <v>0</v>
      </c>
      <c r="Y79" s="8">
        <v>6</v>
      </c>
      <c r="Z79" s="9">
        <f t="shared" si="59"/>
        <v>1</v>
      </c>
      <c r="AA79" s="8">
        <v>1577</v>
      </c>
      <c r="AB79" s="9">
        <f t="shared" si="60"/>
        <v>1</v>
      </c>
      <c r="AD79" s="9">
        <f t="shared" si="61"/>
        <v>0</v>
      </c>
      <c r="AF79" s="9">
        <f t="shared" si="62"/>
        <v>0</v>
      </c>
      <c r="AG79" s="8">
        <v>6</v>
      </c>
      <c r="AH79" s="9">
        <f t="shared" si="63"/>
        <v>1</v>
      </c>
      <c r="AI79" s="8">
        <v>1577</v>
      </c>
      <c r="AJ79" s="9">
        <f t="shared" si="64"/>
        <v>1</v>
      </c>
      <c r="AK79" s="17">
        <f t="shared" si="40"/>
        <v>262.83333333333331</v>
      </c>
      <c r="AL79" s="17">
        <f t="shared" si="41"/>
        <v>0</v>
      </c>
      <c r="AM79" s="17">
        <f t="shared" si="42"/>
        <v>0</v>
      </c>
      <c r="AN79" s="17" t="str">
        <f t="shared" si="43"/>
        <v/>
      </c>
      <c r="AP79" s="9">
        <f t="shared" si="65"/>
        <v>0</v>
      </c>
      <c r="AR79" s="9">
        <f t="shared" si="66"/>
        <v>0</v>
      </c>
      <c r="AT79" s="9">
        <f t="shared" si="67"/>
        <v>0</v>
      </c>
      <c r="AV79" s="9">
        <f t="shared" si="68"/>
        <v>0</v>
      </c>
      <c r="AX79" s="9">
        <f t="shared" si="36"/>
        <v>0</v>
      </c>
      <c r="AY79" s="9">
        <f t="shared" si="44"/>
        <v>0</v>
      </c>
      <c r="BA79" s="9">
        <f t="shared" si="37"/>
        <v>0</v>
      </c>
      <c r="BB79" s="9">
        <f t="shared" si="69"/>
        <v>0</v>
      </c>
      <c r="BD79" s="9">
        <f t="shared" si="45"/>
        <v>0</v>
      </c>
      <c r="BE79" s="9" t="str">
        <f t="shared" si="46"/>
        <v/>
      </c>
      <c r="BG79" s="9">
        <f t="shared" si="47"/>
        <v>0</v>
      </c>
      <c r="BH79" s="9" t="str">
        <f t="shared" si="48"/>
        <v/>
      </c>
      <c r="BK79" s="9">
        <f t="shared" si="49"/>
        <v>0</v>
      </c>
      <c r="BM79" s="9">
        <f t="shared" si="50"/>
        <v>0</v>
      </c>
    </row>
    <row r="80" spans="1:65" x14ac:dyDescent="0.4">
      <c r="A80" s="8" t="s">
        <v>948</v>
      </c>
      <c r="B80" s="8">
        <v>243</v>
      </c>
      <c r="C80" s="8">
        <v>5</v>
      </c>
      <c r="D80" s="8">
        <v>1992</v>
      </c>
      <c r="F80" s="9">
        <f t="shared" si="38"/>
        <v>0</v>
      </c>
      <c r="H80" s="9">
        <f t="shared" si="39"/>
        <v>0</v>
      </c>
      <c r="I80" s="8">
        <v>3</v>
      </c>
      <c r="J80" s="9">
        <f t="shared" si="51"/>
        <v>0.6</v>
      </c>
      <c r="K80" s="8">
        <v>1960</v>
      </c>
      <c r="L80" s="9">
        <f t="shared" si="52"/>
        <v>0.98393574297188757</v>
      </c>
      <c r="N80" s="9">
        <f t="shared" si="53"/>
        <v>0</v>
      </c>
      <c r="P80" s="9">
        <f t="shared" si="54"/>
        <v>0</v>
      </c>
      <c r="Q80" s="8">
        <v>1</v>
      </c>
      <c r="R80" s="9">
        <f t="shared" si="55"/>
        <v>0.2</v>
      </c>
      <c r="S80" s="8">
        <v>22</v>
      </c>
      <c r="T80" s="9">
        <f t="shared" si="56"/>
        <v>1.104417670682731E-2</v>
      </c>
      <c r="U80" s="8">
        <v>1</v>
      </c>
      <c r="V80" s="9">
        <f t="shared" si="57"/>
        <v>0.2</v>
      </c>
      <c r="W80" s="8">
        <v>10</v>
      </c>
      <c r="X80" s="9">
        <f t="shared" si="58"/>
        <v>5.0200803212851405E-3</v>
      </c>
      <c r="Y80" s="8">
        <v>3</v>
      </c>
      <c r="Z80" s="9">
        <f t="shared" si="59"/>
        <v>0.6</v>
      </c>
      <c r="AA80" s="8">
        <v>1960</v>
      </c>
      <c r="AB80" s="9">
        <f t="shared" si="60"/>
        <v>0.98393574297188757</v>
      </c>
      <c r="AC80" s="8">
        <v>2</v>
      </c>
      <c r="AD80" s="9">
        <f t="shared" si="61"/>
        <v>0.4</v>
      </c>
      <c r="AE80" s="8">
        <v>32</v>
      </c>
      <c r="AF80" s="9">
        <f t="shared" si="62"/>
        <v>1.6064257028112448E-2</v>
      </c>
      <c r="AG80" s="8">
        <v>4</v>
      </c>
      <c r="AH80" s="9">
        <f t="shared" si="63"/>
        <v>0.8</v>
      </c>
      <c r="AI80" s="8">
        <v>1982</v>
      </c>
      <c r="AJ80" s="9">
        <f t="shared" si="64"/>
        <v>0.99497991967871491</v>
      </c>
      <c r="AK80" s="17">
        <f t="shared" si="40"/>
        <v>495.5</v>
      </c>
      <c r="AL80" s="17">
        <f t="shared" si="41"/>
        <v>1</v>
      </c>
      <c r="AM80" s="17">
        <f t="shared" si="42"/>
        <v>10</v>
      </c>
      <c r="AN80" s="17">
        <f t="shared" si="43"/>
        <v>10</v>
      </c>
      <c r="AO80" s="8">
        <v>1</v>
      </c>
      <c r="AP80" s="9">
        <f t="shared" si="65"/>
        <v>0.2</v>
      </c>
      <c r="AQ80" s="8">
        <v>10</v>
      </c>
      <c r="AR80" s="9">
        <f t="shared" si="66"/>
        <v>5.0200803212851405E-3</v>
      </c>
      <c r="AT80" s="9">
        <f t="shared" si="67"/>
        <v>0</v>
      </c>
      <c r="AV80" s="9">
        <f t="shared" si="68"/>
        <v>0</v>
      </c>
      <c r="AX80" s="9">
        <f t="shared" si="36"/>
        <v>0</v>
      </c>
      <c r="AY80" s="9">
        <f t="shared" si="44"/>
        <v>0</v>
      </c>
      <c r="AZ80" s="8">
        <v>1</v>
      </c>
      <c r="BA80" s="9">
        <f t="shared" si="37"/>
        <v>1</v>
      </c>
      <c r="BB80" s="9">
        <f t="shared" si="69"/>
        <v>0.2</v>
      </c>
      <c r="BD80" s="9">
        <f t="shared" si="45"/>
        <v>0</v>
      </c>
      <c r="BE80" s="9" t="str">
        <f t="shared" si="46"/>
        <v/>
      </c>
      <c r="BG80" s="9">
        <f t="shared" si="47"/>
        <v>0</v>
      </c>
      <c r="BH80" s="9" t="str">
        <f t="shared" si="48"/>
        <v/>
      </c>
      <c r="BK80" s="9">
        <f t="shared" si="49"/>
        <v>0</v>
      </c>
      <c r="BL80" s="8">
        <v>10</v>
      </c>
      <c r="BM80" s="9">
        <f t="shared" si="50"/>
        <v>5.0200803212851405E-3</v>
      </c>
    </row>
    <row r="81" spans="1:65" x14ac:dyDescent="0.4">
      <c r="A81" s="8" t="s">
        <v>948</v>
      </c>
      <c r="B81" s="8">
        <v>248</v>
      </c>
      <c r="C81" s="8">
        <v>1</v>
      </c>
      <c r="D81" s="8">
        <v>9</v>
      </c>
      <c r="F81" s="9">
        <f t="shared" si="38"/>
        <v>0</v>
      </c>
      <c r="H81" s="9">
        <f t="shared" si="39"/>
        <v>0</v>
      </c>
      <c r="J81" s="9">
        <f t="shared" si="51"/>
        <v>0</v>
      </c>
      <c r="L81" s="9">
        <f t="shared" si="52"/>
        <v>0</v>
      </c>
      <c r="N81" s="9">
        <f t="shared" si="53"/>
        <v>0</v>
      </c>
      <c r="P81" s="9">
        <f t="shared" si="54"/>
        <v>0</v>
      </c>
      <c r="R81" s="9">
        <f t="shared" si="55"/>
        <v>0</v>
      </c>
      <c r="T81" s="9">
        <f t="shared" si="56"/>
        <v>0</v>
      </c>
      <c r="U81" s="8">
        <v>1</v>
      </c>
      <c r="V81" s="9">
        <f t="shared" si="57"/>
        <v>1</v>
      </c>
      <c r="W81" s="8">
        <v>9</v>
      </c>
      <c r="X81" s="9">
        <f t="shared" si="58"/>
        <v>1</v>
      </c>
      <c r="Z81" s="9">
        <f t="shared" si="59"/>
        <v>0</v>
      </c>
      <c r="AB81" s="9">
        <f t="shared" si="60"/>
        <v>0</v>
      </c>
      <c r="AC81" s="8">
        <v>1</v>
      </c>
      <c r="AD81" s="9">
        <f t="shared" si="61"/>
        <v>1</v>
      </c>
      <c r="AE81" s="8">
        <v>9</v>
      </c>
      <c r="AF81" s="9">
        <f t="shared" si="62"/>
        <v>1</v>
      </c>
      <c r="AH81" s="9">
        <f t="shared" si="63"/>
        <v>0</v>
      </c>
      <c r="AJ81" s="9">
        <f t="shared" si="64"/>
        <v>0</v>
      </c>
      <c r="AK81" s="17" t="str">
        <f t="shared" si="40"/>
        <v/>
      </c>
      <c r="AL81" s="17">
        <f t="shared" si="41"/>
        <v>1</v>
      </c>
      <c r="AM81" s="17">
        <f t="shared" si="42"/>
        <v>9</v>
      </c>
      <c r="AN81" s="17">
        <f t="shared" si="43"/>
        <v>9</v>
      </c>
      <c r="AO81" s="8">
        <v>1</v>
      </c>
      <c r="AP81" s="9">
        <f t="shared" si="65"/>
        <v>1</v>
      </c>
      <c r="AQ81" s="8">
        <v>9</v>
      </c>
      <c r="AR81" s="9">
        <f t="shared" si="66"/>
        <v>1</v>
      </c>
      <c r="AT81" s="9">
        <f t="shared" si="67"/>
        <v>0</v>
      </c>
      <c r="AV81" s="9">
        <f t="shared" si="68"/>
        <v>0</v>
      </c>
      <c r="AX81" s="9">
        <f t="shared" si="36"/>
        <v>0</v>
      </c>
      <c r="AY81" s="9">
        <f t="shared" si="44"/>
        <v>0</v>
      </c>
      <c r="AZ81" s="8">
        <v>1</v>
      </c>
      <c r="BA81" s="9">
        <f t="shared" si="37"/>
        <v>1</v>
      </c>
      <c r="BB81" s="9">
        <f t="shared" si="69"/>
        <v>1</v>
      </c>
      <c r="BD81" s="9">
        <f t="shared" si="45"/>
        <v>0</v>
      </c>
      <c r="BE81" s="9" t="str">
        <f t="shared" si="46"/>
        <v/>
      </c>
      <c r="BG81" s="9">
        <f t="shared" si="47"/>
        <v>0</v>
      </c>
      <c r="BH81" s="9" t="str">
        <f t="shared" si="48"/>
        <v/>
      </c>
      <c r="BK81" s="9">
        <f t="shared" si="49"/>
        <v>0</v>
      </c>
      <c r="BL81" s="8">
        <v>9</v>
      </c>
      <c r="BM81" s="9">
        <f t="shared" si="50"/>
        <v>1</v>
      </c>
    </row>
    <row r="82" spans="1:65" x14ac:dyDescent="0.4">
      <c r="A82" s="8" t="s">
        <v>948</v>
      </c>
      <c r="B82" s="8">
        <v>255</v>
      </c>
      <c r="C82" s="8">
        <v>23</v>
      </c>
      <c r="D82" s="8">
        <v>2191</v>
      </c>
      <c r="E82" s="8">
        <v>1</v>
      </c>
      <c r="F82" s="9">
        <f t="shared" si="38"/>
        <v>4.3478260869565216E-2</v>
      </c>
      <c r="G82" s="8">
        <v>629</v>
      </c>
      <c r="H82" s="9">
        <f t="shared" si="39"/>
        <v>0.28708352350524874</v>
      </c>
      <c r="I82" s="8">
        <v>3</v>
      </c>
      <c r="J82" s="9">
        <f t="shared" si="51"/>
        <v>0.13043478260869565</v>
      </c>
      <c r="K82" s="8">
        <v>995</v>
      </c>
      <c r="L82" s="9">
        <f t="shared" si="52"/>
        <v>0.45413053400273845</v>
      </c>
      <c r="M82" s="8">
        <v>3</v>
      </c>
      <c r="N82" s="9">
        <f t="shared" si="53"/>
        <v>0.13043478260869565</v>
      </c>
      <c r="O82" s="8">
        <v>176</v>
      </c>
      <c r="P82" s="9">
        <f t="shared" si="54"/>
        <v>8.0328617069831132E-2</v>
      </c>
      <c r="Q82" s="8">
        <v>4</v>
      </c>
      <c r="R82" s="9">
        <f t="shared" si="55"/>
        <v>0.17391304347826086</v>
      </c>
      <c r="S82" s="8">
        <v>266</v>
      </c>
      <c r="T82" s="9">
        <f t="shared" si="56"/>
        <v>0.12140575079872204</v>
      </c>
      <c r="U82" s="8">
        <v>12</v>
      </c>
      <c r="V82" s="9">
        <f t="shared" si="57"/>
        <v>0.52173913043478259</v>
      </c>
      <c r="W82" s="8">
        <v>125</v>
      </c>
      <c r="X82" s="9">
        <f t="shared" si="58"/>
        <v>5.7051574623459604E-2</v>
      </c>
      <c r="Y82" s="8">
        <v>4</v>
      </c>
      <c r="Z82" s="9">
        <f t="shared" si="59"/>
        <v>0.17391304347826086</v>
      </c>
      <c r="AA82" s="8">
        <v>1645</v>
      </c>
      <c r="AB82" s="9">
        <f t="shared" si="60"/>
        <v>0.75079872204472842</v>
      </c>
      <c r="AC82" s="8">
        <v>19</v>
      </c>
      <c r="AD82" s="9">
        <f t="shared" si="61"/>
        <v>0.82608695652173914</v>
      </c>
      <c r="AE82" s="8">
        <v>546</v>
      </c>
      <c r="AF82" s="9">
        <f t="shared" si="62"/>
        <v>0.24920127795527156</v>
      </c>
      <c r="AG82" s="8">
        <v>12</v>
      </c>
      <c r="AH82" s="9">
        <f t="shared" si="63"/>
        <v>0.52173913043478259</v>
      </c>
      <c r="AI82" s="8">
        <v>1987</v>
      </c>
      <c r="AJ82" s="9">
        <f t="shared" si="64"/>
        <v>0.90689183021451392</v>
      </c>
      <c r="AK82" s="17">
        <f t="shared" si="40"/>
        <v>165.58333333333334</v>
      </c>
      <c r="AL82" s="17">
        <f t="shared" si="41"/>
        <v>11</v>
      </c>
      <c r="AM82" s="17">
        <f t="shared" si="42"/>
        <v>204</v>
      </c>
      <c r="AN82" s="17">
        <f t="shared" si="43"/>
        <v>18.545454545454547</v>
      </c>
      <c r="AO82" s="8">
        <v>9</v>
      </c>
      <c r="AP82" s="9">
        <f t="shared" si="65"/>
        <v>0.39130434782608697</v>
      </c>
      <c r="AQ82" s="8">
        <v>140</v>
      </c>
      <c r="AR82" s="9">
        <f t="shared" si="66"/>
        <v>6.3897763578274758E-2</v>
      </c>
      <c r="AS82" s="8">
        <v>2</v>
      </c>
      <c r="AT82" s="9">
        <f t="shared" si="67"/>
        <v>8.6956521739130432E-2</v>
      </c>
      <c r="AU82" s="8">
        <v>64</v>
      </c>
      <c r="AV82" s="9">
        <f t="shared" si="68"/>
        <v>2.9210406207211319E-2</v>
      </c>
      <c r="AX82" s="9">
        <f t="shared" si="36"/>
        <v>0</v>
      </c>
      <c r="AY82" s="9">
        <f t="shared" si="44"/>
        <v>0</v>
      </c>
      <c r="AZ82" s="8">
        <v>11</v>
      </c>
      <c r="BA82" s="9">
        <f t="shared" si="37"/>
        <v>1</v>
      </c>
      <c r="BB82" s="9">
        <f t="shared" si="69"/>
        <v>0.47826086956521741</v>
      </c>
      <c r="BD82" s="9">
        <f t="shared" si="45"/>
        <v>0</v>
      </c>
      <c r="BE82" s="9" t="str">
        <f t="shared" si="46"/>
        <v/>
      </c>
      <c r="BG82" s="9">
        <f t="shared" si="47"/>
        <v>0</v>
      </c>
      <c r="BH82" s="9" t="str">
        <f t="shared" si="48"/>
        <v/>
      </c>
      <c r="BK82" s="9">
        <f t="shared" si="49"/>
        <v>0</v>
      </c>
      <c r="BL82" s="8">
        <v>204</v>
      </c>
      <c r="BM82" s="9">
        <f t="shared" si="50"/>
        <v>9.3108169785486083E-2</v>
      </c>
    </row>
    <row r="83" spans="1:65" x14ac:dyDescent="0.4">
      <c r="A83" s="8" t="s">
        <v>948</v>
      </c>
      <c r="B83" s="8">
        <v>256</v>
      </c>
      <c r="C83" s="8">
        <v>21</v>
      </c>
      <c r="D83" s="8">
        <v>3451</v>
      </c>
      <c r="F83" s="9">
        <f t="shared" si="38"/>
        <v>0</v>
      </c>
      <c r="H83" s="9">
        <f t="shared" si="39"/>
        <v>0</v>
      </c>
      <c r="I83" s="8">
        <v>3</v>
      </c>
      <c r="J83" s="9">
        <f t="shared" si="51"/>
        <v>0.14285714285714285</v>
      </c>
      <c r="K83" s="8">
        <v>2821</v>
      </c>
      <c r="L83" s="9">
        <f t="shared" si="52"/>
        <v>0.81744421906693709</v>
      </c>
      <c r="M83" s="8">
        <v>12</v>
      </c>
      <c r="N83" s="9">
        <f t="shared" si="53"/>
        <v>0.5714285714285714</v>
      </c>
      <c r="O83" s="8">
        <v>197</v>
      </c>
      <c r="P83" s="9">
        <f t="shared" si="54"/>
        <v>5.7084902926687914E-2</v>
      </c>
      <c r="Q83" s="8">
        <v>2</v>
      </c>
      <c r="R83" s="9">
        <f t="shared" si="55"/>
        <v>9.5238095238095233E-2</v>
      </c>
      <c r="S83" s="8">
        <v>160</v>
      </c>
      <c r="T83" s="9">
        <f t="shared" si="56"/>
        <v>4.636337293538105E-2</v>
      </c>
      <c r="U83" s="8">
        <v>4</v>
      </c>
      <c r="V83" s="9">
        <f t="shared" si="57"/>
        <v>0.19047619047619047</v>
      </c>
      <c r="W83" s="8">
        <v>273</v>
      </c>
      <c r="X83" s="9">
        <f t="shared" si="58"/>
        <v>7.9107505070993914E-2</v>
      </c>
      <c r="Y83" s="8">
        <v>3</v>
      </c>
      <c r="Z83" s="9">
        <f t="shared" si="59"/>
        <v>0.14285714285714285</v>
      </c>
      <c r="AA83" s="8">
        <v>2821</v>
      </c>
      <c r="AB83" s="9">
        <f t="shared" si="60"/>
        <v>0.81744421906693709</v>
      </c>
      <c r="AC83" s="8">
        <v>18</v>
      </c>
      <c r="AD83" s="9">
        <f t="shared" si="61"/>
        <v>0.8571428571428571</v>
      </c>
      <c r="AE83" s="8">
        <v>630</v>
      </c>
      <c r="AF83" s="9">
        <f t="shared" si="62"/>
        <v>0.18255578093306288</v>
      </c>
      <c r="AG83" s="8">
        <v>16</v>
      </c>
      <c r="AH83" s="9">
        <f t="shared" si="63"/>
        <v>0.76190476190476186</v>
      </c>
      <c r="AI83" s="8">
        <v>3385</v>
      </c>
      <c r="AJ83" s="9">
        <f t="shared" si="64"/>
        <v>0.98087510866415528</v>
      </c>
      <c r="AK83" s="17">
        <f t="shared" si="40"/>
        <v>211.5625</v>
      </c>
      <c r="AL83" s="17">
        <f t="shared" si="41"/>
        <v>5</v>
      </c>
      <c r="AM83" s="17">
        <f t="shared" si="42"/>
        <v>66</v>
      </c>
      <c r="AN83" s="17">
        <f t="shared" si="43"/>
        <v>13.2</v>
      </c>
      <c r="AO83" s="8">
        <v>4</v>
      </c>
      <c r="AP83" s="9">
        <f t="shared" si="65"/>
        <v>0.19047619047619047</v>
      </c>
      <c r="AQ83" s="8">
        <v>26</v>
      </c>
      <c r="AR83" s="9">
        <f t="shared" si="66"/>
        <v>7.5340481019994208E-3</v>
      </c>
      <c r="AS83" s="8">
        <v>1</v>
      </c>
      <c r="AT83" s="9">
        <f t="shared" si="67"/>
        <v>4.7619047619047616E-2</v>
      </c>
      <c r="AU83" s="8">
        <v>40</v>
      </c>
      <c r="AV83" s="9">
        <f t="shared" si="68"/>
        <v>1.1590843233845263E-2</v>
      </c>
      <c r="AX83" s="9">
        <f t="shared" si="36"/>
        <v>0</v>
      </c>
      <c r="AY83" s="9">
        <f t="shared" si="44"/>
        <v>0</v>
      </c>
      <c r="AZ83" s="8">
        <v>5</v>
      </c>
      <c r="BA83" s="9">
        <f t="shared" si="37"/>
        <v>1</v>
      </c>
      <c r="BB83" s="9">
        <f t="shared" si="69"/>
        <v>0.23809523809523808</v>
      </c>
      <c r="BD83" s="9">
        <f t="shared" si="45"/>
        <v>0</v>
      </c>
      <c r="BE83" s="9" t="str">
        <f t="shared" si="46"/>
        <v/>
      </c>
      <c r="BG83" s="9">
        <f t="shared" si="47"/>
        <v>0</v>
      </c>
      <c r="BH83" s="9" t="str">
        <f t="shared" si="48"/>
        <v/>
      </c>
      <c r="BK83" s="9">
        <f t="shared" si="49"/>
        <v>0</v>
      </c>
      <c r="BL83" s="8">
        <v>66</v>
      </c>
      <c r="BM83" s="9">
        <f t="shared" si="50"/>
        <v>1.9124891335844683E-2</v>
      </c>
    </row>
    <row r="84" spans="1:65" x14ac:dyDescent="0.4">
      <c r="A84" s="8" t="s">
        <v>948</v>
      </c>
      <c r="B84" s="8">
        <v>275</v>
      </c>
      <c r="C84" s="8">
        <v>11</v>
      </c>
      <c r="D84" s="8">
        <v>3005</v>
      </c>
      <c r="F84" s="9">
        <f t="shared" si="38"/>
        <v>0</v>
      </c>
      <c r="H84" s="9">
        <f t="shared" si="39"/>
        <v>0</v>
      </c>
      <c r="I84" s="8">
        <v>6</v>
      </c>
      <c r="J84" s="9">
        <f t="shared" si="51"/>
        <v>0.54545454545454541</v>
      </c>
      <c r="K84" s="8">
        <v>2831</v>
      </c>
      <c r="L84" s="9">
        <f t="shared" si="52"/>
        <v>0.94209650582362725</v>
      </c>
      <c r="N84" s="9">
        <f t="shared" si="53"/>
        <v>0</v>
      </c>
      <c r="P84" s="9">
        <f t="shared" si="54"/>
        <v>0</v>
      </c>
      <c r="Q84" s="8">
        <v>1</v>
      </c>
      <c r="R84" s="9">
        <f t="shared" si="55"/>
        <v>9.0909090909090912E-2</v>
      </c>
      <c r="S84" s="8">
        <v>155</v>
      </c>
      <c r="T84" s="9">
        <f t="shared" si="56"/>
        <v>5.1580698835274545E-2</v>
      </c>
      <c r="U84" s="8">
        <v>4</v>
      </c>
      <c r="V84" s="9">
        <f t="shared" si="57"/>
        <v>0.36363636363636365</v>
      </c>
      <c r="W84" s="8">
        <v>19</v>
      </c>
      <c r="X84" s="9">
        <f t="shared" si="58"/>
        <v>6.3227953410981697E-3</v>
      </c>
      <c r="Y84" s="8">
        <v>4</v>
      </c>
      <c r="Z84" s="9">
        <f t="shared" si="59"/>
        <v>0.36363636363636365</v>
      </c>
      <c r="AA84" s="8">
        <v>2397</v>
      </c>
      <c r="AB84" s="9">
        <f t="shared" si="60"/>
        <v>0.79767054908485857</v>
      </c>
      <c r="AC84" s="8">
        <v>7</v>
      </c>
      <c r="AD84" s="9">
        <f t="shared" si="61"/>
        <v>0.63636363636363635</v>
      </c>
      <c r="AE84" s="8">
        <v>608</v>
      </c>
      <c r="AF84" s="9">
        <f t="shared" si="62"/>
        <v>0.20232945091514143</v>
      </c>
      <c r="AG84" s="8">
        <v>7</v>
      </c>
      <c r="AH84" s="9">
        <f t="shared" si="63"/>
        <v>0.63636363636363635</v>
      </c>
      <c r="AI84" s="8">
        <v>2834</v>
      </c>
      <c r="AJ84" s="9">
        <f t="shared" si="64"/>
        <v>0.9430948419301165</v>
      </c>
      <c r="AK84" s="17">
        <f t="shared" si="40"/>
        <v>404.85714285714283</v>
      </c>
      <c r="AL84" s="17">
        <f t="shared" si="41"/>
        <v>4</v>
      </c>
      <c r="AM84" s="17">
        <f t="shared" si="42"/>
        <v>171</v>
      </c>
      <c r="AN84" s="17">
        <f t="shared" si="43"/>
        <v>42.75</v>
      </c>
      <c r="AO84" s="8">
        <v>3</v>
      </c>
      <c r="AP84" s="9">
        <f t="shared" si="65"/>
        <v>0.27272727272727271</v>
      </c>
      <c r="AQ84" s="8">
        <v>16</v>
      </c>
      <c r="AR84" s="9">
        <f t="shared" si="66"/>
        <v>5.3244592346089852E-3</v>
      </c>
      <c r="AS84" s="8">
        <v>1</v>
      </c>
      <c r="AT84" s="9">
        <f t="shared" si="67"/>
        <v>9.0909090909090912E-2</v>
      </c>
      <c r="AU84" s="8">
        <v>155</v>
      </c>
      <c r="AV84" s="9">
        <f t="shared" si="68"/>
        <v>5.1580698835274545E-2</v>
      </c>
      <c r="AX84" s="9">
        <f t="shared" si="36"/>
        <v>0</v>
      </c>
      <c r="AY84" s="9">
        <f t="shared" si="44"/>
        <v>0</v>
      </c>
      <c r="AZ84" s="8">
        <v>4</v>
      </c>
      <c r="BA84" s="9">
        <f t="shared" si="37"/>
        <v>1</v>
      </c>
      <c r="BB84" s="9">
        <f t="shared" si="69"/>
        <v>0.36363636363636365</v>
      </c>
      <c r="BD84" s="9">
        <f t="shared" si="45"/>
        <v>0</v>
      </c>
      <c r="BE84" s="9" t="str">
        <f t="shared" si="46"/>
        <v/>
      </c>
      <c r="BG84" s="9">
        <f t="shared" si="47"/>
        <v>0</v>
      </c>
      <c r="BH84" s="9" t="str">
        <f t="shared" si="48"/>
        <v/>
      </c>
      <c r="BK84" s="9">
        <f t="shared" si="49"/>
        <v>0</v>
      </c>
      <c r="BL84" s="8">
        <v>171</v>
      </c>
      <c r="BM84" s="9">
        <f t="shared" si="50"/>
        <v>5.6905158069883527E-2</v>
      </c>
    </row>
    <row r="85" spans="1:65" x14ac:dyDescent="0.4">
      <c r="A85" s="8" t="s">
        <v>1033</v>
      </c>
      <c r="B85" s="8">
        <v>39</v>
      </c>
      <c r="C85" s="8">
        <v>15</v>
      </c>
      <c r="D85" s="8">
        <v>1857</v>
      </c>
      <c r="E85" s="8">
        <v>2</v>
      </c>
      <c r="F85" s="9">
        <f t="shared" si="38"/>
        <v>0.13333333333333333</v>
      </c>
      <c r="G85" s="8">
        <v>301</v>
      </c>
      <c r="H85" s="9">
        <f t="shared" si="39"/>
        <v>0.16208939149165322</v>
      </c>
      <c r="I85" s="8">
        <v>5</v>
      </c>
      <c r="J85" s="9">
        <f t="shared" si="51"/>
        <v>0.33333333333333331</v>
      </c>
      <c r="K85" s="8">
        <v>1369</v>
      </c>
      <c r="L85" s="9">
        <f t="shared" si="52"/>
        <v>0.73721055465805063</v>
      </c>
      <c r="M85" s="8">
        <v>1</v>
      </c>
      <c r="N85" s="9">
        <f t="shared" si="53"/>
        <v>6.6666666666666666E-2</v>
      </c>
      <c r="O85" s="8">
        <v>62</v>
      </c>
      <c r="P85" s="9">
        <f t="shared" si="54"/>
        <v>3.3387183629509959E-2</v>
      </c>
      <c r="Q85" s="8">
        <v>3</v>
      </c>
      <c r="R85" s="9">
        <f t="shared" si="55"/>
        <v>0.2</v>
      </c>
      <c r="S85" s="8">
        <v>97</v>
      </c>
      <c r="T85" s="9">
        <f t="shared" si="56"/>
        <v>5.2234787291330104E-2</v>
      </c>
      <c r="U85" s="8">
        <v>4</v>
      </c>
      <c r="V85" s="9">
        <f t="shared" si="57"/>
        <v>0.26666666666666666</v>
      </c>
      <c r="W85" s="8">
        <v>28</v>
      </c>
      <c r="X85" s="9">
        <f t="shared" si="58"/>
        <v>1.5078082929456112E-2</v>
      </c>
      <c r="Z85" s="9">
        <f t="shared" si="59"/>
        <v>0</v>
      </c>
      <c r="AB85" s="9">
        <f t="shared" si="60"/>
        <v>0</v>
      </c>
      <c r="AC85" s="8">
        <v>15</v>
      </c>
      <c r="AD85" s="9">
        <f t="shared" si="61"/>
        <v>1</v>
      </c>
      <c r="AE85" s="8">
        <v>1857</v>
      </c>
      <c r="AF85" s="9">
        <f t="shared" si="62"/>
        <v>1</v>
      </c>
      <c r="AG85" s="8">
        <v>8</v>
      </c>
      <c r="AH85" s="9">
        <f t="shared" si="63"/>
        <v>0.53333333333333333</v>
      </c>
      <c r="AI85" s="8">
        <v>1333</v>
      </c>
      <c r="AJ85" s="9">
        <f t="shared" si="64"/>
        <v>0.71782444803446421</v>
      </c>
      <c r="AK85" s="17">
        <f t="shared" si="40"/>
        <v>166.625</v>
      </c>
      <c r="AL85" s="17">
        <f t="shared" si="41"/>
        <v>7</v>
      </c>
      <c r="AM85" s="17">
        <f t="shared" si="42"/>
        <v>524</v>
      </c>
      <c r="AN85" s="17">
        <f t="shared" si="43"/>
        <v>74.857142857142861</v>
      </c>
      <c r="AO85" s="8">
        <v>6</v>
      </c>
      <c r="AP85" s="9">
        <f t="shared" si="65"/>
        <v>0.4</v>
      </c>
      <c r="AQ85" s="8">
        <v>326</v>
      </c>
      <c r="AR85" s="9">
        <f t="shared" si="66"/>
        <v>0.17555196553581046</v>
      </c>
      <c r="AS85" s="8">
        <v>1</v>
      </c>
      <c r="AT85" s="9">
        <f t="shared" si="67"/>
        <v>6.6666666666666666E-2</v>
      </c>
      <c r="AU85" s="8">
        <v>198</v>
      </c>
      <c r="AV85" s="9">
        <f t="shared" si="68"/>
        <v>0.10662358642972536</v>
      </c>
      <c r="AX85" s="9">
        <f t="shared" si="36"/>
        <v>0</v>
      </c>
      <c r="AY85" s="9">
        <f t="shared" si="44"/>
        <v>0</v>
      </c>
      <c r="AZ85" s="8">
        <v>7</v>
      </c>
      <c r="BA85" s="9">
        <f t="shared" si="37"/>
        <v>1</v>
      </c>
      <c r="BB85" s="9">
        <f t="shared" si="69"/>
        <v>0.46666666666666667</v>
      </c>
      <c r="BD85" s="9">
        <f t="shared" si="45"/>
        <v>0</v>
      </c>
      <c r="BE85" s="9" t="str">
        <f t="shared" si="46"/>
        <v/>
      </c>
      <c r="BG85" s="9">
        <f t="shared" si="47"/>
        <v>0</v>
      </c>
      <c r="BH85" s="9" t="str">
        <f t="shared" si="48"/>
        <v/>
      </c>
      <c r="BK85" s="9">
        <f t="shared" si="49"/>
        <v>0</v>
      </c>
      <c r="BL85" s="8">
        <v>524</v>
      </c>
      <c r="BM85" s="9">
        <f t="shared" si="50"/>
        <v>0.28217555196553579</v>
      </c>
    </row>
    <row r="86" spans="1:65" x14ac:dyDescent="0.4">
      <c r="A86" s="8" t="s">
        <v>1033</v>
      </c>
      <c r="B86" s="8">
        <v>48</v>
      </c>
      <c r="C86" s="8">
        <v>6</v>
      </c>
      <c r="D86" s="8">
        <v>1062</v>
      </c>
      <c r="F86" s="9">
        <f t="shared" si="38"/>
        <v>0</v>
      </c>
      <c r="H86" s="9">
        <f t="shared" si="39"/>
        <v>0</v>
      </c>
      <c r="I86" s="8">
        <v>3</v>
      </c>
      <c r="J86" s="9">
        <f t="shared" si="51"/>
        <v>0.5</v>
      </c>
      <c r="K86" s="8">
        <v>995</v>
      </c>
      <c r="L86" s="9">
        <f t="shared" si="52"/>
        <v>0.93691148775894539</v>
      </c>
      <c r="N86" s="9">
        <f t="shared" si="53"/>
        <v>0</v>
      </c>
      <c r="P86" s="9">
        <f t="shared" si="54"/>
        <v>0</v>
      </c>
      <c r="R86" s="9">
        <f t="shared" si="55"/>
        <v>0</v>
      </c>
      <c r="T86" s="9">
        <f t="shared" si="56"/>
        <v>0</v>
      </c>
      <c r="U86" s="8">
        <v>3</v>
      </c>
      <c r="V86" s="9">
        <f t="shared" si="57"/>
        <v>0.5</v>
      </c>
      <c r="W86" s="8">
        <v>67</v>
      </c>
      <c r="X86" s="9">
        <f t="shared" si="58"/>
        <v>6.308851224105462E-2</v>
      </c>
      <c r="Y86" s="8">
        <v>3</v>
      </c>
      <c r="Z86" s="9">
        <f t="shared" si="59"/>
        <v>0.5</v>
      </c>
      <c r="AA86" s="8">
        <v>995</v>
      </c>
      <c r="AB86" s="9">
        <f t="shared" si="60"/>
        <v>0.93691148775894539</v>
      </c>
      <c r="AC86" s="8">
        <v>3</v>
      </c>
      <c r="AD86" s="9">
        <f t="shared" si="61"/>
        <v>0.5</v>
      </c>
      <c r="AE86" s="8">
        <v>67</v>
      </c>
      <c r="AF86" s="9">
        <f t="shared" si="62"/>
        <v>6.308851224105462E-2</v>
      </c>
      <c r="AG86" s="8">
        <v>3</v>
      </c>
      <c r="AH86" s="9">
        <f t="shared" si="63"/>
        <v>0.5</v>
      </c>
      <c r="AI86" s="8">
        <v>995</v>
      </c>
      <c r="AJ86" s="9">
        <f t="shared" si="64"/>
        <v>0.93691148775894539</v>
      </c>
      <c r="AK86" s="17">
        <f t="shared" si="40"/>
        <v>331.66666666666669</v>
      </c>
      <c r="AL86" s="17">
        <f t="shared" si="41"/>
        <v>3</v>
      </c>
      <c r="AM86" s="17">
        <f t="shared" si="42"/>
        <v>67</v>
      </c>
      <c r="AN86" s="17">
        <f t="shared" si="43"/>
        <v>22.333333333333332</v>
      </c>
      <c r="AO86" s="8">
        <v>1</v>
      </c>
      <c r="AP86" s="9">
        <f t="shared" si="65"/>
        <v>0.16666666666666666</v>
      </c>
      <c r="AQ86" s="8">
        <v>57</v>
      </c>
      <c r="AR86" s="9">
        <f t="shared" si="66"/>
        <v>5.3672316384180789E-2</v>
      </c>
      <c r="AS86" s="8">
        <v>2</v>
      </c>
      <c r="AT86" s="9">
        <f t="shared" si="67"/>
        <v>0.33333333333333331</v>
      </c>
      <c r="AU86" s="8">
        <v>10</v>
      </c>
      <c r="AV86" s="9">
        <f t="shared" si="68"/>
        <v>9.4161958568738224E-3</v>
      </c>
      <c r="AX86" s="9">
        <f t="shared" ref="AX86:AX107" si="70">IF(SUM($AO86, $AS86)&lt;&gt;0, AW86/SUM($AO86,$AS86), 0)</f>
        <v>0</v>
      </c>
      <c r="AY86" s="9">
        <f t="shared" si="44"/>
        <v>0</v>
      </c>
      <c r="AZ86" s="8">
        <v>3</v>
      </c>
      <c r="BA86" s="9">
        <f t="shared" ref="BA86:BA106" si="71">IF(SUM($AO86, $AS86)&lt;&gt;0, AZ86/SUM($AO86,$AS86), 0)</f>
        <v>1</v>
      </c>
      <c r="BB86" s="9">
        <f t="shared" si="69"/>
        <v>0.5</v>
      </c>
      <c r="BD86" s="9">
        <f t="shared" si="45"/>
        <v>0</v>
      </c>
      <c r="BE86" s="9" t="str">
        <f t="shared" si="46"/>
        <v/>
      </c>
      <c r="BG86" s="9">
        <f t="shared" si="47"/>
        <v>0</v>
      </c>
      <c r="BH86" s="9" t="str">
        <f t="shared" si="48"/>
        <v/>
      </c>
      <c r="BK86" s="9">
        <f t="shared" si="49"/>
        <v>0</v>
      </c>
      <c r="BL86" s="8">
        <v>67</v>
      </c>
      <c r="BM86" s="9">
        <f t="shared" si="50"/>
        <v>6.308851224105462E-2</v>
      </c>
    </row>
    <row r="87" spans="1:65" x14ac:dyDescent="0.4">
      <c r="A87" s="8" t="s">
        <v>1033</v>
      </c>
      <c r="B87" s="8">
        <v>52</v>
      </c>
      <c r="C87" s="8">
        <v>11</v>
      </c>
      <c r="D87" s="8">
        <v>2561</v>
      </c>
      <c r="F87" s="9">
        <f t="shared" si="38"/>
        <v>0</v>
      </c>
      <c r="H87" s="9">
        <f t="shared" si="39"/>
        <v>0</v>
      </c>
      <c r="I87" s="8">
        <v>7</v>
      </c>
      <c r="J87" s="9">
        <f t="shared" si="51"/>
        <v>0.63636363636363635</v>
      </c>
      <c r="K87" s="8">
        <v>2444</v>
      </c>
      <c r="L87" s="9">
        <f t="shared" si="52"/>
        <v>0.95431472081218272</v>
      </c>
      <c r="M87" s="8">
        <v>2</v>
      </c>
      <c r="N87" s="9">
        <f t="shared" si="53"/>
        <v>0.18181818181818182</v>
      </c>
      <c r="O87" s="8">
        <v>99</v>
      </c>
      <c r="P87" s="9">
        <f t="shared" si="54"/>
        <v>3.8656774697383836E-2</v>
      </c>
      <c r="R87" s="9">
        <f t="shared" si="55"/>
        <v>0</v>
      </c>
      <c r="T87" s="9">
        <f t="shared" si="56"/>
        <v>0</v>
      </c>
      <c r="U87" s="8">
        <v>2</v>
      </c>
      <c r="V87" s="9">
        <f t="shared" si="57"/>
        <v>0.18181818181818182</v>
      </c>
      <c r="W87" s="8">
        <v>18</v>
      </c>
      <c r="X87" s="9">
        <f t="shared" si="58"/>
        <v>7.0285044904334244E-3</v>
      </c>
      <c r="Y87" s="8">
        <v>7</v>
      </c>
      <c r="Z87" s="9">
        <f t="shared" si="59"/>
        <v>0.63636363636363635</v>
      </c>
      <c r="AA87" s="8">
        <v>2444</v>
      </c>
      <c r="AB87" s="9">
        <f t="shared" si="60"/>
        <v>0.95431472081218272</v>
      </c>
      <c r="AC87" s="8">
        <v>4</v>
      </c>
      <c r="AD87" s="9">
        <f t="shared" si="61"/>
        <v>0.36363636363636365</v>
      </c>
      <c r="AE87" s="8">
        <v>117</v>
      </c>
      <c r="AF87" s="9">
        <f t="shared" si="62"/>
        <v>4.5685279187817257E-2</v>
      </c>
      <c r="AG87" s="8">
        <v>8</v>
      </c>
      <c r="AH87" s="9">
        <f t="shared" si="63"/>
        <v>0.72727272727272729</v>
      </c>
      <c r="AI87" s="8">
        <v>2426</v>
      </c>
      <c r="AJ87" s="9">
        <f t="shared" si="64"/>
        <v>0.94728621632174936</v>
      </c>
      <c r="AK87" s="17">
        <f t="shared" si="40"/>
        <v>303.25</v>
      </c>
      <c r="AL87" s="17">
        <f t="shared" si="41"/>
        <v>3</v>
      </c>
      <c r="AM87" s="17">
        <f t="shared" si="42"/>
        <v>135</v>
      </c>
      <c r="AN87" s="17">
        <f t="shared" si="43"/>
        <v>45</v>
      </c>
      <c r="AO87" s="8">
        <v>2</v>
      </c>
      <c r="AP87" s="9">
        <f t="shared" si="65"/>
        <v>0.18181818181818182</v>
      </c>
      <c r="AQ87" s="8">
        <v>99</v>
      </c>
      <c r="AR87" s="9">
        <f t="shared" si="66"/>
        <v>3.8656774697383836E-2</v>
      </c>
      <c r="AS87" s="8">
        <v>1</v>
      </c>
      <c r="AT87" s="9">
        <f t="shared" si="67"/>
        <v>9.0909090909090912E-2</v>
      </c>
      <c r="AU87" s="8">
        <v>36</v>
      </c>
      <c r="AV87" s="9">
        <f t="shared" si="68"/>
        <v>1.4057008980866849E-2</v>
      </c>
      <c r="AW87" s="8">
        <v>1</v>
      </c>
      <c r="AX87" s="9">
        <f t="shared" si="70"/>
        <v>0.33333333333333331</v>
      </c>
      <c r="AY87" s="9">
        <f t="shared" si="44"/>
        <v>9.0909090909090912E-2</v>
      </c>
      <c r="AZ87" s="8">
        <v>2</v>
      </c>
      <c r="BA87" s="9">
        <f t="shared" si="71"/>
        <v>0.66666666666666663</v>
      </c>
      <c r="BB87" s="9">
        <f t="shared" si="69"/>
        <v>0.18181818181818182</v>
      </c>
      <c r="BC87" s="8">
        <v>1</v>
      </c>
      <c r="BD87" s="9">
        <f t="shared" si="45"/>
        <v>1</v>
      </c>
      <c r="BE87" s="9">
        <f t="shared" si="46"/>
        <v>1</v>
      </c>
      <c r="BG87" s="9">
        <f t="shared" si="47"/>
        <v>0</v>
      </c>
      <c r="BH87" s="9">
        <f t="shared" si="48"/>
        <v>0</v>
      </c>
      <c r="BJ87" s="8">
        <v>36</v>
      </c>
      <c r="BK87" s="9">
        <f t="shared" si="49"/>
        <v>1.4057008980866849E-2</v>
      </c>
      <c r="BL87" s="8">
        <v>99</v>
      </c>
      <c r="BM87" s="9">
        <f t="shared" si="50"/>
        <v>3.8656774697383836E-2</v>
      </c>
    </row>
    <row r="88" spans="1:65" x14ac:dyDescent="0.4">
      <c r="A88" s="8" t="s">
        <v>1033</v>
      </c>
      <c r="B88" s="8">
        <v>54</v>
      </c>
      <c r="C88" s="8">
        <v>23</v>
      </c>
      <c r="D88" s="8">
        <v>3797</v>
      </c>
      <c r="F88" s="9">
        <f t="shared" si="38"/>
        <v>0</v>
      </c>
      <c r="H88" s="9">
        <f t="shared" si="39"/>
        <v>0</v>
      </c>
      <c r="I88" s="8">
        <v>10</v>
      </c>
      <c r="J88" s="9">
        <f t="shared" si="51"/>
        <v>0.43478260869565216</v>
      </c>
      <c r="K88" s="8">
        <v>3546</v>
      </c>
      <c r="L88" s="9">
        <f t="shared" si="52"/>
        <v>0.93389518040558339</v>
      </c>
      <c r="M88" s="8">
        <v>4</v>
      </c>
      <c r="N88" s="9">
        <f t="shared" si="53"/>
        <v>0.17391304347826086</v>
      </c>
      <c r="O88" s="8">
        <v>151</v>
      </c>
      <c r="P88" s="9">
        <f t="shared" si="54"/>
        <v>3.9768238082696868E-2</v>
      </c>
      <c r="Q88" s="8">
        <v>1</v>
      </c>
      <c r="R88" s="9">
        <f t="shared" si="55"/>
        <v>4.3478260869565216E-2</v>
      </c>
      <c r="S88" s="8">
        <v>8</v>
      </c>
      <c r="T88" s="9">
        <f t="shared" si="56"/>
        <v>2.1069265209375824E-3</v>
      </c>
      <c r="U88" s="8">
        <v>8</v>
      </c>
      <c r="V88" s="9">
        <f t="shared" si="57"/>
        <v>0.34782608695652173</v>
      </c>
      <c r="W88" s="8">
        <v>92</v>
      </c>
      <c r="X88" s="9">
        <f t="shared" si="58"/>
        <v>2.4229654990782196E-2</v>
      </c>
      <c r="Y88" s="8">
        <v>8</v>
      </c>
      <c r="Z88" s="9">
        <f t="shared" si="59"/>
        <v>0.34782608695652173</v>
      </c>
      <c r="AA88" s="8">
        <v>2455</v>
      </c>
      <c r="AB88" s="9">
        <f t="shared" si="60"/>
        <v>0.64656307611272057</v>
      </c>
      <c r="AC88" s="8">
        <v>15</v>
      </c>
      <c r="AD88" s="9">
        <f t="shared" si="61"/>
        <v>0.65217391304347827</v>
      </c>
      <c r="AE88" s="8">
        <v>1342</v>
      </c>
      <c r="AF88" s="9">
        <f t="shared" si="62"/>
        <v>0.35343692388727943</v>
      </c>
      <c r="AG88" s="8">
        <v>17</v>
      </c>
      <c r="AH88" s="9">
        <f t="shared" si="63"/>
        <v>0.73913043478260865</v>
      </c>
      <c r="AI88" s="8">
        <v>3384</v>
      </c>
      <c r="AJ88" s="9">
        <f t="shared" si="64"/>
        <v>0.89122991835659726</v>
      </c>
      <c r="AK88" s="17">
        <f t="shared" si="40"/>
        <v>199.05882352941177</v>
      </c>
      <c r="AL88" s="17">
        <f t="shared" si="41"/>
        <v>6</v>
      </c>
      <c r="AM88" s="17">
        <f t="shared" si="42"/>
        <v>413</v>
      </c>
      <c r="AN88" s="17">
        <f t="shared" si="43"/>
        <v>68.833333333333329</v>
      </c>
      <c r="AO88" s="8">
        <v>3</v>
      </c>
      <c r="AP88" s="9">
        <f t="shared" si="65"/>
        <v>0.13043478260869565</v>
      </c>
      <c r="AQ88" s="8">
        <v>367</v>
      </c>
      <c r="AR88" s="9">
        <f t="shared" si="66"/>
        <v>9.6655254148011585E-2</v>
      </c>
      <c r="AS88" s="8">
        <v>3</v>
      </c>
      <c r="AT88" s="9">
        <f t="shared" si="67"/>
        <v>0.13043478260869565</v>
      </c>
      <c r="AU88" s="8">
        <v>46</v>
      </c>
      <c r="AV88" s="9">
        <f t="shared" si="68"/>
        <v>1.2114827495391098E-2</v>
      </c>
      <c r="AW88" s="8">
        <v>1</v>
      </c>
      <c r="AX88" s="9">
        <f t="shared" si="70"/>
        <v>0.16666666666666666</v>
      </c>
      <c r="AY88" s="9">
        <f t="shared" si="44"/>
        <v>4.3478260869565216E-2</v>
      </c>
      <c r="AZ88" s="8">
        <v>5</v>
      </c>
      <c r="BA88" s="9">
        <f t="shared" si="71"/>
        <v>0.83333333333333337</v>
      </c>
      <c r="BB88" s="9">
        <f t="shared" si="69"/>
        <v>0.21739130434782608</v>
      </c>
      <c r="BC88" s="8">
        <v>1</v>
      </c>
      <c r="BD88" s="9">
        <f t="shared" si="45"/>
        <v>1</v>
      </c>
      <c r="BE88" s="9">
        <f t="shared" si="46"/>
        <v>1</v>
      </c>
      <c r="BG88" s="9">
        <f t="shared" si="47"/>
        <v>0</v>
      </c>
      <c r="BH88" s="9">
        <f t="shared" si="48"/>
        <v>0</v>
      </c>
      <c r="BJ88" s="8">
        <v>344</v>
      </c>
      <c r="BK88" s="9">
        <f t="shared" si="49"/>
        <v>9.0597840400316043E-2</v>
      </c>
      <c r="BL88" s="8">
        <v>69</v>
      </c>
      <c r="BM88" s="9">
        <f t="shared" si="50"/>
        <v>1.8172241243086647E-2</v>
      </c>
    </row>
    <row r="89" spans="1:65" x14ac:dyDescent="0.4">
      <c r="A89" s="8" t="s">
        <v>1033</v>
      </c>
      <c r="B89" s="8">
        <v>75</v>
      </c>
      <c r="C89" s="8">
        <v>33</v>
      </c>
      <c r="D89" s="8">
        <v>4411</v>
      </c>
      <c r="F89" s="9">
        <f t="shared" si="38"/>
        <v>0</v>
      </c>
      <c r="H89" s="9">
        <f t="shared" si="39"/>
        <v>0</v>
      </c>
      <c r="I89" s="8">
        <v>7</v>
      </c>
      <c r="J89" s="9">
        <f t="shared" si="51"/>
        <v>0.21212121212121213</v>
      </c>
      <c r="K89" s="8">
        <v>3440</v>
      </c>
      <c r="L89" s="9">
        <f t="shared" si="52"/>
        <v>0.77986851054182726</v>
      </c>
      <c r="M89" s="8">
        <v>5</v>
      </c>
      <c r="N89" s="9">
        <f t="shared" si="53"/>
        <v>0.15151515151515152</v>
      </c>
      <c r="O89" s="8">
        <v>119</v>
      </c>
      <c r="P89" s="9">
        <f t="shared" si="54"/>
        <v>2.6978009521650418E-2</v>
      </c>
      <c r="Q89" s="8">
        <v>18</v>
      </c>
      <c r="R89" s="9">
        <f t="shared" si="55"/>
        <v>0.54545454545454541</v>
      </c>
      <c r="S89" s="8">
        <v>830</v>
      </c>
      <c r="T89" s="9">
        <f t="shared" si="56"/>
        <v>0.1881659487644525</v>
      </c>
      <c r="U89" s="8">
        <v>3</v>
      </c>
      <c r="V89" s="9">
        <f t="shared" si="57"/>
        <v>9.0909090909090912E-2</v>
      </c>
      <c r="W89" s="8">
        <v>22</v>
      </c>
      <c r="X89" s="9">
        <f t="shared" si="58"/>
        <v>4.9875311720698253E-3</v>
      </c>
      <c r="Y89" s="8">
        <v>7</v>
      </c>
      <c r="Z89" s="9">
        <f t="shared" si="59"/>
        <v>0.21212121212121213</v>
      </c>
      <c r="AA89" s="8">
        <v>2830</v>
      </c>
      <c r="AB89" s="9">
        <f t="shared" si="60"/>
        <v>0.64157787349807305</v>
      </c>
      <c r="AC89" s="8">
        <v>26</v>
      </c>
      <c r="AD89" s="9">
        <f t="shared" si="61"/>
        <v>0.78787878787878785</v>
      </c>
      <c r="AE89" s="8">
        <v>1581</v>
      </c>
      <c r="AF89" s="9">
        <f t="shared" si="62"/>
        <v>0.35842212650192701</v>
      </c>
      <c r="AG89" s="8">
        <v>19</v>
      </c>
      <c r="AH89" s="9">
        <f t="shared" si="63"/>
        <v>0.5757575757575758</v>
      </c>
      <c r="AI89" s="8">
        <v>3972</v>
      </c>
      <c r="AJ89" s="9">
        <f t="shared" si="64"/>
        <v>0.90047608252097033</v>
      </c>
      <c r="AK89" s="17">
        <f t="shared" si="40"/>
        <v>209.05263157894737</v>
      </c>
      <c r="AL89" s="17">
        <f t="shared" si="41"/>
        <v>14</v>
      </c>
      <c r="AM89" s="17">
        <f t="shared" si="42"/>
        <v>439</v>
      </c>
      <c r="AN89" s="17">
        <f t="shared" si="43"/>
        <v>31.357142857142858</v>
      </c>
      <c r="AO89" s="8">
        <v>10</v>
      </c>
      <c r="AP89" s="9">
        <f t="shared" si="65"/>
        <v>0.30303030303030304</v>
      </c>
      <c r="AQ89" s="8">
        <v>389</v>
      </c>
      <c r="AR89" s="9">
        <f t="shared" si="66"/>
        <v>8.8188619360689183E-2</v>
      </c>
      <c r="AS89" s="8">
        <v>4</v>
      </c>
      <c r="AT89" s="9">
        <f t="shared" si="67"/>
        <v>0.12121212121212122</v>
      </c>
      <c r="AU89" s="8">
        <v>50</v>
      </c>
      <c r="AV89" s="9">
        <f t="shared" si="68"/>
        <v>1.1335298118340512E-2</v>
      </c>
      <c r="AW89" s="8">
        <v>1</v>
      </c>
      <c r="AX89" s="9">
        <f t="shared" si="70"/>
        <v>7.1428571428571425E-2</v>
      </c>
      <c r="AY89" s="9">
        <f t="shared" si="44"/>
        <v>3.0303030303030304E-2</v>
      </c>
      <c r="AZ89" s="8">
        <v>13</v>
      </c>
      <c r="BA89" s="9">
        <f t="shared" si="71"/>
        <v>0.9285714285714286</v>
      </c>
      <c r="BB89" s="9">
        <f t="shared" si="69"/>
        <v>0.39393939393939392</v>
      </c>
      <c r="BC89" s="8">
        <v>1</v>
      </c>
      <c r="BD89" s="9">
        <f t="shared" si="45"/>
        <v>1</v>
      </c>
      <c r="BE89" s="9">
        <f t="shared" si="46"/>
        <v>1</v>
      </c>
      <c r="BF89" s="8">
        <v>1</v>
      </c>
      <c r="BG89" s="9">
        <f t="shared" si="47"/>
        <v>1</v>
      </c>
      <c r="BH89" s="9">
        <f t="shared" si="48"/>
        <v>1</v>
      </c>
      <c r="BJ89" s="8">
        <v>32</v>
      </c>
      <c r="BK89" s="9">
        <f t="shared" si="49"/>
        <v>7.2545907957379278E-3</v>
      </c>
      <c r="BL89" s="8">
        <v>407</v>
      </c>
      <c r="BM89" s="9">
        <f t="shared" si="50"/>
        <v>9.2269326683291769E-2</v>
      </c>
    </row>
    <row r="90" spans="1:65" x14ac:dyDescent="0.4">
      <c r="A90" s="8" t="s">
        <v>1033</v>
      </c>
      <c r="B90" s="8">
        <v>82</v>
      </c>
      <c r="C90" s="8">
        <v>40</v>
      </c>
      <c r="D90" s="8">
        <v>5437</v>
      </c>
      <c r="F90" s="9">
        <f t="shared" si="38"/>
        <v>0</v>
      </c>
      <c r="H90" s="9">
        <f t="shared" si="39"/>
        <v>0</v>
      </c>
      <c r="I90" s="8">
        <v>11</v>
      </c>
      <c r="J90" s="9">
        <f t="shared" si="51"/>
        <v>0.27500000000000002</v>
      </c>
      <c r="K90" s="8">
        <v>3858</v>
      </c>
      <c r="L90" s="9">
        <f t="shared" si="52"/>
        <v>0.70958249034393972</v>
      </c>
      <c r="M90" s="8">
        <v>2</v>
      </c>
      <c r="N90" s="9">
        <f t="shared" si="53"/>
        <v>0.05</v>
      </c>
      <c r="O90" s="8">
        <v>36</v>
      </c>
      <c r="P90" s="9">
        <f t="shared" si="54"/>
        <v>6.6212985102078355E-3</v>
      </c>
      <c r="Q90" s="8">
        <v>11</v>
      </c>
      <c r="R90" s="9">
        <f t="shared" si="55"/>
        <v>0.27500000000000002</v>
      </c>
      <c r="S90" s="8">
        <v>1236</v>
      </c>
      <c r="T90" s="9">
        <f t="shared" si="56"/>
        <v>0.22733124885046901</v>
      </c>
      <c r="U90" s="8">
        <v>16</v>
      </c>
      <c r="V90" s="9">
        <f t="shared" si="57"/>
        <v>0.4</v>
      </c>
      <c r="W90" s="8">
        <v>307</v>
      </c>
      <c r="X90" s="9">
        <f t="shared" si="58"/>
        <v>5.6464962295383482E-2</v>
      </c>
      <c r="Y90" s="8">
        <v>8</v>
      </c>
      <c r="Z90" s="9">
        <f t="shared" si="59"/>
        <v>0.2</v>
      </c>
      <c r="AA90" s="8">
        <v>3049</v>
      </c>
      <c r="AB90" s="9">
        <f t="shared" si="60"/>
        <v>0.56078719882288031</v>
      </c>
      <c r="AC90" s="8">
        <v>32</v>
      </c>
      <c r="AD90" s="9">
        <f t="shared" si="61"/>
        <v>0.8</v>
      </c>
      <c r="AE90" s="8">
        <v>2388</v>
      </c>
      <c r="AF90" s="9">
        <f t="shared" si="62"/>
        <v>0.43921280117711975</v>
      </c>
      <c r="AG90" s="8">
        <v>21</v>
      </c>
      <c r="AH90" s="9">
        <f t="shared" si="63"/>
        <v>0.52500000000000002</v>
      </c>
      <c r="AI90" s="8">
        <v>4875</v>
      </c>
      <c r="AJ90" s="9">
        <f t="shared" si="64"/>
        <v>0.89663417325731098</v>
      </c>
      <c r="AK90" s="17">
        <f t="shared" si="40"/>
        <v>232.14285714285714</v>
      </c>
      <c r="AL90" s="17">
        <f t="shared" si="41"/>
        <v>19</v>
      </c>
      <c r="AM90" s="17">
        <f t="shared" si="42"/>
        <v>562</v>
      </c>
      <c r="AN90" s="17">
        <f t="shared" si="43"/>
        <v>29.578947368421051</v>
      </c>
      <c r="AO90" s="8">
        <v>13</v>
      </c>
      <c r="AP90" s="9">
        <f t="shared" si="65"/>
        <v>0.32500000000000001</v>
      </c>
      <c r="AQ90" s="8">
        <v>455</v>
      </c>
      <c r="AR90" s="9">
        <f t="shared" si="66"/>
        <v>8.368585617068236E-2</v>
      </c>
      <c r="AS90" s="8">
        <v>6</v>
      </c>
      <c r="AT90" s="9">
        <f t="shared" si="67"/>
        <v>0.15</v>
      </c>
      <c r="AU90" s="8">
        <v>107</v>
      </c>
      <c r="AV90" s="9">
        <f t="shared" si="68"/>
        <v>1.9679970572006621E-2</v>
      </c>
      <c r="AX90" s="9">
        <f t="shared" si="70"/>
        <v>0</v>
      </c>
      <c r="AY90" s="9">
        <f t="shared" si="44"/>
        <v>0</v>
      </c>
      <c r="AZ90" s="8">
        <v>19</v>
      </c>
      <c r="BA90" s="9">
        <f t="shared" si="71"/>
        <v>1</v>
      </c>
      <c r="BB90" s="9">
        <f t="shared" si="69"/>
        <v>0.47499999999999998</v>
      </c>
      <c r="BD90" s="9">
        <f t="shared" si="45"/>
        <v>0</v>
      </c>
      <c r="BE90" s="9" t="str">
        <f t="shared" si="46"/>
        <v/>
      </c>
      <c r="BG90" s="9">
        <f t="shared" si="47"/>
        <v>0</v>
      </c>
      <c r="BH90" s="9" t="str">
        <f t="shared" si="48"/>
        <v/>
      </c>
      <c r="BK90" s="9">
        <f t="shared" si="49"/>
        <v>0</v>
      </c>
      <c r="BL90" s="8">
        <v>562</v>
      </c>
      <c r="BM90" s="9">
        <f t="shared" si="50"/>
        <v>0.10336582674268899</v>
      </c>
    </row>
    <row r="91" spans="1:65" x14ac:dyDescent="0.4">
      <c r="A91" s="8" t="s">
        <v>1033</v>
      </c>
      <c r="B91" s="8">
        <v>100</v>
      </c>
      <c r="C91" s="8">
        <v>2</v>
      </c>
      <c r="D91" s="8">
        <v>200</v>
      </c>
      <c r="F91" s="9">
        <f t="shared" si="38"/>
        <v>0</v>
      </c>
      <c r="H91" s="9">
        <f t="shared" si="39"/>
        <v>0</v>
      </c>
      <c r="I91" s="8">
        <v>1</v>
      </c>
      <c r="J91" s="9">
        <f t="shared" si="51"/>
        <v>0.5</v>
      </c>
      <c r="K91" s="8">
        <v>154</v>
      </c>
      <c r="L91" s="9">
        <f t="shared" si="52"/>
        <v>0.77</v>
      </c>
      <c r="N91" s="9">
        <f t="shared" si="53"/>
        <v>0</v>
      </c>
      <c r="P91" s="9">
        <f t="shared" si="54"/>
        <v>0</v>
      </c>
      <c r="Q91" s="8">
        <v>1</v>
      </c>
      <c r="R91" s="9">
        <f t="shared" si="55"/>
        <v>0.5</v>
      </c>
      <c r="S91" s="8">
        <v>46</v>
      </c>
      <c r="T91" s="9">
        <f t="shared" si="56"/>
        <v>0.23</v>
      </c>
      <c r="V91" s="9">
        <f t="shared" si="57"/>
        <v>0</v>
      </c>
      <c r="X91" s="9">
        <f t="shared" si="58"/>
        <v>0</v>
      </c>
      <c r="Y91" s="8">
        <v>1</v>
      </c>
      <c r="Z91" s="9">
        <f t="shared" si="59"/>
        <v>0.5</v>
      </c>
      <c r="AA91" s="8">
        <v>154</v>
      </c>
      <c r="AB91" s="9">
        <f t="shared" si="60"/>
        <v>0.77</v>
      </c>
      <c r="AC91" s="8">
        <v>1</v>
      </c>
      <c r="AD91" s="9">
        <f t="shared" si="61"/>
        <v>0.5</v>
      </c>
      <c r="AE91" s="8">
        <v>46</v>
      </c>
      <c r="AF91" s="9">
        <f t="shared" si="62"/>
        <v>0.23</v>
      </c>
      <c r="AG91" s="8">
        <v>2</v>
      </c>
      <c r="AH91" s="9">
        <f t="shared" si="63"/>
        <v>1</v>
      </c>
      <c r="AI91" s="8">
        <v>200</v>
      </c>
      <c r="AJ91" s="9">
        <f t="shared" si="64"/>
        <v>1</v>
      </c>
      <c r="AK91" s="17">
        <f t="shared" si="40"/>
        <v>100</v>
      </c>
      <c r="AL91" s="17">
        <f t="shared" si="41"/>
        <v>0</v>
      </c>
      <c r="AM91" s="17">
        <f t="shared" si="42"/>
        <v>0</v>
      </c>
      <c r="AN91" s="17" t="str">
        <f t="shared" si="43"/>
        <v/>
      </c>
      <c r="AP91" s="9">
        <f t="shared" si="65"/>
        <v>0</v>
      </c>
      <c r="AR91" s="9">
        <f t="shared" si="66"/>
        <v>0</v>
      </c>
      <c r="AT91" s="9">
        <f t="shared" si="67"/>
        <v>0</v>
      </c>
      <c r="AV91" s="9">
        <f t="shared" si="68"/>
        <v>0</v>
      </c>
      <c r="AX91" s="9">
        <f t="shared" si="70"/>
        <v>0</v>
      </c>
      <c r="AY91" s="9">
        <f t="shared" si="44"/>
        <v>0</v>
      </c>
      <c r="BA91" s="9">
        <f t="shared" si="71"/>
        <v>0</v>
      </c>
      <c r="BB91" s="9">
        <f t="shared" si="69"/>
        <v>0</v>
      </c>
      <c r="BD91" s="9">
        <f t="shared" si="45"/>
        <v>0</v>
      </c>
      <c r="BE91" s="9" t="str">
        <f t="shared" si="46"/>
        <v/>
      </c>
      <c r="BG91" s="9">
        <f t="shared" si="47"/>
        <v>0</v>
      </c>
      <c r="BH91" s="9" t="str">
        <f t="shared" si="48"/>
        <v/>
      </c>
      <c r="BK91" s="9">
        <f t="shared" si="49"/>
        <v>0</v>
      </c>
      <c r="BM91" s="9">
        <f t="shared" si="50"/>
        <v>0</v>
      </c>
    </row>
    <row r="92" spans="1:65" x14ac:dyDescent="0.4">
      <c r="A92" s="8" t="s">
        <v>1033</v>
      </c>
      <c r="B92" s="8">
        <v>109</v>
      </c>
      <c r="C92" s="8">
        <v>24</v>
      </c>
      <c r="D92" s="8">
        <v>3590</v>
      </c>
      <c r="F92" s="9">
        <f t="shared" si="38"/>
        <v>0</v>
      </c>
      <c r="H92" s="9">
        <f t="shared" si="39"/>
        <v>0</v>
      </c>
      <c r="I92" s="8">
        <v>7</v>
      </c>
      <c r="J92" s="9">
        <f t="shared" si="51"/>
        <v>0.29166666666666669</v>
      </c>
      <c r="K92" s="8">
        <v>2681</v>
      </c>
      <c r="L92" s="9">
        <f t="shared" si="52"/>
        <v>0.7467966573816156</v>
      </c>
      <c r="M92" s="8">
        <v>1</v>
      </c>
      <c r="N92" s="9">
        <f t="shared" si="53"/>
        <v>4.1666666666666664E-2</v>
      </c>
      <c r="O92" s="8">
        <v>7</v>
      </c>
      <c r="P92" s="9">
        <f t="shared" si="54"/>
        <v>1.9498607242339832E-3</v>
      </c>
      <c r="Q92" s="8">
        <v>6</v>
      </c>
      <c r="R92" s="9">
        <f t="shared" si="55"/>
        <v>0.25</v>
      </c>
      <c r="S92" s="8">
        <v>790</v>
      </c>
      <c r="T92" s="9">
        <f t="shared" si="56"/>
        <v>0.22005571030640669</v>
      </c>
      <c r="U92" s="8">
        <v>10</v>
      </c>
      <c r="V92" s="9">
        <f t="shared" si="57"/>
        <v>0.41666666666666669</v>
      </c>
      <c r="W92" s="8">
        <v>112</v>
      </c>
      <c r="X92" s="9">
        <f t="shared" si="58"/>
        <v>3.1197771587743731E-2</v>
      </c>
      <c r="Y92" s="8">
        <v>7</v>
      </c>
      <c r="Z92" s="9">
        <f t="shared" si="59"/>
        <v>0.29166666666666669</v>
      </c>
      <c r="AA92" s="8">
        <v>2681</v>
      </c>
      <c r="AB92" s="9">
        <f t="shared" si="60"/>
        <v>0.7467966573816156</v>
      </c>
      <c r="AC92" s="8">
        <v>17</v>
      </c>
      <c r="AD92" s="9">
        <f t="shared" si="61"/>
        <v>0.70833333333333337</v>
      </c>
      <c r="AE92" s="8">
        <v>909</v>
      </c>
      <c r="AF92" s="9">
        <f t="shared" si="62"/>
        <v>0.2532033426183844</v>
      </c>
      <c r="AG92" s="8">
        <v>17</v>
      </c>
      <c r="AH92" s="9">
        <f t="shared" si="63"/>
        <v>0.70833333333333337</v>
      </c>
      <c r="AI92" s="8">
        <v>3108</v>
      </c>
      <c r="AJ92" s="9">
        <f t="shared" si="64"/>
        <v>0.86573816155988859</v>
      </c>
      <c r="AK92" s="17">
        <f t="shared" si="40"/>
        <v>182.8235294117647</v>
      </c>
      <c r="AL92" s="17">
        <f t="shared" si="41"/>
        <v>7</v>
      </c>
      <c r="AM92" s="17">
        <f t="shared" si="42"/>
        <v>482</v>
      </c>
      <c r="AN92" s="17">
        <f t="shared" si="43"/>
        <v>68.857142857142861</v>
      </c>
      <c r="AO92" s="8">
        <v>3</v>
      </c>
      <c r="AP92" s="9">
        <f t="shared" si="65"/>
        <v>0.125</v>
      </c>
      <c r="AQ92" s="8">
        <v>401</v>
      </c>
      <c r="AR92" s="9">
        <f t="shared" si="66"/>
        <v>0.1116991643454039</v>
      </c>
      <c r="AS92" s="8">
        <v>4</v>
      </c>
      <c r="AT92" s="9">
        <f t="shared" si="67"/>
        <v>0.16666666666666666</v>
      </c>
      <c r="AU92" s="8">
        <v>81</v>
      </c>
      <c r="AV92" s="9">
        <f t="shared" si="68"/>
        <v>2.2562674094707521E-2</v>
      </c>
      <c r="AW92" s="8">
        <v>1</v>
      </c>
      <c r="AX92" s="9">
        <f t="shared" si="70"/>
        <v>0.14285714285714285</v>
      </c>
      <c r="AY92" s="9">
        <f t="shared" si="44"/>
        <v>4.1666666666666664E-2</v>
      </c>
      <c r="AZ92" s="8">
        <v>6</v>
      </c>
      <c r="BA92" s="9">
        <f t="shared" si="71"/>
        <v>0.8571428571428571</v>
      </c>
      <c r="BB92" s="9">
        <f t="shared" si="69"/>
        <v>0.25</v>
      </c>
      <c r="BC92" s="8">
        <v>1</v>
      </c>
      <c r="BD92" s="9">
        <f t="shared" si="45"/>
        <v>1</v>
      </c>
      <c r="BE92" s="9">
        <f t="shared" si="46"/>
        <v>1</v>
      </c>
      <c r="BF92" s="8">
        <v>1</v>
      </c>
      <c r="BG92" s="9">
        <f t="shared" si="47"/>
        <v>1</v>
      </c>
      <c r="BH92" s="9">
        <f t="shared" si="48"/>
        <v>1</v>
      </c>
      <c r="BJ92" s="8">
        <v>119</v>
      </c>
      <c r="BK92" s="9">
        <f t="shared" si="49"/>
        <v>3.3147632311977718E-2</v>
      </c>
      <c r="BL92" s="8">
        <v>363</v>
      </c>
      <c r="BM92" s="9">
        <f t="shared" si="50"/>
        <v>0.10111420612813371</v>
      </c>
    </row>
    <row r="93" spans="1:65" x14ac:dyDescent="0.4">
      <c r="A93" s="8" t="s">
        <v>1033</v>
      </c>
      <c r="B93" s="8">
        <v>111</v>
      </c>
      <c r="C93" s="8">
        <v>28</v>
      </c>
      <c r="D93" s="8">
        <v>5872</v>
      </c>
      <c r="F93" s="9">
        <f t="shared" si="38"/>
        <v>0</v>
      </c>
      <c r="H93" s="9">
        <f t="shared" si="39"/>
        <v>0</v>
      </c>
      <c r="I93" s="8">
        <v>8</v>
      </c>
      <c r="J93" s="9">
        <f t="shared" si="51"/>
        <v>0.2857142857142857</v>
      </c>
      <c r="K93" s="8">
        <v>5209</v>
      </c>
      <c r="L93" s="9">
        <f t="shared" si="52"/>
        <v>0.88709128065395093</v>
      </c>
      <c r="M93" s="8">
        <v>2</v>
      </c>
      <c r="N93" s="9">
        <f t="shared" si="53"/>
        <v>7.1428571428571425E-2</v>
      </c>
      <c r="O93" s="8">
        <v>137</v>
      </c>
      <c r="P93" s="9">
        <f t="shared" si="54"/>
        <v>2.3331062670299729E-2</v>
      </c>
      <c r="Q93" s="8">
        <v>7</v>
      </c>
      <c r="R93" s="9">
        <f t="shared" si="55"/>
        <v>0.25</v>
      </c>
      <c r="S93" s="8">
        <v>391</v>
      </c>
      <c r="T93" s="9">
        <f t="shared" si="56"/>
        <v>6.6587193460490468E-2</v>
      </c>
      <c r="U93" s="8">
        <v>11</v>
      </c>
      <c r="V93" s="9">
        <f t="shared" si="57"/>
        <v>0.39285714285714285</v>
      </c>
      <c r="W93" s="8">
        <v>135</v>
      </c>
      <c r="X93" s="9">
        <f t="shared" si="58"/>
        <v>2.2990463215258855E-2</v>
      </c>
      <c r="Y93" s="8">
        <v>8</v>
      </c>
      <c r="Z93" s="9">
        <f t="shared" si="59"/>
        <v>0.2857142857142857</v>
      </c>
      <c r="AA93" s="8">
        <v>5209</v>
      </c>
      <c r="AB93" s="9">
        <f t="shared" si="60"/>
        <v>0.88709128065395093</v>
      </c>
      <c r="AC93" s="8">
        <v>20</v>
      </c>
      <c r="AD93" s="9">
        <f t="shared" si="61"/>
        <v>0.7142857142857143</v>
      </c>
      <c r="AE93" s="8">
        <v>663</v>
      </c>
      <c r="AF93" s="9">
        <f t="shared" si="62"/>
        <v>0.11290871934604904</v>
      </c>
      <c r="AG93" s="8">
        <v>17</v>
      </c>
      <c r="AH93" s="9">
        <f t="shared" si="63"/>
        <v>0.6071428571428571</v>
      </c>
      <c r="AI93" s="8">
        <v>5332</v>
      </c>
      <c r="AJ93" s="9">
        <f t="shared" si="64"/>
        <v>0.90803814713896458</v>
      </c>
      <c r="AK93" s="17">
        <f t="shared" si="40"/>
        <v>313.64705882352939</v>
      </c>
      <c r="AL93" s="17">
        <f t="shared" si="41"/>
        <v>11</v>
      </c>
      <c r="AM93" s="17">
        <f t="shared" si="42"/>
        <v>540</v>
      </c>
      <c r="AN93" s="17">
        <f t="shared" si="43"/>
        <v>49.090909090909093</v>
      </c>
      <c r="AO93" s="8">
        <v>10</v>
      </c>
      <c r="AP93" s="9">
        <f t="shared" si="65"/>
        <v>0.35714285714285715</v>
      </c>
      <c r="AQ93" s="8">
        <v>289</v>
      </c>
      <c r="AR93" s="9">
        <f t="shared" si="66"/>
        <v>4.9216621253405993E-2</v>
      </c>
      <c r="AS93" s="8">
        <v>1</v>
      </c>
      <c r="AT93" s="9">
        <f t="shared" si="67"/>
        <v>3.5714285714285712E-2</v>
      </c>
      <c r="AU93" s="8">
        <v>251</v>
      </c>
      <c r="AV93" s="9">
        <f t="shared" si="68"/>
        <v>4.2745231607629428E-2</v>
      </c>
      <c r="AW93" s="8">
        <v>1</v>
      </c>
      <c r="AX93" s="9">
        <f t="shared" si="70"/>
        <v>9.0909090909090912E-2</v>
      </c>
      <c r="AY93" s="9">
        <f t="shared" si="44"/>
        <v>3.5714285714285712E-2</v>
      </c>
      <c r="AZ93" s="8">
        <v>10</v>
      </c>
      <c r="BA93" s="9">
        <f t="shared" si="71"/>
        <v>0.90909090909090906</v>
      </c>
      <c r="BB93" s="9">
        <f t="shared" si="69"/>
        <v>0.35714285714285715</v>
      </c>
      <c r="BC93" s="8">
        <v>1</v>
      </c>
      <c r="BD93" s="9">
        <f t="shared" si="45"/>
        <v>1</v>
      </c>
      <c r="BE93" s="9">
        <f t="shared" si="46"/>
        <v>1</v>
      </c>
      <c r="BF93" s="8">
        <v>1</v>
      </c>
      <c r="BG93" s="9">
        <f t="shared" si="47"/>
        <v>1</v>
      </c>
      <c r="BH93" s="9">
        <f t="shared" si="48"/>
        <v>1</v>
      </c>
      <c r="BJ93" s="8">
        <v>251</v>
      </c>
      <c r="BK93" s="9">
        <f t="shared" si="49"/>
        <v>4.2745231607629428E-2</v>
      </c>
      <c r="BL93" s="8">
        <v>289</v>
      </c>
      <c r="BM93" s="9">
        <f t="shared" si="50"/>
        <v>4.9216621253405993E-2</v>
      </c>
    </row>
    <row r="94" spans="1:65" x14ac:dyDescent="0.4">
      <c r="A94" s="8" t="s">
        <v>1033</v>
      </c>
      <c r="B94" s="8">
        <v>125</v>
      </c>
      <c r="C94" s="8">
        <v>22</v>
      </c>
      <c r="D94" s="8">
        <v>3141</v>
      </c>
      <c r="F94" s="9">
        <f t="shared" si="38"/>
        <v>0</v>
      </c>
      <c r="H94" s="9">
        <f t="shared" si="39"/>
        <v>0</v>
      </c>
      <c r="I94" s="8">
        <v>6</v>
      </c>
      <c r="J94" s="9">
        <f t="shared" si="51"/>
        <v>0.27272727272727271</v>
      </c>
      <c r="K94" s="8">
        <v>1906</v>
      </c>
      <c r="L94" s="9">
        <f t="shared" si="52"/>
        <v>0.60681311684177008</v>
      </c>
      <c r="N94" s="9">
        <f t="shared" si="53"/>
        <v>0</v>
      </c>
      <c r="P94" s="9">
        <f t="shared" si="54"/>
        <v>0</v>
      </c>
      <c r="Q94" s="8">
        <v>8</v>
      </c>
      <c r="R94" s="9">
        <f t="shared" si="55"/>
        <v>0.36363636363636365</v>
      </c>
      <c r="S94" s="8">
        <v>1200</v>
      </c>
      <c r="T94" s="9">
        <f t="shared" si="56"/>
        <v>0.38204393505253104</v>
      </c>
      <c r="U94" s="8">
        <v>8</v>
      </c>
      <c r="V94" s="9">
        <f t="shared" si="57"/>
        <v>0.36363636363636365</v>
      </c>
      <c r="W94" s="8">
        <v>35</v>
      </c>
      <c r="X94" s="9">
        <f t="shared" si="58"/>
        <v>1.1142948105698823E-2</v>
      </c>
      <c r="Y94" s="8">
        <v>5</v>
      </c>
      <c r="Z94" s="9">
        <f t="shared" si="59"/>
        <v>0.22727272727272727</v>
      </c>
      <c r="AA94" s="8">
        <v>1081</v>
      </c>
      <c r="AB94" s="9">
        <f t="shared" si="60"/>
        <v>0.34415791149315506</v>
      </c>
      <c r="AC94" s="8">
        <v>17</v>
      </c>
      <c r="AD94" s="9">
        <f t="shared" si="61"/>
        <v>0.77272727272727271</v>
      </c>
      <c r="AE94" s="8">
        <v>2060</v>
      </c>
      <c r="AF94" s="9">
        <f t="shared" si="62"/>
        <v>0.655842088506845</v>
      </c>
      <c r="AG94" s="8">
        <v>7</v>
      </c>
      <c r="AH94" s="9">
        <f t="shared" si="63"/>
        <v>0.31818181818181818</v>
      </c>
      <c r="AI94" s="8">
        <v>1820</v>
      </c>
      <c r="AJ94" s="9">
        <f t="shared" si="64"/>
        <v>0.57943330149633876</v>
      </c>
      <c r="AK94" s="17">
        <f t="shared" si="40"/>
        <v>260</v>
      </c>
      <c r="AL94" s="17">
        <f t="shared" si="41"/>
        <v>15</v>
      </c>
      <c r="AM94" s="17">
        <f t="shared" si="42"/>
        <v>1321</v>
      </c>
      <c r="AN94" s="17">
        <f t="shared" si="43"/>
        <v>88.066666666666663</v>
      </c>
      <c r="AO94" s="8">
        <v>14</v>
      </c>
      <c r="AP94" s="9">
        <f t="shared" si="65"/>
        <v>0.63636363636363635</v>
      </c>
      <c r="AQ94" s="8">
        <v>1320</v>
      </c>
      <c r="AR94" s="9">
        <f t="shared" si="66"/>
        <v>0.42024832855778416</v>
      </c>
      <c r="AS94" s="8">
        <v>1</v>
      </c>
      <c r="AT94" s="9">
        <f t="shared" si="67"/>
        <v>4.5454545454545456E-2</v>
      </c>
      <c r="AU94" s="8">
        <v>1</v>
      </c>
      <c r="AV94" s="9">
        <f t="shared" si="68"/>
        <v>3.1836994587710921E-4</v>
      </c>
      <c r="AW94" s="8">
        <v>2</v>
      </c>
      <c r="AX94" s="9">
        <f t="shared" si="70"/>
        <v>0.13333333333333333</v>
      </c>
      <c r="AY94" s="9">
        <f t="shared" si="44"/>
        <v>9.0909090909090912E-2</v>
      </c>
      <c r="AZ94" s="8">
        <v>13</v>
      </c>
      <c r="BA94" s="9">
        <f t="shared" si="71"/>
        <v>0.8666666666666667</v>
      </c>
      <c r="BB94" s="9">
        <f t="shared" si="69"/>
        <v>0.59090909090909094</v>
      </c>
      <c r="BC94" s="8">
        <v>1</v>
      </c>
      <c r="BD94" s="9">
        <f t="shared" si="45"/>
        <v>0.5</v>
      </c>
      <c r="BE94" s="9">
        <f t="shared" si="46"/>
        <v>0.5</v>
      </c>
      <c r="BF94" s="8">
        <v>2</v>
      </c>
      <c r="BG94" s="9">
        <f t="shared" si="47"/>
        <v>1</v>
      </c>
      <c r="BH94" s="9">
        <f t="shared" si="48"/>
        <v>1</v>
      </c>
      <c r="BJ94" s="8">
        <v>121</v>
      </c>
      <c r="BK94" s="9">
        <f t="shared" si="49"/>
        <v>3.8522763451130211E-2</v>
      </c>
      <c r="BL94" s="8">
        <v>1200</v>
      </c>
      <c r="BM94" s="9">
        <f t="shared" si="50"/>
        <v>0.38204393505253104</v>
      </c>
    </row>
    <row r="95" spans="1:65" x14ac:dyDescent="0.4">
      <c r="A95" s="8" t="s">
        <v>1033</v>
      </c>
      <c r="B95" s="8">
        <v>129</v>
      </c>
      <c r="C95" s="8">
        <v>23</v>
      </c>
      <c r="D95" s="8">
        <v>4649</v>
      </c>
      <c r="F95" s="9">
        <f t="shared" si="38"/>
        <v>0</v>
      </c>
      <c r="H95" s="9">
        <f t="shared" si="39"/>
        <v>0</v>
      </c>
      <c r="I95" s="8">
        <v>4</v>
      </c>
      <c r="J95" s="9">
        <f t="shared" si="51"/>
        <v>0.17391304347826086</v>
      </c>
      <c r="K95" s="8">
        <v>3142</v>
      </c>
      <c r="L95" s="9">
        <f t="shared" si="52"/>
        <v>0.67584426758442673</v>
      </c>
      <c r="M95" s="8">
        <v>2</v>
      </c>
      <c r="N95" s="9">
        <f t="shared" si="53"/>
        <v>8.6956521739130432E-2</v>
      </c>
      <c r="O95" s="8">
        <v>87</v>
      </c>
      <c r="P95" s="9">
        <f t="shared" si="54"/>
        <v>1.8713701871370187E-2</v>
      </c>
      <c r="Q95" s="8">
        <v>9</v>
      </c>
      <c r="R95" s="9">
        <f t="shared" si="55"/>
        <v>0.39130434782608697</v>
      </c>
      <c r="S95" s="8">
        <v>1304</v>
      </c>
      <c r="T95" s="9">
        <f t="shared" si="56"/>
        <v>0.28049042804904278</v>
      </c>
      <c r="U95" s="8">
        <v>8</v>
      </c>
      <c r="V95" s="9">
        <f t="shared" si="57"/>
        <v>0.34782608695652173</v>
      </c>
      <c r="W95" s="8">
        <v>116</v>
      </c>
      <c r="X95" s="9">
        <f t="shared" si="58"/>
        <v>2.4951602495160249E-2</v>
      </c>
      <c r="Y95" s="8">
        <v>2</v>
      </c>
      <c r="Z95" s="9">
        <f t="shared" si="59"/>
        <v>8.6956521739130432E-2</v>
      </c>
      <c r="AA95" s="8">
        <v>1961</v>
      </c>
      <c r="AB95" s="9">
        <f t="shared" si="60"/>
        <v>0.42181114218111421</v>
      </c>
      <c r="AC95" s="8">
        <v>21</v>
      </c>
      <c r="AD95" s="9">
        <f t="shared" si="61"/>
        <v>0.91304347826086951</v>
      </c>
      <c r="AE95" s="8">
        <v>2688</v>
      </c>
      <c r="AF95" s="9">
        <f t="shared" si="62"/>
        <v>0.57818885781888574</v>
      </c>
      <c r="AG95" s="8">
        <v>19</v>
      </c>
      <c r="AH95" s="9">
        <f t="shared" si="63"/>
        <v>0.82608695652173914</v>
      </c>
      <c r="AI95" s="8">
        <v>4627</v>
      </c>
      <c r="AJ95" s="9">
        <f t="shared" si="64"/>
        <v>0.99526779952677991</v>
      </c>
      <c r="AK95" s="17">
        <f t="shared" si="40"/>
        <v>243.52631578947367</v>
      </c>
      <c r="AL95" s="17">
        <f t="shared" si="41"/>
        <v>4</v>
      </c>
      <c r="AM95" s="17">
        <f t="shared" si="42"/>
        <v>22</v>
      </c>
      <c r="AN95" s="17">
        <f t="shared" si="43"/>
        <v>5.5</v>
      </c>
      <c r="AO95" s="8">
        <v>3</v>
      </c>
      <c r="AP95" s="9">
        <f t="shared" si="65"/>
        <v>0.13043478260869565</v>
      </c>
      <c r="AQ95" s="8">
        <v>7</v>
      </c>
      <c r="AR95" s="9">
        <f t="shared" si="66"/>
        <v>1.505700150570015E-3</v>
      </c>
      <c r="AS95" s="8">
        <v>1</v>
      </c>
      <c r="AT95" s="9">
        <f t="shared" si="67"/>
        <v>4.3478260869565216E-2</v>
      </c>
      <c r="AU95" s="8">
        <v>15</v>
      </c>
      <c r="AV95" s="9">
        <f t="shared" si="68"/>
        <v>3.2265003226500323E-3</v>
      </c>
      <c r="AX95" s="9">
        <f t="shared" si="70"/>
        <v>0</v>
      </c>
      <c r="AY95" s="9">
        <f t="shared" si="44"/>
        <v>0</v>
      </c>
      <c r="AZ95" s="8">
        <v>4</v>
      </c>
      <c r="BA95" s="9">
        <f t="shared" si="71"/>
        <v>1</v>
      </c>
      <c r="BB95" s="9">
        <f t="shared" si="69"/>
        <v>0.17391304347826086</v>
      </c>
      <c r="BD95" s="9">
        <f t="shared" si="45"/>
        <v>0</v>
      </c>
      <c r="BE95" s="9" t="str">
        <f t="shared" si="46"/>
        <v/>
      </c>
      <c r="BG95" s="9">
        <f t="shared" si="47"/>
        <v>0</v>
      </c>
      <c r="BH95" s="9" t="str">
        <f t="shared" si="48"/>
        <v/>
      </c>
      <c r="BK95" s="9">
        <f t="shared" si="49"/>
        <v>0</v>
      </c>
      <c r="BL95" s="8">
        <v>22</v>
      </c>
      <c r="BM95" s="9">
        <f t="shared" si="50"/>
        <v>4.7322004732200471E-3</v>
      </c>
    </row>
    <row r="96" spans="1:65" x14ac:dyDescent="0.4">
      <c r="A96" s="8" t="s">
        <v>1033</v>
      </c>
      <c r="B96" s="8">
        <v>138</v>
      </c>
      <c r="C96" s="8">
        <v>29</v>
      </c>
      <c r="D96" s="8">
        <v>4515</v>
      </c>
      <c r="E96" s="8">
        <v>1</v>
      </c>
      <c r="F96" s="9">
        <f t="shared" si="38"/>
        <v>3.4482758620689655E-2</v>
      </c>
      <c r="G96" s="8">
        <v>546</v>
      </c>
      <c r="H96" s="9">
        <f t="shared" si="39"/>
        <v>0.12093023255813953</v>
      </c>
      <c r="I96" s="8">
        <v>7</v>
      </c>
      <c r="J96" s="9">
        <f t="shared" si="51"/>
        <v>0.2413793103448276</v>
      </c>
      <c r="K96" s="8">
        <v>1973</v>
      </c>
      <c r="L96" s="9">
        <f t="shared" si="52"/>
        <v>0.43698781838316725</v>
      </c>
      <c r="M96" s="8">
        <v>2</v>
      </c>
      <c r="N96" s="9">
        <f t="shared" si="53"/>
        <v>6.8965517241379309E-2</v>
      </c>
      <c r="O96" s="8">
        <v>38</v>
      </c>
      <c r="P96" s="9">
        <f t="shared" si="54"/>
        <v>8.4163898117386483E-3</v>
      </c>
      <c r="Q96" s="8">
        <v>13</v>
      </c>
      <c r="R96" s="9">
        <f t="shared" si="55"/>
        <v>0.44827586206896552</v>
      </c>
      <c r="S96" s="8">
        <v>1931</v>
      </c>
      <c r="T96" s="9">
        <f t="shared" si="56"/>
        <v>0.42768549280177187</v>
      </c>
      <c r="U96" s="8">
        <v>6</v>
      </c>
      <c r="V96" s="9">
        <f t="shared" si="57"/>
        <v>0.20689655172413793</v>
      </c>
      <c r="W96" s="8">
        <v>27</v>
      </c>
      <c r="X96" s="9">
        <f t="shared" si="58"/>
        <v>5.980066445182724E-3</v>
      </c>
      <c r="Y96" s="8">
        <v>4</v>
      </c>
      <c r="Z96" s="9">
        <f t="shared" si="59"/>
        <v>0.13793103448275862</v>
      </c>
      <c r="AA96" s="8">
        <v>1598</v>
      </c>
      <c r="AB96" s="9">
        <f t="shared" si="60"/>
        <v>0.35393133997785159</v>
      </c>
      <c r="AC96" s="8">
        <v>25</v>
      </c>
      <c r="AD96" s="9">
        <f t="shared" si="61"/>
        <v>0.86206896551724133</v>
      </c>
      <c r="AE96" s="8">
        <v>2917</v>
      </c>
      <c r="AF96" s="9">
        <f t="shared" si="62"/>
        <v>0.64606866002214836</v>
      </c>
      <c r="AG96" s="8">
        <v>23</v>
      </c>
      <c r="AH96" s="9">
        <f t="shared" si="63"/>
        <v>0.7931034482758621</v>
      </c>
      <c r="AI96" s="8">
        <v>3968</v>
      </c>
      <c r="AJ96" s="9">
        <f t="shared" si="64"/>
        <v>0.87884828349944633</v>
      </c>
      <c r="AK96" s="17">
        <f t="shared" si="40"/>
        <v>172.52173913043478</v>
      </c>
      <c r="AL96" s="17">
        <f t="shared" si="41"/>
        <v>6</v>
      </c>
      <c r="AM96" s="17">
        <f t="shared" si="42"/>
        <v>547</v>
      </c>
      <c r="AN96" s="17">
        <f t="shared" si="43"/>
        <v>91.166666666666671</v>
      </c>
      <c r="AO96" s="8">
        <v>6</v>
      </c>
      <c r="AP96" s="9">
        <f t="shared" si="65"/>
        <v>0.20689655172413793</v>
      </c>
      <c r="AQ96" s="8">
        <v>547</v>
      </c>
      <c r="AR96" s="9">
        <f t="shared" si="66"/>
        <v>0.12115171650055372</v>
      </c>
      <c r="AT96" s="9">
        <f t="shared" si="67"/>
        <v>0</v>
      </c>
      <c r="AV96" s="9">
        <f t="shared" si="68"/>
        <v>0</v>
      </c>
      <c r="AX96" s="9">
        <f t="shared" si="70"/>
        <v>0</v>
      </c>
      <c r="AY96" s="9">
        <f t="shared" si="44"/>
        <v>0</v>
      </c>
      <c r="AZ96" s="8">
        <v>6</v>
      </c>
      <c r="BA96" s="9">
        <f t="shared" si="71"/>
        <v>1</v>
      </c>
      <c r="BB96" s="9">
        <f t="shared" si="69"/>
        <v>0.20689655172413793</v>
      </c>
      <c r="BD96" s="9">
        <f t="shared" si="45"/>
        <v>0</v>
      </c>
      <c r="BE96" s="9" t="str">
        <f t="shared" si="46"/>
        <v/>
      </c>
      <c r="BG96" s="9">
        <f t="shared" si="47"/>
        <v>0</v>
      </c>
      <c r="BH96" s="9" t="str">
        <f t="shared" si="48"/>
        <v/>
      </c>
      <c r="BK96" s="9">
        <f t="shared" si="49"/>
        <v>0</v>
      </c>
      <c r="BL96" s="8">
        <v>547</v>
      </c>
      <c r="BM96" s="9">
        <f t="shared" si="50"/>
        <v>0.12115171650055372</v>
      </c>
    </row>
    <row r="97" spans="1:65" x14ac:dyDescent="0.4">
      <c r="A97" s="8" t="s">
        <v>1033</v>
      </c>
      <c r="B97" s="8">
        <v>142</v>
      </c>
      <c r="C97" s="8">
        <v>13</v>
      </c>
      <c r="D97" s="8">
        <v>2247</v>
      </c>
      <c r="F97" s="9">
        <f t="shared" si="38"/>
        <v>0</v>
      </c>
      <c r="H97" s="9">
        <f t="shared" si="39"/>
        <v>0</v>
      </c>
      <c r="I97" s="8">
        <v>1</v>
      </c>
      <c r="J97" s="9">
        <f t="shared" si="51"/>
        <v>7.6923076923076927E-2</v>
      </c>
      <c r="K97" s="8">
        <v>807</v>
      </c>
      <c r="L97" s="9">
        <f t="shared" si="52"/>
        <v>0.35914552736982641</v>
      </c>
      <c r="M97" s="8">
        <v>3</v>
      </c>
      <c r="N97" s="9">
        <f t="shared" si="53"/>
        <v>0.23076923076923078</v>
      </c>
      <c r="O97" s="8">
        <v>133</v>
      </c>
      <c r="P97" s="9">
        <f t="shared" si="54"/>
        <v>5.9190031152647975E-2</v>
      </c>
      <c r="Q97" s="8">
        <v>7</v>
      </c>
      <c r="R97" s="9">
        <f t="shared" si="55"/>
        <v>0.53846153846153844</v>
      </c>
      <c r="S97" s="8">
        <v>1273</v>
      </c>
      <c r="T97" s="9">
        <f t="shared" si="56"/>
        <v>0.56653315531820203</v>
      </c>
      <c r="U97" s="8">
        <v>2</v>
      </c>
      <c r="V97" s="9">
        <f t="shared" si="57"/>
        <v>0.15384615384615385</v>
      </c>
      <c r="W97" s="8">
        <v>34</v>
      </c>
      <c r="X97" s="9">
        <f t="shared" si="58"/>
        <v>1.5131286159323543E-2</v>
      </c>
      <c r="Y97" s="8">
        <v>1</v>
      </c>
      <c r="Z97" s="9">
        <f t="shared" si="59"/>
        <v>7.6923076923076927E-2</v>
      </c>
      <c r="AA97" s="8">
        <v>807</v>
      </c>
      <c r="AB97" s="9">
        <f t="shared" si="60"/>
        <v>0.35914552736982641</v>
      </c>
      <c r="AC97" s="8">
        <v>12</v>
      </c>
      <c r="AD97" s="9">
        <f t="shared" si="61"/>
        <v>0.92307692307692313</v>
      </c>
      <c r="AE97" s="8">
        <v>1440</v>
      </c>
      <c r="AF97" s="9">
        <f t="shared" si="62"/>
        <v>0.64085447263017359</v>
      </c>
      <c r="AG97" s="8">
        <v>7</v>
      </c>
      <c r="AH97" s="9">
        <f t="shared" si="63"/>
        <v>0.53846153846153844</v>
      </c>
      <c r="AI97" s="8">
        <v>2005</v>
      </c>
      <c r="AJ97" s="9">
        <f t="shared" si="64"/>
        <v>0.89230084557187361</v>
      </c>
      <c r="AK97" s="17">
        <f t="shared" si="40"/>
        <v>286.42857142857144</v>
      </c>
      <c r="AL97" s="17">
        <f t="shared" si="41"/>
        <v>6</v>
      </c>
      <c r="AM97" s="17">
        <f t="shared" si="42"/>
        <v>242</v>
      </c>
      <c r="AN97" s="17">
        <f t="shared" si="43"/>
        <v>40.333333333333336</v>
      </c>
      <c r="AO97" s="8">
        <v>3</v>
      </c>
      <c r="AP97" s="9">
        <f t="shared" si="65"/>
        <v>0.23076923076923078</v>
      </c>
      <c r="AQ97" s="8">
        <v>84</v>
      </c>
      <c r="AR97" s="9">
        <f t="shared" si="66"/>
        <v>3.7383177570093455E-2</v>
      </c>
      <c r="AS97" s="8">
        <v>3</v>
      </c>
      <c r="AT97" s="9">
        <f t="shared" si="67"/>
        <v>0.23076923076923078</v>
      </c>
      <c r="AU97" s="8">
        <v>158</v>
      </c>
      <c r="AV97" s="9">
        <f t="shared" si="68"/>
        <v>7.0315976858032939E-2</v>
      </c>
      <c r="AX97" s="9">
        <f t="shared" si="70"/>
        <v>0</v>
      </c>
      <c r="AY97" s="9">
        <f t="shared" si="44"/>
        <v>0</v>
      </c>
      <c r="AZ97" s="8">
        <v>6</v>
      </c>
      <c r="BA97" s="9">
        <f t="shared" si="71"/>
        <v>1</v>
      </c>
      <c r="BB97" s="9">
        <f t="shared" si="69"/>
        <v>0.46153846153846156</v>
      </c>
      <c r="BD97" s="9">
        <f t="shared" si="45"/>
        <v>0</v>
      </c>
      <c r="BE97" s="9" t="str">
        <f t="shared" si="46"/>
        <v/>
      </c>
      <c r="BG97" s="9">
        <f t="shared" si="47"/>
        <v>0</v>
      </c>
      <c r="BH97" s="9" t="str">
        <f t="shared" si="48"/>
        <v/>
      </c>
      <c r="BK97" s="9">
        <f t="shared" si="49"/>
        <v>0</v>
      </c>
      <c r="BL97" s="8">
        <v>242</v>
      </c>
      <c r="BM97" s="9">
        <f t="shared" si="50"/>
        <v>0.10769915442812639</v>
      </c>
    </row>
    <row r="98" spans="1:65" x14ac:dyDescent="0.4">
      <c r="A98" s="8" t="s">
        <v>1033</v>
      </c>
      <c r="B98" s="8">
        <v>184</v>
      </c>
      <c r="C98" s="8">
        <v>29</v>
      </c>
      <c r="D98" s="8">
        <v>4066</v>
      </c>
      <c r="F98" s="9">
        <f t="shared" si="38"/>
        <v>0</v>
      </c>
      <c r="H98" s="9">
        <f t="shared" si="39"/>
        <v>0</v>
      </c>
      <c r="I98" s="8">
        <v>5</v>
      </c>
      <c r="J98" s="9">
        <f t="shared" si="51"/>
        <v>0.17241379310344829</v>
      </c>
      <c r="K98" s="8">
        <v>2459</v>
      </c>
      <c r="L98" s="9">
        <f t="shared" si="52"/>
        <v>0.60477127397934083</v>
      </c>
      <c r="M98" s="8">
        <v>1</v>
      </c>
      <c r="N98" s="9">
        <f t="shared" si="53"/>
        <v>3.4482758620689655E-2</v>
      </c>
      <c r="O98" s="8">
        <v>44</v>
      </c>
      <c r="P98" s="9">
        <f t="shared" si="54"/>
        <v>1.0821446138711265E-2</v>
      </c>
      <c r="Q98" s="8">
        <v>17</v>
      </c>
      <c r="R98" s="9">
        <f t="shared" si="55"/>
        <v>0.58620689655172409</v>
      </c>
      <c r="S98" s="8">
        <v>1507</v>
      </c>
      <c r="T98" s="9">
        <f t="shared" si="56"/>
        <v>0.37063453025086079</v>
      </c>
      <c r="U98" s="8">
        <v>6</v>
      </c>
      <c r="V98" s="9">
        <f t="shared" si="57"/>
        <v>0.20689655172413793</v>
      </c>
      <c r="W98" s="8">
        <v>56</v>
      </c>
      <c r="X98" s="9">
        <f t="shared" si="58"/>
        <v>1.3772749631087064E-2</v>
      </c>
      <c r="Y98" s="8">
        <v>2</v>
      </c>
      <c r="Z98" s="9">
        <f t="shared" si="59"/>
        <v>6.8965517241379309E-2</v>
      </c>
      <c r="AA98" s="8">
        <v>953</v>
      </c>
      <c r="AB98" s="9">
        <f t="shared" si="60"/>
        <v>0.23438268568617807</v>
      </c>
      <c r="AC98" s="8">
        <v>27</v>
      </c>
      <c r="AD98" s="9">
        <f t="shared" si="61"/>
        <v>0.93103448275862066</v>
      </c>
      <c r="AE98" s="8">
        <v>3113</v>
      </c>
      <c r="AF98" s="9">
        <f t="shared" si="62"/>
        <v>0.76561731431382196</v>
      </c>
      <c r="AG98" s="8">
        <v>20</v>
      </c>
      <c r="AH98" s="9">
        <f t="shared" si="63"/>
        <v>0.68965517241379315</v>
      </c>
      <c r="AI98" s="8">
        <v>3557</v>
      </c>
      <c r="AJ98" s="9">
        <f t="shared" si="64"/>
        <v>0.87481554353172652</v>
      </c>
      <c r="AK98" s="17">
        <f t="shared" si="40"/>
        <v>177.85</v>
      </c>
      <c r="AL98" s="17">
        <f t="shared" si="41"/>
        <v>9</v>
      </c>
      <c r="AM98" s="17">
        <f t="shared" si="42"/>
        <v>509</v>
      </c>
      <c r="AN98" s="17">
        <f t="shared" si="43"/>
        <v>56.555555555555557</v>
      </c>
      <c r="AO98" s="8">
        <v>8</v>
      </c>
      <c r="AP98" s="9">
        <f t="shared" si="65"/>
        <v>0.27586206896551724</v>
      </c>
      <c r="AQ98" s="8">
        <v>508</v>
      </c>
      <c r="AR98" s="9">
        <f t="shared" si="66"/>
        <v>0.1249385145105755</v>
      </c>
      <c r="AS98" s="8">
        <v>1</v>
      </c>
      <c r="AT98" s="9">
        <f t="shared" si="67"/>
        <v>3.4482758620689655E-2</v>
      </c>
      <c r="AU98" s="8">
        <v>1</v>
      </c>
      <c r="AV98" s="9">
        <f t="shared" si="68"/>
        <v>2.4594195769798326E-4</v>
      </c>
      <c r="AX98" s="9">
        <f t="shared" si="70"/>
        <v>0</v>
      </c>
      <c r="AY98" s="9">
        <f t="shared" si="44"/>
        <v>0</v>
      </c>
      <c r="AZ98" s="8">
        <v>9</v>
      </c>
      <c r="BA98" s="9">
        <f t="shared" si="71"/>
        <v>1</v>
      </c>
      <c r="BB98" s="9">
        <f t="shared" si="69"/>
        <v>0.31034482758620691</v>
      </c>
      <c r="BD98" s="9">
        <f t="shared" si="45"/>
        <v>0</v>
      </c>
      <c r="BE98" s="9" t="str">
        <f t="shared" si="46"/>
        <v/>
      </c>
      <c r="BG98" s="9">
        <f t="shared" si="47"/>
        <v>0</v>
      </c>
      <c r="BH98" s="9" t="str">
        <f t="shared" si="48"/>
        <v/>
      </c>
      <c r="BK98" s="9">
        <f t="shared" si="49"/>
        <v>0</v>
      </c>
      <c r="BL98" s="8">
        <v>509</v>
      </c>
      <c r="BM98" s="9">
        <f t="shared" si="50"/>
        <v>0.12518445646827348</v>
      </c>
    </row>
    <row r="99" spans="1:65" x14ac:dyDescent="0.4">
      <c r="A99" s="8" t="s">
        <v>1033</v>
      </c>
      <c r="B99" s="8">
        <v>185</v>
      </c>
      <c r="C99" s="8">
        <v>31</v>
      </c>
      <c r="D99" s="8">
        <v>3319</v>
      </c>
      <c r="F99" s="9">
        <f t="shared" si="38"/>
        <v>0</v>
      </c>
      <c r="H99" s="9">
        <f t="shared" si="39"/>
        <v>0</v>
      </c>
      <c r="I99" s="8">
        <v>5</v>
      </c>
      <c r="J99" s="9">
        <f t="shared" si="51"/>
        <v>0.16129032258064516</v>
      </c>
      <c r="K99" s="8">
        <v>2507</v>
      </c>
      <c r="L99" s="9">
        <f t="shared" si="52"/>
        <v>0.75534799638445316</v>
      </c>
      <c r="M99" s="8">
        <v>1</v>
      </c>
      <c r="N99" s="9">
        <f t="shared" si="53"/>
        <v>3.2258064516129031E-2</v>
      </c>
      <c r="O99" s="8">
        <v>12</v>
      </c>
      <c r="P99" s="9">
        <f t="shared" si="54"/>
        <v>3.6155468514612837E-3</v>
      </c>
      <c r="Q99" s="8">
        <v>10</v>
      </c>
      <c r="R99" s="9">
        <f t="shared" si="55"/>
        <v>0.32258064516129031</v>
      </c>
      <c r="S99" s="8">
        <v>696</v>
      </c>
      <c r="T99" s="9">
        <f t="shared" si="56"/>
        <v>0.20970171738475443</v>
      </c>
      <c r="U99" s="8">
        <v>15</v>
      </c>
      <c r="V99" s="9">
        <f t="shared" si="57"/>
        <v>0.4838709677419355</v>
      </c>
      <c r="W99" s="8">
        <v>104</v>
      </c>
      <c r="X99" s="9">
        <f t="shared" si="58"/>
        <v>3.1334739379331122E-2</v>
      </c>
      <c r="Y99" s="8">
        <v>2</v>
      </c>
      <c r="Z99" s="9">
        <f t="shared" si="59"/>
        <v>6.4516129032258063E-2</v>
      </c>
      <c r="AA99" s="8">
        <v>904</v>
      </c>
      <c r="AB99" s="9">
        <f t="shared" si="60"/>
        <v>0.27237119614341671</v>
      </c>
      <c r="AC99" s="8">
        <v>29</v>
      </c>
      <c r="AD99" s="9">
        <f t="shared" si="61"/>
        <v>0.93548387096774188</v>
      </c>
      <c r="AE99" s="8">
        <v>2415</v>
      </c>
      <c r="AF99" s="9">
        <f t="shared" si="62"/>
        <v>0.72762880385658335</v>
      </c>
      <c r="AG99" s="8">
        <v>24</v>
      </c>
      <c r="AH99" s="9">
        <f t="shared" si="63"/>
        <v>0.77419354838709675</v>
      </c>
      <c r="AI99" s="8">
        <v>3172</v>
      </c>
      <c r="AJ99" s="9">
        <f t="shared" si="64"/>
        <v>0.95570955106959932</v>
      </c>
      <c r="AK99" s="17">
        <f t="shared" si="40"/>
        <v>132.16666666666666</v>
      </c>
      <c r="AL99" s="17">
        <f t="shared" si="41"/>
        <v>7</v>
      </c>
      <c r="AM99" s="17">
        <f t="shared" si="42"/>
        <v>147</v>
      </c>
      <c r="AN99" s="17">
        <f t="shared" si="43"/>
        <v>21</v>
      </c>
      <c r="AO99" s="8">
        <v>7</v>
      </c>
      <c r="AP99" s="9">
        <f t="shared" si="65"/>
        <v>0.22580645161290322</v>
      </c>
      <c r="AQ99" s="8">
        <v>147</v>
      </c>
      <c r="AR99" s="9">
        <f t="shared" si="66"/>
        <v>4.4290448930400725E-2</v>
      </c>
      <c r="AT99" s="9">
        <f t="shared" si="67"/>
        <v>0</v>
      </c>
      <c r="AV99" s="9">
        <f t="shared" si="68"/>
        <v>0</v>
      </c>
      <c r="AX99" s="9">
        <f t="shared" si="70"/>
        <v>0</v>
      </c>
      <c r="AY99" s="9">
        <f t="shared" si="44"/>
        <v>0</v>
      </c>
      <c r="AZ99" s="8">
        <v>7</v>
      </c>
      <c r="BA99" s="9">
        <f t="shared" si="71"/>
        <v>1</v>
      </c>
      <c r="BB99" s="9">
        <f t="shared" si="69"/>
        <v>0.22580645161290322</v>
      </c>
      <c r="BD99" s="9">
        <f t="shared" si="45"/>
        <v>0</v>
      </c>
      <c r="BE99" s="9" t="str">
        <f t="shared" si="46"/>
        <v/>
      </c>
      <c r="BG99" s="9">
        <f t="shared" si="47"/>
        <v>0</v>
      </c>
      <c r="BH99" s="9" t="str">
        <f t="shared" si="48"/>
        <v/>
      </c>
      <c r="BK99" s="9">
        <f t="shared" si="49"/>
        <v>0</v>
      </c>
      <c r="BL99" s="8">
        <v>147</v>
      </c>
      <c r="BM99" s="9">
        <f t="shared" si="50"/>
        <v>4.4290448930400725E-2</v>
      </c>
    </row>
    <row r="100" spans="1:65" x14ac:dyDescent="0.4">
      <c r="A100" s="8" t="s">
        <v>1033</v>
      </c>
      <c r="B100" s="8">
        <v>200</v>
      </c>
      <c r="C100" s="8">
        <v>23</v>
      </c>
      <c r="D100" s="8">
        <v>3899</v>
      </c>
      <c r="E100" s="8">
        <v>1</v>
      </c>
      <c r="F100" s="9">
        <f t="shared" si="38"/>
        <v>4.3478260869565216E-2</v>
      </c>
      <c r="G100" s="8">
        <v>105</v>
      </c>
      <c r="H100" s="9">
        <f t="shared" si="39"/>
        <v>2.6929982046678635E-2</v>
      </c>
      <c r="I100" s="8">
        <v>5</v>
      </c>
      <c r="J100" s="9">
        <f t="shared" si="51"/>
        <v>0.21739130434782608</v>
      </c>
      <c r="K100" s="8">
        <v>2957</v>
      </c>
      <c r="L100" s="9">
        <f t="shared" si="52"/>
        <v>0.75839958963836884</v>
      </c>
      <c r="N100" s="9">
        <f t="shared" si="53"/>
        <v>0</v>
      </c>
      <c r="P100" s="9">
        <f t="shared" si="54"/>
        <v>0</v>
      </c>
      <c r="Q100" s="8">
        <v>8</v>
      </c>
      <c r="R100" s="9">
        <f t="shared" si="55"/>
        <v>0.34782608695652173</v>
      </c>
      <c r="S100" s="8">
        <v>799</v>
      </c>
      <c r="T100" s="9">
        <f t="shared" si="56"/>
        <v>0.2049243395742498</v>
      </c>
      <c r="U100" s="8">
        <v>9</v>
      </c>
      <c r="V100" s="9">
        <f t="shared" si="57"/>
        <v>0.39130434782608697</v>
      </c>
      <c r="W100" s="8">
        <v>38</v>
      </c>
      <c r="X100" s="9">
        <f t="shared" si="58"/>
        <v>9.7460887407027439E-3</v>
      </c>
      <c r="Y100" s="8">
        <v>5</v>
      </c>
      <c r="Z100" s="9">
        <f t="shared" si="59"/>
        <v>0.21739130434782608</v>
      </c>
      <c r="AA100" s="8">
        <v>1754</v>
      </c>
      <c r="AB100" s="9">
        <f t="shared" si="60"/>
        <v>0.4498589381892793</v>
      </c>
      <c r="AC100" s="8">
        <v>18</v>
      </c>
      <c r="AD100" s="9">
        <f t="shared" si="61"/>
        <v>0.78260869565217395</v>
      </c>
      <c r="AE100" s="8">
        <v>2145</v>
      </c>
      <c r="AF100" s="9">
        <f t="shared" si="62"/>
        <v>0.55014106181072064</v>
      </c>
      <c r="AG100" s="8">
        <v>16</v>
      </c>
      <c r="AH100" s="9">
        <f t="shared" si="63"/>
        <v>0.69565217391304346</v>
      </c>
      <c r="AI100" s="8">
        <v>3810</v>
      </c>
      <c r="AJ100" s="9">
        <f t="shared" si="64"/>
        <v>0.97717363426519621</v>
      </c>
      <c r="AK100" s="17">
        <f t="shared" si="40"/>
        <v>238.125</v>
      </c>
      <c r="AL100" s="17">
        <f t="shared" si="41"/>
        <v>7</v>
      </c>
      <c r="AM100" s="17">
        <f t="shared" si="42"/>
        <v>89</v>
      </c>
      <c r="AN100" s="17">
        <f t="shared" si="43"/>
        <v>12.714285714285714</v>
      </c>
      <c r="AO100" s="8">
        <v>4</v>
      </c>
      <c r="AP100" s="9">
        <f t="shared" si="65"/>
        <v>0.17391304347826086</v>
      </c>
      <c r="AQ100" s="8">
        <v>27</v>
      </c>
      <c r="AR100" s="9">
        <f t="shared" si="66"/>
        <v>6.9248525262887916E-3</v>
      </c>
      <c r="AS100" s="8">
        <v>3</v>
      </c>
      <c r="AT100" s="9">
        <f t="shared" si="67"/>
        <v>0.13043478260869565</v>
      </c>
      <c r="AU100" s="8">
        <v>62</v>
      </c>
      <c r="AV100" s="9">
        <f t="shared" si="68"/>
        <v>1.5901513208515003E-2</v>
      </c>
      <c r="AX100" s="9">
        <f t="shared" si="70"/>
        <v>0</v>
      </c>
      <c r="AY100" s="9">
        <f t="shared" si="44"/>
        <v>0</v>
      </c>
      <c r="AZ100" s="8">
        <v>7</v>
      </c>
      <c r="BA100" s="9">
        <f t="shared" si="71"/>
        <v>1</v>
      </c>
      <c r="BB100" s="9">
        <f t="shared" si="69"/>
        <v>0.30434782608695654</v>
      </c>
      <c r="BD100" s="9">
        <f t="shared" si="45"/>
        <v>0</v>
      </c>
      <c r="BE100" s="9" t="str">
        <f t="shared" si="46"/>
        <v/>
      </c>
      <c r="BG100" s="9">
        <f t="shared" si="47"/>
        <v>0</v>
      </c>
      <c r="BH100" s="9" t="str">
        <f t="shared" si="48"/>
        <v/>
      </c>
      <c r="BK100" s="9">
        <f t="shared" si="49"/>
        <v>0</v>
      </c>
      <c r="BL100" s="8">
        <v>89</v>
      </c>
      <c r="BM100" s="9">
        <f t="shared" si="50"/>
        <v>2.2826365734803795E-2</v>
      </c>
    </row>
    <row r="101" spans="1:65" x14ac:dyDescent="0.4">
      <c r="A101" s="8" t="s">
        <v>1033</v>
      </c>
      <c r="B101" s="8">
        <v>202</v>
      </c>
      <c r="C101" s="8">
        <v>18</v>
      </c>
      <c r="D101" s="8">
        <v>1616</v>
      </c>
      <c r="F101" s="9">
        <f t="shared" si="38"/>
        <v>0</v>
      </c>
      <c r="H101" s="9">
        <f t="shared" si="39"/>
        <v>0</v>
      </c>
      <c r="I101" s="8">
        <v>2</v>
      </c>
      <c r="J101" s="9">
        <f t="shared" si="51"/>
        <v>0.1111111111111111</v>
      </c>
      <c r="K101" s="8">
        <v>666</v>
      </c>
      <c r="L101" s="9">
        <f t="shared" si="52"/>
        <v>0.41212871287128711</v>
      </c>
      <c r="N101" s="9">
        <f t="shared" si="53"/>
        <v>0</v>
      </c>
      <c r="P101" s="9">
        <f t="shared" si="54"/>
        <v>0</v>
      </c>
      <c r="Q101" s="8">
        <v>8</v>
      </c>
      <c r="R101" s="9">
        <f t="shared" si="55"/>
        <v>0.44444444444444442</v>
      </c>
      <c r="S101" s="8">
        <v>900</v>
      </c>
      <c r="T101" s="9">
        <f t="shared" si="56"/>
        <v>0.55693069306930698</v>
      </c>
      <c r="U101" s="8">
        <v>8</v>
      </c>
      <c r="V101" s="9">
        <f t="shared" si="57"/>
        <v>0.44444444444444442</v>
      </c>
      <c r="W101" s="8">
        <v>50</v>
      </c>
      <c r="X101" s="9">
        <f t="shared" si="58"/>
        <v>3.094059405940594E-2</v>
      </c>
      <c r="Y101" s="8">
        <v>2</v>
      </c>
      <c r="Z101" s="9">
        <f t="shared" si="59"/>
        <v>0.1111111111111111</v>
      </c>
      <c r="AA101" s="8">
        <v>666</v>
      </c>
      <c r="AB101" s="9">
        <f t="shared" si="60"/>
        <v>0.41212871287128711</v>
      </c>
      <c r="AC101" s="8">
        <v>16</v>
      </c>
      <c r="AD101" s="9">
        <f t="shared" si="61"/>
        <v>0.88888888888888884</v>
      </c>
      <c r="AE101" s="8">
        <v>950</v>
      </c>
      <c r="AF101" s="9">
        <f t="shared" si="62"/>
        <v>0.58787128712871284</v>
      </c>
      <c r="AG101" s="8">
        <v>7</v>
      </c>
      <c r="AH101" s="9">
        <f t="shared" si="63"/>
        <v>0.3888888888888889</v>
      </c>
      <c r="AI101" s="8">
        <v>574</v>
      </c>
      <c r="AJ101" s="9">
        <f t="shared" si="64"/>
        <v>0.35519801980198018</v>
      </c>
      <c r="AK101" s="17">
        <f t="shared" si="40"/>
        <v>82</v>
      </c>
      <c r="AL101" s="17">
        <f t="shared" si="41"/>
        <v>11</v>
      </c>
      <c r="AM101" s="17">
        <f t="shared" si="42"/>
        <v>1042</v>
      </c>
      <c r="AN101" s="17">
        <f t="shared" si="43"/>
        <v>94.727272727272734</v>
      </c>
      <c r="AO101" s="8">
        <v>11</v>
      </c>
      <c r="AP101" s="9">
        <f t="shared" si="65"/>
        <v>0.61111111111111116</v>
      </c>
      <c r="AQ101" s="8">
        <v>1042</v>
      </c>
      <c r="AR101" s="9">
        <f t="shared" si="66"/>
        <v>0.64480198019801982</v>
      </c>
      <c r="AT101" s="9">
        <f t="shared" si="67"/>
        <v>0</v>
      </c>
      <c r="AV101" s="9">
        <f t="shared" si="68"/>
        <v>0</v>
      </c>
      <c r="AW101" s="8">
        <v>2</v>
      </c>
      <c r="AX101" s="9">
        <f t="shared" si="70"/>
        <v>0.18181818181818182</v>
      </c>
      <c r="AY101" s="9">
        <f t="shared" si="44"/>
        <v>0.1111111111111111</v>
      </c>
      <c r="AZ101" s="8">
        <v>9</v>
      </c>
      <c r="BA101" s="9">
        <f t="shared" si="71"/>
        <v>0.81818181818181823</v>
      </c>
      <c r="BB101" s="9">
        <f t="shared" si="69"/>
        <v>0.5</v>
      </c>
      <c r="BC101" s="8">
        <v>1</v>
      </c>
      <c r="BD101" s="9">
        <f t="shared" si="45"/>
        <v>0.5</v>
      </c>
      <c r="BE101" s="9">
        <f t="shared" si="46"/>
        <v>0.5</v>
      </c>
      <c r="BG101" s="9">
        <f t="shared" si="47"/>
        <v>0</v>
      </c>
      <c r="BH101" s="9">
        <f t="shared" si="48"/>
        <v>0</v>
      </c>
      <c r="BJ101" s="8">
        <v>666</v>
      </c>
      <c r="BK101" s="9">
        <f t="shared" si="49"/>
        <v>0.41212871287128711</v>
      </c>
      <c r="BL101" s="8">
        <v>376</v>
      </c>
      <c r="BM101" s="9">
        <f t="shared" si="50"/>
        <v>0.23267326732673269</v>
      </c>
    </row>
    <row r="102" spans="1:65" x14ac:dyDescent="0.4">
      <c r="A102" s="8" t="s">
        <v>1033</v>
      </c>
      <c r="B102" s="8">
        <v>212</v>
      </c>
      <c r="C102" s="8">
        <v>12</v>
      </c>
      <c r="D102" s="8">
        <v>563</v>
      </c>
      <c r="F102" s="9">
        <f t="shared" si="38"/>
        <v>0</v>
      </c>
      <c r="H102" s="9">
        <f t="shared" si="39"/>
        <v>0</v>
      </c>
      <c r="J102" s="9">
        <f t="shared" si="51"/>
        <v>0</v>
      </c>
      <c r="L102" s="9">
        <f t="shared" si="52"/>
        <v>0</v>
      </c>
      <c r="N102" s="9">
        <f t="shared" si="53"/>
        <v>0</v>
      </c>
      <c r="P102" s="9">
        <f t="shared" si="54"/>
        <v>0</v>
      </c>
      <c r="Q102" s="8">
        <v>2</v>
      </c>
      <c r="R102" s="9">
        <f t="shared" si="55"/>
        <v>0.16666666666666666</v>
      </c>
      <c r="S102" s="8">
        <v>523</v>
      </c>
      <c r="T102" s="9">
        <f t="shared" si="56"/>
        <v>0.9289520426287744</v>
      </c>
      <c r="U102" s="8">
        <v>10</v>
      </c>
      <c r="V102" s="9">
        <f t="shared" si="57"/>
        <v>0.83333333333333337</v>
      </c>
      <c r="W102" s="8">
        <v>40</v>
      </c>
      <c r="X102" s="9">
        <f t="shared" si="58"/>
        <v>7.1047957371225573E-2</v>
      </c>
      <c r="Z102" s="9">
        <f t="shared" si="59"/>
        <v>0</v>
      </c>
      <c r="AB102" s="9">
        <f t="shared" si="60"/>
        <v>0</v>
      </c>
      <c r="AC102" s="8">
        <v>12</v>
      </c>
      <c r="AD102" s="9">
        <f t="shared" si="61"/>
        <v>1</v>
      </c>
      <c r="AE102" s="8">
        <v>563</v>
      </c>
      <c r="AF102" s="9">
        <f t="shared" si="62"/>
        <v>1</v>
      </c>
      <c r="AG102" s="8">
        <v>2</v>
      </c>
      <c r="AH102" s="9">
        <f t="shared" si="63"/>
        <v>0.16666666666666666</v>
      </c>
      <c r="AI102" s="8">
        <v>523</v>
      </c>
      <c r="AJ102" s="9">
        <f t="shared" si="64"/>
        <v>0.9289520426287744</v>
      </c>
      <c r="AK102" s="17">
        <f t="shared" si="40"/>
        <v>261.5</v>
      </c>
      <c r="AL102" s="17">
        <f t="shared" si="41"/>
        <v>10</v>
      </c>
      <c r="AM102" s="17">
        <f t="shared" si="42"/>
        <v>40</v>
      </c>
      <c r="AN102" s="17">
        <f t="shared" si="43"/>
        <v>4</v>
      </c>
      <c r="AO102" s="8">
        <v>10</v>
      </c>
      <c r="AP102" s="9">
        <f t="shared" si="65"/>
        <v>0.83333333333333337</v>
      </c>
      <c r="AQ102" s="8">
        <v>40</v>
      </c>
      <c r="AR102" s="9">
        <f t="shared" si="66"/>
        <v>7.1047957371225573E-2</v>
      </c>
      <c r="AT102" s="9">
        <f t="shared" si="67"/>
        <v>0</v>
      </c>
      <c r="AV102" s="9">
        <f t="shared" si="68"/>
        <v>0</v>
      </c>
      <c r="AX102" s="9">
        <f t="shared" si="70"/>
        <v>0</v>
      </c>
      <c r="AY102" s="9">
        <f t="shared" si="44"/>
        <v>0</v>
      </c>
      <c r="AZ102" s="8">
        <v>10</v>
      </c>
      <c r="BA102" s="9">
        <f t="shared" si="71"/>
        <v>1</v>
      </c>
      <c r="BB102" s="9">
        <f t="shared" si="69"/>
        <v>0.83333333333333337</v>
      </c>
      <c r="BD102" s="9">
        <f t="shared" si="45"/>
        <v>0</v>
      </c>
      <c r="BE102" s="9" t="str">
        <f t="shared" si="46"/>
        <v/>
      </c>
      <c r="BG102" s="9">
        <f t="shared" si="47"/>
        <v>0</v>
      </c>
      <c r="BH102" s="9" t="str">
        <f t="shared" si="48"/>
        <v/>
      </c>
      <c r="BK102" s="9">
        <f t="shared" si="49"/>
        <v>0</v>
      </c>
      <c r="BL102" s="8">
        <v>40</v>
      </c>
      <c r="BM102" s="9">
        <f t="shared" si="50"/>
        <v>7.1047957371225573E-2</v>
      </c>
    </row>
    <row r="103" spans="1:65" x14ac:dyDescent="0.4">
      <c r="A103" s="8" t="s">
        <v>1033</v>
      </c>
      <c r="B103" s="8">
        <v>216</v>
      </c>
      <c r="C103" s="8">
        <v>27</v>
      </c>
      <c r="D103" s="8">
        <v>4722</v>
      </c>
      <c r="F103" s="9">
        <f t="shared" si="38"/>
        <v>0</v>
      </c>
      <c r="H103" s="9">
        <f t="shared" si="39"/>
        <v>0</v>
      </c>
      <c r="I103" s="8">
        <v>7</v>
      </c>
      <c r="J103" s="9">
        <f t="shared" si="51"/>
        <v>0.25925925925925924</v>
      </c>
      <c r="K103" s="8">
        <v>4312</v>
      </c>
      <c r="L103" s="9">
        <f t="shared" si="52"/>
        <v>0.91317238458280392</v>
      </c>
      <c r="M103" s="8">
        <v>1</v>
      </c>
      <c r="N103" s="9">
        <f t="shared" si="53"/>
        <v>3.7037037037037035E-2</v>
      </c>
      <c r="O103" s="8">
        <v>101</v>
      </c>
      <c r="P103" s="9">
        <f t="shared" si="54"/>
        <v>2.1389241846675136E-2</v>
      </c>
      <c r="Q103" s="8">
        <v>3</v>
      </c>
      <c r="R103" s="9">
        <f t="shared" si="55"/>
        <v>0.1111111111111111</v>
      </c>
      <c r="S103" s="8">
        <v>167</v>
      </c>
      <c r="T103" s="9">
        <f t="shared" si="56"/>
        <v>3.5366370182126218E-2</v>
      </c>
      <c r="U103" s="8">
        <v>16</v>
      </c>
      <c r="V103" s="9">
        <f t="shared" si="57"/>
        <v>0.59259259259259256</v>
      </c>
      <c r="W103" s="8">
        <v>142</v>
      </c>
      <c r="X103" s="9">
        <f t="shared" si="58"/>
        <v>3.0072003388394747E-2</v>
      </c>
      <c r="Y103" s="8">
        <v>6</v>
      </c>
      <c r="Z103" s="9">
        <f t="shared" si="59"/>
        <v>0.22222222222222221</v>
      </c>
      <c r="AA103" s="8">
        <v>3580</v>
      </c>
      <c r="AB103" s="9">
        <f t="shared" si="60"/>
        <v>0.75815332486234643</v>
      </c>
      <c r="AC103" s="8">
        <v>21</v>
      </c>
      <c r="AD103" s="9">
        <f t="shared" si="61"/>
        <v>0.77777777777777779</v>
      </c>
      <c r="AE103" s="8">
        <v>1142</v>
      </c>
      <c r="AF103" s="9">
        <f t="shared" si="62"/>
        <v>0.24184667513765354</v>
      </c>
      <c r="AG103" s="8">
        <v>10</v>
      </c>
      <c r="AH103" s="9">
        <f t="shared" si="63"/>
        <v>0.37037037037037035</v>
      </c>
      <c r="AI103" s="8">
        <v>3979</v>
      </c>
      <c r="AJ103" s="9">
        <f t="shared" si="64"/>
        <v>0.84265141889030071</v>
      </c>
      <c r="AK103" s="17">
        <f t="shared" si="40"/>
        <v>397.9</v>
      </c>
      <c r="AL103" s="17">
        <f t="shared" si="41"/>
        <v>17</v>
      </c>
      <c r="AM103" s="17">
        <f t="shared" si="42"/>
        <v>743</v>
      </c>
      <c r="AN103" s="17">
        <f t="shared" si="43"/>
        <v>43.705882352941174</v>
      </c>
      <c r="AO103" s="8">
        <v>17</v>
      </c>
      <c r="AP103" s="9">
        <f t="shared" si="65"/>
        <v>0.62962962962962965</v>
      </c>
      <c r="AQ103" s="8">
        <v>743</v>
      </c>
      <c r="AR103" s="9">
        <f t="shared" si="66"/>
        <v>0.15734858110969929</v>
      </c>
      <c r="AT103" s="9">
        <f t="shared" si="67"/>
        <v>0</v>
      </c>
      <c r="AV103" s="9">
        <f t="shared" si="68"/>
        <v>0</v>
      </c>
      <c r="AW103" s="8">
        <v>3</v>
      </c>
      <c r="AX103" s="9">
        <f t="shared" si="70"/>
        <v>0.17647058823529413</v>
      </c>
      <c r="AY103" s="9">
        <f t="shared" si="44"/>
        <v>0.1111111111111111</v>
      </c>
      <c r="AZ103" s="8">
        <v>14</v>
      </c>
      <c r="BA103" s="9">
        <f t="shared" si="71"/>
        <v>0.82352941176470584</v>
      </c>
      <c r="BB103" s="9">
        <f t="shared" si="69"/>
        <v>0.51851851851851849</v>
      </c>
      <c r="BC103" s="8">
        <v>1</v>
      </c>
      <c r="BD103" s="9">
        <f t="shared" si="45"/>
        <v>0.33333333333333331</v>
      </c>
      <c r="BE103" s="9">
        <f t="shared" si="46"/>
        <v>0.33333333333333331</v>
      </c>
      <c r="BF103" s="8">
        <v>2</v>
      </c>
      <c r="BG103" s="9">
        <f>IF(($AW103-$BI103)&lt;&gt;0, BF103/($AW103-$BI103), 0)</f>
        <v>0.66666666666666663</v>
      </c>
      <c r="BH103" s="9">
        <f t="shared" si="48"/>
        <v>0.66666666666666663</v>
      </c>
      <c r="BJ103" s="8">
        <v>594</v>
      </c>
      <c r="BK103" s="9">
        <f t="shared" si="49"/>
        <v>0.12579415501905972</v>
      </c>
      <c r="BL103" s="8">
        <v>149</v>
      </c>
      <c r="BM103" s="9">
        <f t="shared" si="50"/>
        <v>3.1554426090639562E-2</v>
      </c>
    </row>
    <row r="104" spans="1:65" x14ac:dyDescent="0.4">
      <c r="A104" s="8" t="s">
        <v>1033</v>
      </c>
      <c r="B104" s="8">
        <v>220</v>
      </c>
      <c r="C104" s="8">
        <v>31</v>
      </c>
      <c r="D104" s="8">
        <v>3015</v>
      </c>
      <c r="F104" s="9">
        <f t="shared" si="38"/>
        <v>0</v>
      </c>
      <c r="H104" s="9">
        <f t="shared" si="39"/>
        <v>0</v>
      </c>
      <c r="I104" s="8">
        <v>2</v>
      </c>
      <c r="J104" s="9">
        <f t="shared" si="51"/>
        <v>6.4516129032258063E-2</v>
      </c>
      <c r="K104" s="8">
        <v>1950</v>
      </c>
      <c r="L104" s="9">
        <f t="shared" si="52"/>
        <v>0.64676616915422891</v>
      </c>
      <c r="M104" s="8">
        <v>4</v>
      </c>
      <c r="N104" s="9">
        <f t="shared" si="53"/>
        <v>0.12903225806451613</v>
      </c>
      <c r="O104" s="8">
        <v>383</v>
      </c>
      <c r="P104" s="9">
        <f t="shared" si="54"/>
        <v>0.12703150912106137</v>
      </c>
      <c r="Q104" s="8">
        <v>5</v>
      </c>
      <c r="R104" s="9">
        <f t="shared" si="55"/>
        <v>0.16129032258064516</v>
      </c>
      <c r="S104" s="8">
        <v>425</v>
      </c>
      <c r="T104" s="9">
        <f t="shared" si="56"/>
        <v>0.14096185737976782</v>
      </c>
      <c r="U104" s="8">
        <v>20</v>
      </c>
      <c r="V104" s="9">
        <f t="shared" si="57"/>
        <v>0.64516129032258063</v>
      </c>
      <c r="W104" s="8">
        <v>257</v>
      </c>
      <c r="X104" s="9">
        <f t="shared" si="58"/>
        <v>8.5240464344941952E-2</v>
      </c>
      <c r="Y104" s="8">
        <v>3</v>
      </c>
      <c r="Z104" s="9">
        <f t="shared" si="59"/>
        <v>9.6774193548387094E-2</v>
      </c>
      <c r="AA104" s="8">
        <v>2044</v>
      </c>
      <c r="AB104" s="9">
        <f t="shared" si="60"/>
        <v>0.67794361525704805</v>
      </c>
      <c r="AC104" s="8">
        <v>28</v>
      </c>
      <c r="AD104" s="9">
        <f t="shared" si="61"/>
        <v>0.90322580645161288</v>
      </c>
      <c r="AE104" s="8">
        <v>971</v>
      </c>
      <c r="AF104" s="9">
        <f t="shared" si="62"/>
        <v>0.3220563847429519</v>
      </c>
      <c r="AG104" s="8">
        <v>16</v>
      </c>
      <c r="AH104" s="9">
        <f t="shared" si="63"/>
        <v>0.5161290322580645</v>
      </c>
      <c r="AI104" s="8">
        <v>2258</v>
      </c>
      <c r="AJ104" s="9">
        <f t="shared" si="64"/>
        <v>0.74892205638474296</v>
      </c>
      <c r="AK104" s="17">
        <f t="shared" si="40"/>
        <v>141.125</v>
      </c>
      <c r="AL104" s="17">
        <f t="shared" si="41"/>
        <v>15</v>
      </c>
      <c r="AM104" s="17">
        <f t="shared" si="42"/>
        <v>757</v>
      </c>
      <c r="AN104" s="17">
        <f t="shared" si="43"/>
        <v>50.466666666666669</v>
      </c>
      <c r="AO104" s="8">
        <v>15</v>
      </c>
      <c r="AP104" s="9">
        <f t="shared" si="65"/>
        <v>0.4838709677419355</v>
      </c>
      <c r="AQ104" s="8">
        <v>757</v>
      </c>
      <c r="AR104" s="9">
        <f t="shared" si="66"/>
        <v>0.25107794361525704</v>
      </c>
      <c r="AT104" s="9">
        <f t="shared" si="67"/>
        <v>0</v>
      </c>
      <c r="AV104" s="9">
        <f t="shared" si="68"/>
        <v>0</v>
      </c>
      <c r="AW104" s="8">
        <v>1</v>
      </c>
      <c r="AX104" s="9">
        <f t="shared" si="70"/>
        <v>6.6666666666666666E-2</v>
      </c>
      <c r="AY104" s="9">
        <f t="shared" si="44"/>
        <v>3.2258064516129031E-2</v>
      </c>
      <c r="AZ104" s="8">
        <v>14</v>
      </c>
      <c r="BA104" s="9">
        <f t="shared" si="71"/>
        <v>0.93333333333333335</v>
      </c>
      <c r="BB104" s="9">
        <f t="shared" si="69"/>
        <v>0.45161290322580644</v>
      </c>
      <c r="BC104" s="8">
        <v>1</v>
      </c>
      <c r="BD104" s="9">
        <f t="shared" si="45"/>
        <v>1</v>
      </c>
      <c r="BE104" s="9">
        <f t="shared" si="46"/>
        <v>1</v>
      </c>
      <c r="BG104" s="9">
        <f t="shared" si="47"/>
        <v>0</v>
      </c>
      <c r="BH104" s="9">
        <f t="shared" si="48"/>
        <v>0</v>
      </c>
      <c r="BJ104" s="8">
        <v>94</v>
      </c>
      <c r="BK104" s="9">
        <f t="shared" si="49"/>
        <v>3.1177446102819237E-2</v>
      </c>
      <c r="BL104" s="8">
        <v>663</v>
      </c>
      <c r="BM104" s="9">
        <f t="shared" si="50"/>
        <v>0.21990049751243781</v>
      </c>
    </row>
    <row r="105" spans="1:65" x14ac:dyDescent="0.4">
      <c r="A105" s="8" t="s">
        <v>1033</v>
      </c>
      <c r="B105" s="8">
        <v>242</v>
      </c>
      <c r="C105" s="8">
        <v>22</v>
      </c>
      <c r="D105" s="8">
        <v>5513</v>
      </c>
      <c r="F105" s="9">
        <f t="shared" si="38"/>
        <v>0</v>
      </c>
      <c r="H105" s="9">
        <f t="shared" si="39"/>
        <v>0</v>
      </c>
      <c r="I105" s="8">
        <v>6</v>
      </c>
      <c r="J105" s="9">
        <f t="shared" si="51"/>
        <v>0.27272727272727271</v>
      </c>
      <c r="K105" s="8">
        <v>4878</v>
      </c>
      <c r="L105" s="9">
        <f t="shared" si="52"/>
        <v>0.88481770360964995</v>
      </c>
      <c r="M105" s="8">
        <v>3</v>
      </c>
      <c r="N105" s="9">
        <f t="shared" si="53"/>
        <v>0.13636363636363635</v>
      </c>
      <c r="O105" s="8">
        <v>222</v>
      </c>
      <c r="P105" s="9">
        <f t="shared" si="54"/>
        <v>4.0268456375838924E-2</v>
      </c>
      <c r="Q105" s="8">
        <v>4</v>
      </c>
      <c r="R105" s="9">
        <f t="shared" si="55"/>
        <v>0.18181818181818182</v>
      </c>
      <c r="S105" s="8">
        <v>294</v>
      </c>
      <c r="T105" s="9">
        <f t="shared" si="56"/>
        <v>5.3328496281516417E-2</v>
      </c>
      <c r="U105" s="8">
        <v>9</v>
      </c>
      <c r="V105" s="9">
        <f t="shared" si="57"/>
        <v>0.40909090909090912</v>
      </c>
      <c r="W105" s="8">
        <v>119</v>
      </c>
      <c r="X105" s="9">
        <f t="shared" si="58"/>
        <v>2.1585343732994741E-2</v>
      </c>
      <c r="Y105" s="8">
        <v>5</v>
      </c>
      <c r="Z105" s="9">
        <f t="shared" si="59"/>
        <v>0.22727272727272727</v>
      </c>
      <c r="AA105" s="8">
        <v>2787</v>
      </c>
      <c r="AB105" s="9">
        <f t="shared" si="60"/>
        <v>0.50553237801559947</v>
      </c>
      <c r="AC105" s="8">
        <v>17</v>
      </c>
      <c r="AD105" s="9">
        <f t="shared" si="61"/>
        <v>0.77272727272727271</v>
      </c>
      <c r="AE105" s="8">
        <v>2726</v>
      </c>
      <c r="AF105" s="9">
        <f t="shared" si="62"/>
        <v>0.49446762198440053</v>
      </c>
      <c r="AG105" s="8">
        <v>9</v>
      </c>
      <c r="AH105" s="9">
        <f t="shared" si="63"/>
        <v>0.40909090909090912</v>
      </c>
      <c r="AI105" s="8">
        <v>4751</v>
      </c>
      <c r="AJ105" s="9">
        <f t="shared" si="64"/>
        <v>0.86178124433157988</v>
      </c>
      <c r="AK105" s="17">
        <f t="shared" si="40"/>
        <v>527.88888888888891</v>
      </c>
      <c r="AL105" s="17">
        <f t="shared" si="41"/>
        <v>13</v>
      </c>
      <c r="AM105" s="17">
        <f t="shared" si="42"/>
        <v>762</v>
      </c>
      <c r="AN105" s="17">
        <f t="shared" si="43"/>
        <v>58.615384615384613</v>
      </c>
      <c r="AO105" s="8">
        <v>13</v>
      </c>
      <c r="AP105" s="9">
        <f t="shared" si="65"/>
        <v>0.59090909090909094</v>
      </c>
      <c r="AQ105" s="8">
        <v>762</v>
      </c>
      <c r="AR105" s="9">
        <f t="shared" si="66"/>
        <v>0.1382187556684201</v>
      </c>
      <c r="AT105" s="9">
        <f t="shared" si="67"/>
        <v>0</v>
      </c>
      <c r="AV105" s="9">
        <f t="shared" si="68"/>
        <v>0</v>
      </c>
      <c r="AW105" s="8">
        <v>1</v>
      </c>
      <c r="AX105" s="9">
        <f t="shared" si="70"/>
        <v>7.6923076923076927E-2</v>
      </c>
      <c r="AY105" s="9">
        <f t="shared" si="44"/>
        <v>4.5454545454545456E-2</v>
      </c>
      <c r="AZ105" s="8">
        <v>12</v>
      </c>
      <c r="BA105" s="9">
        <f t="shared" si="71"/>
        <v>0.92307692307692313</v>
      </c>
      <c r="BB105" s="9">
        <f t="shared" si="69"/>
        <v>0.54545454545454541</v>
      </c>
      <c r="BC105" s="8">
        <v>1</v>
      </c>
      <c r="BD105" s="9">
        <f t="shared" si="45"/>
        <v>1</v>
      </c>
      <c r="BE105" s="9">
        <f t="shared" si="46"/>
        <v>1</v>
      </c>
      <c r="BF105" s="8">
        <v>1</v>
      </c>
      <c r="BG105" s="9">
        <f t="shared" si="47"/>
        <v>1</v>
      </c>
      <c r="BH105" s="9">
        <f t="shared" si="48"/>
        <v>1</v>
      </c>
      <c r="BJ105" s="8">
        <v>368</v>
      </c>
      <c r="BK105" s="9">
        <f t="shared" si="49"/>
        <v>6.6751315073462728E-2</v>
      </c>
      <c r="BL105" s="8">
        <v>394</v>
      </c>
      <c r="BM105" s="9">
        <f t="shared" si="50"/>
        <v>7.1467440594957368E-2</v>
      </c>
    </row>
    <row r="106" spans="1:65" x14ac:dyDescent="0.4">
      <c r="A106" s="8" t="s">
        <v>1033</v>
      </c>
      <c r="B106" s="8">
        <v>262</v>
      </c>
      <c r="C106" s="8">
        <v>38</v>
      </c>
      <c r="D106" s="8">
        <v>4447</v>
      </c>
      <c r="F106" s="9">
        <f t="shared" si="38"/>
        <v>0</v>
      </c>
      <c r="H106" s="9">
        <f t="shared" si="39"/>
        <v>0</v>
      </c>
      <c r="I106" s="8">
        <v>8</v>
      </c>
      <c r="J106" s="9">
        <f t="shared" si="51"/>
        <v>0.21052631578947367</v>
      </c>
      <c r="K106" s="8">
        <v>3100</v>
      </c>
      <c r="L106" s="9">
        <f t="shared" si="52"/>
        <v>0.69709916797841243</v>
      </c>
      <c r="M106" s="8">
        <v>9</v>
      </c>
      <c r="N106" s="9">
        <f t="shared" si="53"/>
        <v>0.23684210526315788</v>
      </c>
      <c r="O106" s="8">
        <v>333</v>
      </c>
      <c r="P106" s="9">
        <f t="shared" si="54"/>
        <v>7.4881942882842362E-2</v>
      </c>
      <c r="Q106" s="8">
        <v>7</v>
      </c>
      <c r="R106" s="9">
        <f t="shared" si="55"/>
        <v>0.18421052631578946</v>
      </c>
      <c r="S106" s="8">
        <v>858</v>
      </c>
      <c r="T106" s="9">
        <f t="shared" si="56"/>
        <v>0.19293906004047673</v>
      </c>
      <c r="U106" s="8">
        <v>14</v>
      </c>
      <c r="V106" s="9">
        <f t="shared" si="57"/>
        <v>0.36842105263157893</v>
      </c>
      <c r="W106" s="8">
        <v>156</v>
      </c>
      <c r="X106" s="9">
        <f t="shared" si="58"/>
        <v>3.5079829098268497E-2</v>
      </c>
      <c r="Y106" s="8">
        <v>6</v>
      </c>
      <c r="Z106" s="9">
        <f t="shared" si="59"/>
        <v>0.15789473684210525</v>
      </c>
      <c r="AA106" s="8">
        <v>2353</v>
      </c>
      <c r="AB106" s="9">
        <f t="shared" si="60"/>
        <v>0.52912075556554983</v>
      </c>
      <c r="AC106" s="8">
        <v>32</v>
      </c>
      <c r="AD106" s="9">
        <f t="shared" si="61"/>
        <v>0.84210526315789469</v>
      </c>
      <c r="AE106" s="8">
        <v>2094</v>
      </c>
      <c r="AF106" s="9">
        <f t="shared" si="62"/>
        <v>0.47087924443445017</v>
      </c>
      <c r="AG106" s="8">
        <v>27</v>
      </c>
      <c r="AH106" s="9">
        <f t="shared" si="63"/>
        <v>0.71052631578947367</v>
      </c>
      <c r="AI106" s="8">
        <v>3257</v>
      </c>
      <c r="AJ106" s="9">
        <f t="shared" si="64"/>
        <v>0.73240386777602884</v>
      </c>
      <c r="AK106" s="17">
        <f t="shared" si="40"/>
        <v>120.62962962962963</v>
      </c>
      <c r="AL106" s="17">
        <f t="shared" si="41"/>
        <v>11</v>
      </c>
      <c r="AM106" s="17">
        <f t="shared" si="42"/>
        <v>1190</v>
      </c>
      <c r="AN106" s="17">
        <f t="shared" si="43"/>
        <v>108.18181818181819</v>
      </c>
      <c r="AO106" s="8">
        <v>10</v>
      </c>
      <c r="AP106" s="9">
        <f t="shared" si="65"/>
        <v>0.26315789473684209</v>
      </c>
      <c r="AQ106" s="8">
        <v>1030</v>
      </c>
      <c r="AR106" s="9">
        <f t="shared" si="66"/>
        <v>0.23161682032831121</v>
      </c>
      <c r="AS106" s="8">
        <v>1</v>
      </c>
      <c r="AT106" s="9">
        <f t="shared" si="67"/>
        <v>2.6315789473684209E-2</v>
      </c>
      <c r="AU106" s="8">
        <v>160</v>
      </c>
      <c r="AV106" s="9">
        <f t="shared" si="68"/>
        <v>3.5979311895659997E-2</v>
      </c>
      <c r="AW106" s="8">
        <v>3</v>
      </c>
      <c r="AX106" s="9">
        <f t="shared" si="70"/>
        <v>0.27272727272727271</v>
      </c>
      <c r="AY106" s="9">
        <f>AW106/$C106</f>
        <v>7.8947368421052627E-2</v>
      </c>
      <c r="AZ106" s="8">
        <v>8</v>
      </c>
      <c r="BA106" s="9">
        <f t="shared" si="71"/>
        <v>0.72727272727272729</v>
      </c>
      <c r="BB106" s="9">
        <f t="shared" si="69"/>
        <v>0.21052631578947367</v>
      </c>
      <c r="BD106" s="9">
        <f t="shared" si="45"/>
        <v>0</v>
      </c>
      <c r="BE106" s="9">
        <f t="shared" si="46"/>
        <v>0</v>
      </c>
      <c r="BF106" s="8">
        <v>2</v>
      </c>
      <c r="BG106" s="9">
        <f t="shared" si="47"/>
        <v>0.66666666666666663</v>
      </c>
      <c r="BH106" s="9">
        <f t="shared" si="48"/>
        <v>0.66666666666666663</v>
      </c>
      <c r="BJ106" s="8">
        <v>739</v>
      </c>
      <c r="BK106" s="9">
        <f t="shared" si="49"/>
        <v>0.16617944681807961</v>
      </c>
      <c r="BL106" s="8">
        <v>451</v>
      </c>
      <c r="BM106" s="9">
        <f t="shared" si="50"/>
        <v>0.10141668540589162</v>
      </c>
    </row>
    <row r="107" spans="1:65" x14ac:dyDescent="0.4">
      <c r="A107" s="8" t="s">
        <v>1033</v>
      </c>
      <c r="B107" s="8">
        <v>279</v>
      </c>
      <c r="C107" s="8">
        <v>8</v>
      </c>
      <c r="D107" s="8">
        <v>833</v>
      </c>
      <c r="F107" s="9">
        <f t="shared" si="38"/>
        <v>0</v>
      </c>
      <c r="H107" s="9">
        <f t="shared" si="39"/>
        <v>0</v>
      </c>
      <c r="I107" s="8">
        <v>2</v>
      </c>
      <c r="J107" s="9">
        <f t="shared" si="51"/>
        <v>0.25</v>
      </c>
      <c r="K107" s="8">
        <v>641</v>
      </c>
      <c r="L107" s="9">
        <f t="shared" si="52"/>
        <v>0.76950780312124845</v>
      </c>
      <c r="M107" s="8">
        <v>2</v>
      </c>
      <c r="N107" s="9">
        <f t="shared" si="53"/>
        <v>0.25</v>
      </c>
      <c r="O107" s="8">
        <v>47</v>
      </c>
      <c r="P107" s="9">
        <f t="shared" si="54"/>
        <v>5.6422569027611044E-2</v>
      </c>
      <c r="Q107" s="8">
        <v>1</v>
      </c>
      <c r="R107" s="9">
        <f t="shared" si="55"/>
        <v>0.125</v>
      </c>
      <c r="S107" s="8">
        <v>82</v>
      </c>
      <c r="T107" s="9">
        <f t="shared" si="56"/>
        <v>9.8439375750300123E-2</v>
      </c>
      <c r="U107" s="8">
        <v>3</v>
      </c>
      <c r="V107" s="9">
        <f t="shared" si="57"/>
        <v>0.375</v>
      </c>
      <c r="W107" s="8">
        <v>63</v>
      </c>
      <c r="X107" s="9">
        <f t="shared" si="58"/>
        <v>7.5630252100840331E-2</v>
      </c>
      <c r="Y107" s="8">
        <v>2</v>
      </c>
      <c r="Z107" s="9">
        <f t="shared" si="59"/>
        <v>0.25</v>
      </c>
      <c r="AA107" s="8">
        <v>641</v>
      </c>
      <c r="AB107" s="9">
        <f t="shared" si="60"/>
        <v>0.76950780312124845</v>
      </c>
      <c r="AC107" s="8">
        <v>6</v>
      </c>
      <c r="AD107" s="9">
        <f t="shared" si="61"/>
        <v>0.75</v>
      </c>
      <c r="AE107" s="8">
        <v>192</v>
      </c>
      <c r="AF107" s="9">
        <f t="shared" si="62"/>
        <v>0.2304921968787515</v>
      </c>
      <c r="AG107" s="8">
        <v>5</v>
      </c>
      <c r="AH107" s="9">
        <f t="shared" si="63"/>
        <v>0.625</v>
      </c>
      <c r="AI107" s="8">
        <v>785</v>
      </c>
      <c r="AJ107" s="9">
        <f t="shared" si="64"/>
        <v>0.94237695078031214</v>
      </c>
      <c r="AK107" s="17">
        <f t="shared" si="40"/>
        <v>157</v>
      </c>
      <c r="AL107" s="17">
        <f t="shared" si="41"/>
        <v>3</v>
      </c>
      <c r="AM107" s="17">
        <f t="shared" si="42"/>
        <v>48</v>
      </c>
      <c r="AN107" s="17">
        <f t="shared" si="43"/>
        <v>16</v>
      </c>
      <c r="AO107" s="8">
        <v>3</v>
      </c>
      <c r="AP107" s="9">
        <f t="shared" si="65"/>
        <v>0.375</v>
      </c>
      <c r="AQ107" s="8">
        <v>48</v>
      </c>
      <c r="AR107" s="9">
        <f t="shared" si="66"/>
        <v>5.7623049219687875E-2</v>
      </c>
      <c r="AT107" s="9">
        <f t="shared" si="67"/>
        <v>0</v>
      </c>
      <c r="AV107" s="9">
        <f t="shared" si="68"/>
        <v>0</v>
      </c>
      <c r="AX107" s="9">
        <f t="shared" si="70"/>
        <v>0</v>
      </c>
      <c r="AY107" s="9">
        <f t="shared" si="44"/>
        <v>0</v>
      </c>
      <c r="AZ107" s="8">
        <v>3</v>
      </c>
      <c r="BA107" s="9">
        <f>IF(SUM($AO107, $AS107)&lt;&gt;0, AZ107/SUM($AO107,$AS107), 0)</f>
        <v>1</v>
      </c>
      <c r="BB107" s="9">
        <f t="shared" si="69"/>
        <v>0.375</v>
      </c>
      <c r="BD107" s="9">
        <f t="shared" si="45"/>
        <v>0</v>
      </c>
      <c r="BE107" s="9" t="str">
        <f t="shared" si="46"/>
        <v/>
      </c>
      <c r="BG107" s="9">
        <f t="shared" si="47"/>
        <v>0</v>
      </c>
      <c r="BH107" s="9" t="str">
        <f t="shared" si="48"/>
        <v/>
      </c>
      <c r="BK107" s="9">
        <f t="shared" si="49"/>
        <v>0</v>
      </c>
      <c r="BL107" s="8">
        <v>48</v>
      </c>
      <c r="BM107" s="9">
        <f t="shared" si="50"/>
        <v>5.7623049219687875E-2</v>
      </c>
    </row>
    <row r="108" spans="1:65" x14ac:dyDescent="0.4">
      <c r="B108" s="8" t="s">
        <v>1276</v>
      </c>
      <c r="C108" s="8" t="s">
        <v>1277</v>
      </c>
      <c r="D108" s="8" t="s">
        <v>1278</v>
      </c>
      <c r="E108" s="8" t="s">
        <v>1277</v>
      </c>
      <c r="F108" s="10" t="s">
        <v>123</v>
      </c>
      <c r="G108" s="8" t="s">
        <v>1278</v>
      </c>
      <c r="H108" s="10" t="s">
        <v>123</v>
      </c>
      <c r="I108" s="8" t="s">
        <v>1277</v>
      </c>
      <c r="J108" s="10" t="s">
        <v>123</v>
      </c>
      <c r="K108" s="8" t="s">
        <v>1278</v>
      </c>
      <c r="L108" s="10" t="s">
        <v>123</v>
      </c>
      <c r="M108" s="8" t="s">
        <v>1277</v>
      </c>
      <c r="N108" s="10" t="s">
        <v>123</v>
      </c>
      <c r="O108" s="8" t="s">
        <v>1278</v>
      </c>
      <c r="P108" s="10" t="s">
        <v>123</v>
      </c>
      <c r="Q108" s="8" t="s">
        <v>1277</v>
      </c>
      <c r="R108" s="10" t="s">
        <v>123</v>
      </c>
      <c r="S108" s="8" t="s">
        <v>1278</v>
      </c>
      <c r="T108" s="10" t="s">
        <v>123</v>
      </c>
      <c r="U108" s="8" t="s">
        <v>1277</v>
      </c>
      <c r="V108" s="10" t="s">
        <v>123</v>
      </c>
      <c r="W108" s="8" t="s">
        <v>1278</v>
      </c>
      <c r="X108" s="10" t="s">
        <v>123</v>
      </c>
      <c r="Y108" s="8" t="s">
        <v>1277</v>
      </c>
      <c r="Z108" s="10" t="s">
        <v>123</v>
      </c>
      <c r="AA108" s="8" t="s">
        <v>1278</v>
      </c>
      <c r="AB108" s="10" t="s">
        <v>123</v>
      </c>
      <c r="AC108" s="8" t="s">
        <v>1277</v>
      </c>
      <c r="AD108" s="10" t="s">
        <v>123</v>
      </c>
      <c r="AE108" s="8" t="s">
        <v>1278</v>
      </c>
      <c r="AF108" s="10" t="s">
        <v>123</v>
      </c>
      <c r="AG108" s="8" t="s">
        <v>1277</v>
      </c>
      <c r="AH108" s="10" t="s">
        <v>123</v>
      </c>
      <c r="AI108" s="8" t="s">
        <v>1278</v>
      </c>
      <c r="AJ108" s="10" t="s">
        <v>123</v>
      </c>
      <c r="AK108" s="10" t="s">
        <v>123</v>
      </c>
      <c r="AL108" s="17" t="s">
        <v>1296</v>
      </c>
      <c r="AM108" s="17" t="s">
        <v>1297</v>
      </c>
      <c r="AN108" s="10" t="s">
        <v>123</v>
      </c>
      <c r="AO108" s="8" t="s">
        <v>1277</v>
      </c>
      <c r="AP108" s="10" t="s">
        <v>123</v>
      </c>
      <c r="AQ108" s="8" t="s">
        <v>1278</v>
      </c>
      <c r="AR108" s="10" t="s">
        <v>123</v>
      </c>
      <c r="AS108" s="8" t="s">
        <v>1277</v>
      </c>
      <c r="AT108" s="10" t="s">
        <v>123</v>
      </c>
      <c r="AU108" s="8" t="s">
        <v>1278</v>
      </c>
      <c r="AV108" s="10" t="s">
        <v>123</v>
      </c>
      <c r="AW108" s="8" t="s">
        <v>1277</v>
      </c>
      <c r="AX108" s="10" t="s">
        <v>123</v>
      </c>
      <c r="AY108" s="10" t="s">
        <v>123</v>
      </c>
      <c r="AZ108" s="8" t="s">
        <v>1277</v>
      </c>
      <c r="BA108" s="10" t="s">
        <v>123</v>
      </c>
      <c r="BB108" s="10" t="s">
        <v>123</v>
      </c>
      <c r="BC108" s="8" t="s">
        <v>1277</v>
      </c>
      <c r="BD108" s="10" t="s">
        <v>123</v>
      </c>
      <c r="BE108" s="10" t="s">
        <v>123</v>
      </c>
      <c r="BF108" s="8" t="s">
        <v>1277</v>
      </c>
      <c r="BG108" s="10" t="s">
        <v>123</v>
      </c>
      <c r="BH108" s="10" t="s">
        <v>123</v>
      </c>
      <c r="BJ108" s="8" t="s">
        <v>1278</v>
      </c>
      <c r="BK108" s="10" t="s">
        <v>123</v>
      </c>
      <c r="BL108" s="8" t="s">
        <v>1278</v>
      </c>
      <c r="BM108" s="10" t="s">
        <v>123</v>
      </c>
    </row>
    <row r="109" spans="1:65" x14ac:dyDescent="0.4">
      <c r="B109" s="8">
        <f>COUNT(B3:B107)</f>
        <v>105</v>
      </c>
      <c r="C109" s="8">
        <f>SUM(C3:C107)</f>
        <v>1430</v>
      </c>
      <c r="D109" s="8">
        <f>SUM(D3:D107)/60/60</f>
        <v>97.209722222222211</v>
      </c>
      <c r="E109" s="8">
        <f>SUM(E3:E107)</f>
        <v>26</v>
      </c>
      <c r="F109" s="9">
        <f>AVERAGE(F3:F107)</f>
        <v>1.9270574815281452E-2</v>
      </c>
      <c r="G109" s="8">
        <f>SUM(G3:G107)/60/60</f>
        <v>2.1183333333333332</v>
      </c>
      <c r="H109" s="9">
        <f>AVERAGE(H3:H107)</f>
        <v>2.4690454916390651E-2</v>
      </c>
      <c r="I109" s="8">
        <f>SUM(I3:I107)</f>
        <v>502</v>
      </c>
      <c r="J109" s="9">
        <f>AVERAGE(J3:J107)</f>
        <v>0.43470489105725668</v>
      </c>
      <c r="K109" s="8">
        <f>SUM(K3:K107)/60/60</f>
        <v>78.322500000000005</v>
      </c>
      <c r="L109" s="9">
        <f>AVERAGE(L3:L107)</f>
        <v>0.78146853528684168</v>
      </c>
      <c r="M109" s="8">
        <f>SUM(M3:M107)</f>
        <v>115</v>
      </c>
      <c r="N109" s="9">
        <f>AVERAGE(N3:N107)</f>
        <v>7.4573466859977858E-2</v>
      </c>
      <c r="O109" s="8">
        <f>SUM(O3:O107)/60/60</f>
        <v>2.891111111111111</v>
      </c>
      <c r="P109" s="9">
        <f>AVERAGE(P3:P107)</f>
        <v>2.6610945923957449E-2</v>
      </c>
      <c r="Q109" s="8">
        <f>SUM(Q3:Q107)</f>
        <v>325</v>
      </c>
      <c r="R109" s="9">
        <f>AVERAGE(R3:R107)</f>
        <v>0.19419282777895558</v>
      </c>
      <c r="S109" s="8">
        <f>SUM(S3:S107)/60/60</f>
        <v>11.337777777777777</v>
      </c>
      <c r="T109" s="9">
        <f>AVERAGE(T3:T107)</f>
        <v>0.12169229833358391</v>
      </c>
      <c r="U109" s="8">
        <f>SUM(U3:U107)</f>
        <v>462</v>
      </c>
      <c r="V109" s="9">
        <f>AVERAGE(V3:V107)</f>
        <v>0.27725823948852818</v>
      </c>
      <c r="W109" s="8">
        <f>SUM(W3:W107)/60/60</f>
        <v>2.54</v>
      </c>
      <c r="X109" s="9">
        <f>AVERAGE(X3:X107)</f>
        <v>4.5537765539226373E-2</v>
      </c>
      <c r="Y109" s="8">
        <f>SUM(Y3:Y107)</f>
        <v>421</v>
      </c>
      <c r="Z109" s="9">
        <f>AVERAGE(Z3:Z107)</f>
        <v>0.37332703462434635</v>
      </c>
      <c r="AA109" s="8">
        <f>SUM(AA3:AA107)/60/60</f>
        <v>65.468333333333334</v>
      </c>
      <c r="AB109" s="9">
        <f>AVERAGE(AB3:AB107)</f>
        <v>0.65654763805785399</v>
      </c>
      <c r="AC109" s="8">
        <f>SUM(AC3:AC107)</f>
        <v>1009</v>
      </c>
      <c r="AD109" s="9">
        <f>AVERAGE(AD3:AD107)</f>
        <v>0.62667296537565376</v>
      </c>
      <c r="AE109" s="8">
        <f>SUM(AE3:AE107)/60/60</f>
        <v>31.741388888888888</v>
      </c>
      <c r="AF109" s="9">
        <f>AVERAGE(AF3:AF107)</f>
        <v>0.34345236194214596</v>
      </c>
      <c r="AG109" s="8">
        <f>SUM(AG3:AG107)</f>
        <v>796</v>
      </c>
      <c r="AH109" s="9">
        <f>AVERAGE(AH3:AH107)</f>
        <v>0.56245723363517874</v>
      </c>
      <c r="AI109" s="8">
        <f>SUM(AI3:AI107)/60/60</f>
        <v>83.111666666666665</v>
      </c>
      <c r="AJ109" s="9">
        <f>AVERAGE(AJ3:AJ107)</f>
        <v>0.8300471774210828</v>
      </c>
      <c r="AK109" s="9">
        <f>AVERAGE(AK3:AK107)</f>
        <v>517.99026380779821</v>
      </c>
      <c r="AL109" s="17">
        <f>AK109/60</f>
        <v>8.633171063463303</v>
      </c>
      <c r="AM109" s="17">
        <f>AN109/60</f>
        <v>1.3875642424261476</v>
      </c>
      <c r="AN109" s="9">
        <f>AVERAGE(AN3:AN107)</f>
        <v>83.253854545568856</v>
      </c>
      <c r="AO109" s="8">
        <f>SUM(AO3:AO107)</f>
        <v>509</v>
      </c>
      <c r="AP109" s="9">
        <f>AVERAGE(AP3:AP107)</f>
        <v>0.34883638971867775</v>
      </c>
      <c r="AQ109" s="8">
        <f>SUM(AQ3:AQ107)/60/60</f>
        <v>11.229999999999999</v>
      </c>
      <c r="AR109" s="9">
        <f>AVERAGE(AR3:AR107)</f>
        <v>0.1336430205173928</v>
      </c>
      <c r="AS109" s="8">
        <f>SUM(AS3:AS107)</f>
        <v>125</v>
      </c>
      <c r="AT109" s="9">
        <f>AVERAGE(AT3:AT107)</f>
        <v>8.8706376646143267E-2</v>
      </c>
      <c r="AU109" s="8">
        <f>SUM(AU3:AU107)/60/60</f>
        <v>2.8680555555555558</v>
      </c>
      <c r="AV109" s="9">
        <f>AVERAGE(AV3:AV107)</f>
        <v>3.6309802061524635E-2</v>
      </c>
      <c r="AW109" s="8">
        <f>SUM(AW3:AW107)</f>
        <v>93</v>
      </c>
      <c r="AX109" s="9">
        <f>AVERAGE(AX3:AX107)</f>
        <v>0.14732404850051906</v>
      </c>
      <c r="AY109" s="9">
        <f>AVERAGE(AY3:AY107)</f>
        <v>7.6182620869154782E-2</v>
      </c>
      <c r="AZ109" s="8">
        <f>SUM(AZ3:AZ107)</f>
        <v>541</v>
      </c>
      <c r="BA109" s="9">
        <f>AVERAGE(BA3:BA107)</f>
        <v>0.78600928483281429</v>
      </c>
      <c r="BB109" s="9">
        <f>AVERAGE(BB3:BB107)</f>
        <v>0.36136014549566614</v>
      </c>
      <c r="BC109" s="8">
        <f>SUM(BC3:BC107)</f>
        <v>51</v>
      </c>
      <c r="BD109" s="9">
        <f>AVERAGE(BD3:BD107)</f>
        <v>0.28142857142857142</v>
      </c>
      <c r="BE109" s="9">
        <f>AVERAGE(BE3:BE107)</f>
        <v>0.60306122448979593</v>
      </c>
      <c r="BF109" s="8">
        <f>SUM(BF3:BF107)</f>
        <v>45</v>
      </c>
      <c r="BG109" s="9">
        <f>AVERAGE(BG3:BG107)</f>
        <v>0.24444444444444449</v>
      </c>
      <c r="BH109" s="9">
        <f>AVERAGE(BH3:BH107)</f>
        <v>0.52380952380952395</v>
      </c>
      <c r="BJ109" s="8">
        <f>SUM(BJ3:BJ107)/60/60</f>
        <v>5.1991666666666667</v>
      </c>
      <c r="BK109" s="9">
        <f>AVERAGE(BK3:BK107)</f>
        <v>5.8856173335691417E-2</v>
      </c>
      <c r="BL109" s="8">
        <f>SUM(BL3:BL107)/60/60</f>
        <v>8.8988888888888873</v>
      </c>
      <c r="BM109" s="9">
        <f>AVERAGE(BM3:BM107)</f>
        <v>0.11109664924322601</v>
      </c>
    </row>
    <row r="110" spans="1:65" x14ac:dyDescent="0.4">
      <c r="F110" s="10" t="s">
        <v>1279</v>
      </c>
      <c r="H110" s="9" t="s">
        <v>1279</v>
      </c>
      <c r="J110" s="9" t="s">
        <v>1279</v>
      </c>
      <c r="L110" s="9" t="s">
        <v>1279</v>
      </c>
      <c r="N110" s="9" t="s">
        <v>1279</v>
      </c>
      <c r="P110" s="9" t="s">
        <v>1279</v>
      </c>
      <c r="R110" s="9" t="s">
        <v>1279</v>
      </c>
      <c r="T110" s="9" t="s">
        <v>1279</v>
      </c>
      <c r="V110" s="9" t="s">
        <v>1279</v>
      </c>
      <c r="X110" s="9" t="s">
        <v>1279</v>
      </c>
      <c r="Z110" s="9" t="s">
        <v>1279</v>
      </c>
      <c r="AB110" s="9" t="s">
        <v>1279</v>
      </c>
      <c r="AD110" s="9" t="s">
        <v>1279</v>
      </c>
      <c r="AF110" s="9" t="s">
        <v>1279</v>
      </c>
      <c r="AH110" s="9" t="s">
        <v>1279</v>
      </c>
      <c r="AJ110" s="9" t="s">
        <v>1279</v>
      </c>
      <c r="AK110" s="9" t="s">
        <v>1279</v>
      </c>
      <c r="AN110" s="9" t="s">
        <v>1279</v>
      </c>
      <c r="AP110" s="9" t="s">
        <v>1279</v>
      </c>
      <c r="AR110" s="9" t="s">
        <v>1279</v>
      </c>
      <c r="AT110" s="9" t="s">
        <v>1279</v>
      </c>
      <c r="AV110" s="9" t="s">
        <v>1279</v>
      </c>
      <c r="AX110" s="9" t="s">
        <v>1279</v>
      </c>
      <c r="AY110" s="9" t="s">
        <v>1279</v>
      </c>
      <c r="BA110" s="9" t="s">
        <v>1279</v>
      </c>
      <c r="BB110" s="9" t="s">
        <v>1279</v>
      </c>
      <c r="BD110" s="9" t="s">
        <v>1279</v>
      </c>
      <c r="BE110" s="9" t="s">
        <v>1279</v>
      </c>
      <c r="BG110" s="9" t="s">
        <v>1279</v>
      </c>
      <c r="BH110" s="9" t="s">
        <v>1279</v>
      </c>
      <c r="BK110" s="9" t="s">
        <v>1279</v>
      </c>
      <c r="BM110" s="9" t="s">
        <v>1279</v>
      </c>
    </row>
    <row r="111" spans="1:65" x14ac:dyDescent="0.4">
      <c r="F111" s="9">
        <f>VAR(F3:F107)</f>
        <v>2.5719967463503678E-3</v>
      </c>
      <c r="H111" s="9">
        <f>VAR(H3:H107)</f>
        <v>6.4977819164911358E-3</v>
      </c>
      <c r="J111" s="9">
        <f t="shared" ref="J111" si="72">VAR(J3:J107)</f>
        <v>5.5604282829267021E-2</v>
      </c>
      <c r="L111" s="9">
        <f t="shared" ref="L111" si="73">VAR(L3:L107)</f>
        <v>4.9280376589632052E-2</v>
      </c>
      <c r="N111" s="9">
        <f t="shared" ref="N111" si="74">VAR(N3:N107)</f>
        <v>1.5814740016216779E-2</v>
      </c>
      <c r="P111" s="9">
        <f t="shared" ref="P111" si="75">VAR(P3:P107)</f>
        <v>3.647027007405235E-3</v>
      </c>
      <c r="R111" s="9">
        <f t="shared" ref="R111" si="76">VAR(R3:R107)</f>
        <v>2.5275201017250708E-2</v>
      </c>
      <c r="T111" s="9">
        <f t="shared" ref="T111" si="77">VAR(T3:T107)</f>
        <v>2.3260899263626452E-2</v>
      </c>
      <c r="V111" s="9">
        <f>VAR(V3:V107)</f>
        <v>4.3801616133737738E-2</v>
      </c>
      <c r="X111" s="9">
        <f>VAR(X3:X107)</f>
        <v>1.9636871077785216E-2</v>
      </c>
      <c r="Z111" s="9">
        <f t="shared" ref="Z111" si="78">VAR(Z3:Z107)</f>
        <v>5.7467829764956915E-2</v>
      </c>
      <c r="AB111" s="9">
        <f t="shared" ref="AB111" si="79">VAR(AB3:AB107)</f>
        <v>8.1486635446014255E-2</v>
      </c>
      <c r="AD111" s="9">
        <f t="shared" ref="AD111" si="80">VAR(AD3:AD107)</f>
        <v>5.7467829764956985E-2</v>
      </c>
      <c r="AF111" s="9">
        <f t="shared" ref="AF111" si="81">VAR(AF3:AF107)</f>
        <v>8.1486635446014297E-2</v>
      </c>
      <c r="AH111" s="9">
        <f t="shared" ref="AH111" si="82">VAR(AH3:AH107)</f>
        <v>4.9724671584143496E-2</v>
      </c>
      <c r="AJ111" s="9">
        <f>VAR(AJ3:AJ107)</f>
        <v>4.5791176833426553E-2</v>
      </c>
      <c r="AK111" s="9">
        <f>VAR(AK3:AK107)</f>
        <v>187425.05271189578</v>
      </c>
      <c r="AN111" s="9">
        <f>VAR(AN3:AN107)</f>
        <v>6881.0717139258923</v>
      </c>
      <c r="AP111" s="9">
        <f>VAR(AP3:AP107)</f>
        <v>5.0898090848792633E-2</v>
      </c>
      <c r="AR111" s="9">
        <f t="shared" ref="AR111" si="83">VAR(AR3:AR107)</f>
        <v>3.8112614796432305E-2</v>
      </c>
      <c r="AT111" s="9">
        <f t="shared" ref="AT111" si="84">VAR(AT3:AT107)</f>
        <v>1.3147387748445254E-2</v>
      </c>
      <c r="AV111" s="9">
        <f>VAR(AV3:AV107)</f>
        <v>8.7819877215282935E-3</v>
      </c>
      <c r="AW111" s="8" t="s">
        <v>1283</v>
      </c>
      <c r="AX111" s="9">
        <f>VAR(AX3:AX107)</f>
        <v>5.1919216524284696E-2</v>
      </c>
      <c r="AY111" s="9">
        <f>VAR(AY3:AY107)</f>
        <v>1.9358135502187453E-2</v>
      </c>
      <c r="BA111" s="9">
        <f>VAR(BA3:BA107)</f>
        <v>9.4907645892804274E-2</v>
      </c>
      <c r="BB111" s="9">
        <f>VAR(BB3:BB107)</f>
        <v>4.0936187995845981E-2</v>
      </c>
      <c r="BD111" s="9">
        <f>VAR(BD3:BD107)</f>
        <v>0.1751886446886447</v>
      </c>
      <c r="BE111" s="9">
        <f>VAR(BE3:BE107)</f>
        <v>0.18157029478458045</v>
      </c>
      <c r="BG111" s="9">
        <f>VAR(BG3:BG107)</f>
        <v>0.16082621082621079</v>
      </c>
      <c r="BH111" s="9">
        <f>VAR(BH3:BH107)</f>
        <v>0.19907407407407388</v>
      </c>
      <c r="BK111" s="9">
        <f>VAR(BK3:BK107)</f>
        <v>1.7295980021280067E-2</v>
      </c>
      <c r="BM111" s="9">
        <f>VAR(BM3:BM107)</f>
        <v>2.8289811508954099E-2</v>
      </c>
    </row>
    <row r="112" spans="1:65" x14ac:dyDescent="0.4">
      <c r="F112" s="10" t="s">
        <v>1280</v>
      </c>
      <c r="H112" s="10" t="s">
        <v>1280</v>
      </c>
      <c r="J112" s="10" t="s">
        <v>1280</v>
      </c>
      <c r="L112" s="10" t="s">
        <v>1280</v>
      </c>
      <c r="N112" s="10" t="s">
        <v>1280</v>
      </c>
      <c r="P112" s="10" t="s">
        <v>1280</v>
      </c>
      <c r="R112" s="10" t="s">
        <v>1280</v>
      </c>
      <c r="T112" s="10" t="s">
        <v>1280</v>
      </c>
      <c r="V112" s="10" t="s">
        <v>1280</v>
      </c>
      <c r="X112" s="10" t="s">
        <v>1280</v>
      </c>
      <c r="Z112" s="10" t="s">
        <v>1280</v>
      </c>
      <c r="AB112" s="10" t="s">
        <v>1280</v>
      </c>
      <c r="AD112" s="10" t="s">
        <v>1280</v>
      </c>
      <c r="AF112" s="10" t="s">
        <v>1280</v>
      </c>
      <c r="AH112" s="10" t="s">
        <v>1280</v>
      </c>
      <c r="AJ112" s="10" t="s">
        <v>1280</v>
      </c>
      <c r="AK112" s="10" t="s">
        <v>1280</v>
      </c>
      <c r="AN112" s="10" t="s">
        <v>1280</v>
      </c>
      <c r="AP112" s="10" t="s">
        <v>1280</v>
      </c>
      <c r="AR112" s="10" t="s">
        <v>1280</v>
      </c>
      <c r="AT112" s="10" t="s">
        <v>1280</v>
      </c>
      <c r="AV112" s="10" t="s">
        <v>1280</v>
      </c>
      <c r="AW112" s="8">
        <f>COUNT(AW3:AW107)</f>
        <v>49</v>
      </c>
      <c r="AX112" s="10" t="s">
        <v>1280</v>
      </c>
      <c r="AY112" s="10" t="s">
        <v>1280</v>
      </c>
      <c r="BA112" s="10" t="s">
        <v>1280</v>
      </c>
      <c r="BB112" s="10" t="s">
        <v>1280</v>
      </c>
      <c r="BD112" s="10" t="s">
        <v>1280</v>
      </c>
      <c r="BE112" s="10" t="s">
        <v>1280</v>
      </c>
      <c r="BG112" s="10" t="s">
        <v>1280</v>
      </c>
      <c r="BH112" s="10" t="s">
        <v>1280</v>
      </c>
      <c r="BK112" s="10" t="s">
        <v>1280</v>
      </c>
      <c r="BM112" s="10" t="s">
        <v>1280</v>
      </c>
    </row>
    <row r="113" spans="5:65" x14ac:dyDescent="0.4">
      <c r="E113" s="12"/>
      <c r="F113" s="9">
        <f>SQRT(F111/COUNT(F3:F107))</f>
        <v>4.9492632894299268E-3</v>
      </c>
      <c r="H113" s="9">
        <f>SQRT(H111/COUNT(H3:H107))</f>
        <v>7.8666153649403492E-3</v>
      </c>
      <c r="J113" s="9">
        <f t="shared" ref="J113" si="85">SQRT(J111/COUNT(J3:J107))</f>
        <v>2.301227060448342E-2</v>
      </c>
      <c r="L113" s="9">
        <f t="shared" ref="L113" si="86">SQRT(L111/COUNT(L3:L107))</f>
        <v>2.1664185188953165E-2</v>
      </c>
      <c r="N113" s="9">
        <f t="shared" ref="N113" si="87">SQRT(N111/COUNT(N3:N107))</f>
        <v>1.2272594329766504E-2</v>
      </c>
      <c r="P113" s="9">
        <f t="shared" ref="P113" si="88">SQRT(P111/COUNT(P3:P107))</f>
        <v>5.8935210652645096E-3</v>
      </c>
      <c r="R113" s="9">
        <f t="shared" ref="R113" si="89">SQRT(R111/COUNT(R3:R107))</f>
        <v>1.551503142646809E-2</v>
      </c>
      <c r="T113" s="9">
        <f t="shared" ref="T113" si="90">SQRT(T111/COUNT(T3:T107))</f>
        <v>1.4883963650160516E-2</v>
      </c>
      <c r="V113" s="9">
        <f>SQRT(V111/COUNT(V3:V107))</f>
        <v>2.0424452229931171E-2</v>
      </c>
      <c r="X113" s="9">
        <f>SQRT(X111/COUNT(X3:X107))</f>
        <v>1.3675445871650059E-2</v>
      </c>
      <c r="Z113" s="9">
        <f t="shared" ref="Z113" si="91">SQRT(Z111/COUNT(Z3:Z107))</f>
        <v>2.3394714454939628E-2</v>
      </c>
      <c r="AB113" s="9">
        <f t="shared" ref="AB113" si="92">SQRT(AB111/COUNT(AB3:AB107))</f>
        <v>2.78579108104672E-2</v>
      </c>
      <c r="AD113" s="9">
        <f t="shared" ref="AD113" si="93">SQRT(AD111/COUNT(AD3:AD107))</f>
        <v>2.3394714454939642E-2</v>
      </c>
      <c r="AF113" s="9">
        <f t="shared" ref="AF113" si="94">SQRT(AF111/COUNT(AF3:AF107))</f>
        <v>2.7857910810467207E-2</v>
      </c>
      <c r="AH113" s="9">
        <f>SQRT(AH111/COUNT(AH3:AH107))</f>
        <v>2.1761624498216271E-2</v>
      </c>
      <c r="AJ113" s="9">
        <f>SQRT(AJ111/COUNT(AJ3:AJ107))</f>
        <v>2.0883161782465649E-2</v>
      </c>
      <c r="AK113" s="9">
        <f>SQRT(AK111/COUNT(AK3:AK107))</f>
        <v>43.077762142512569</v>
      </c>
      <c r="AN113" s="9">
        <f>SQRT(AN111/COUNT(AN3:AN107))</f>
        <v>8.3794401656100934</v>
      </c>
      <c r="AP113" s="9">
        <f t="shared" ref="AP113" si="95">SQRT(AP111/COUNT(AP3:AP107))</f>
        <v>2.2016896292835045E-2</v>
      </c>
      <c r="AR113" s="9">
        <f t="shared" ref="AR113" si="96">SQRT(AR111/COUNT(AR3:AR107))</f>
        <v>1.9051962727644253E-2</v>
      </c>
      <c r="AT113" s="9">
        <f t="shared" ref="AT113" si="97">SQRT(AT111/COUNT(AT3:AT107))</f>
        <v>1.1189871163327108E-2</v>
      </c>
      <c r="AV113" s="9">
        <f t="shared" ref="AV113:AX113" si="98">SQRT(AV111/COUNT(AV3:AV107))</f>
        <v>9.1453801616045178E-3</v>
      </c>
      <c r="AX113" s="9">
        <f t="shared" si="98"/>
        <v>2.2236652823721278E-2</v>
      </c>
      <c r="AY113" s="9">
        <f t="shared" ref="AY113" si="99">SQRT(AY111/COUNT(AY3:AY107))</f>
        <v>1.3578040921242216E-2</v>
      </c>
      <c r="BA113" s="9">
        <f t="shared" ref="BA113:BB113" si="100">SQRT(BA111/COUNT(BA3:BA107))</f>
        <v>3.0064636066918074E-2</v>
      </c>
      <c r="BB113" s="9">
        <f t="shared" si="100"/>
        <v>1.9745086910502446E-2</v>
      </c>
      <c r="BD113" s="9">
        <f t="shared" ref="BD113:BH113" si="101">SQRT(BD111/COUNT(BD3:BD107))</f>
        <v>4.0846827083006056E-2</v>
      </c>
      <c r="BE113" s="9">
        <f t="shared" ref="BE113" si="102">SQRT(BE111/COUNT(BE3:BE107))</f>
        <v>6.0872951465272968E-2</v>
      </c>
      <c r="BG113" s="9">
        <f t="shared" si="101"/>
        <v>3.9136660541554444E-2</v>
      </c>
      <c r="BH113" s="9">
        <f t="shared" si="101"/>
        <v>6.3739596842099219E-2</v>
      </c>
      <c r="BK113" s="9">
        <f t="shared" ref="BK113:BM113" si="103">SQRT(BK111/COUNT(BK3:BK107))</f>
        <v>1.2834469963745536E-2</v>
      </c>
      <c r="BM113" s="9">
        <f t="shared" si="103"/>
        <v>1.6414224814951004E-2</v>
      </c>
    </row>
    <row r="114" spans="5:65" x14ac:dyDescent="0.4">
      <c r="F114" s="10" t="s">
        <v>1281</v>
      </c>
      <c r="H114" s="10" t="s">
        <v>1281</v>
      </c>
      <c r="J114" s="10" t="s">
        <v>1281</v>
      </c>
      <c r="L114" s="10" t="s">
        <v>1281</v>
      </c>
      <c r="N114" s="10" t="s">
        <v>1281</v>
      </c>
      <c r="P114" s="10" t="s">
        <v>1281</v>
      </c>
      <c r="R114" s="10" t="s">
        <v>1281</v>
      </c>
      <c r="T114" s="10" t="s">
        <v>1281</v>
      </c>
      <c r="V114" s="10" t="s">
        <v>1281</v>
      </c>
      <c r="X114" s="10" t="s">
        <v>1281</v>
      </c>
      <c r="Z114" s="10" t="s">
        <v>1281</v>
      </c>
      <c r="AB114" s="10" t="s">
        <v>1281</v>
      </c>
      <c r="AD114" s="10" t="s">
        <v>1281</v>
      </c>
      <c r="AF114" s="10" t="s">
        <v>1281</v>
      </c>
      <c r="AH114" s="10" t="s">
        <v>1281</v>
      </c>
      <c r="AJ114" s="10" t="s">
        <v>1281</v>
      </c>
      <c r="AK114" s="10" t="s">
        <v>1281</v>
      </c>
      <c r="AN114" s="10" t="s">
        <v>1281</v>
      </c>
      <c r="AP114" s="10" t="s">
        <v>1281</v>
      </c>
      <c r="AR114" s="10" t="s">
        <v>1281</v>
      </c>
      <c r="AT114" s="10" t="s">
        <v>1281</v>
      </c>
      <c r="AV114" s="10" t="s">
        <v>1281</v>
      </c>
      <c r="AX114" s="10" t="s">
        <v>1281</v>
      </c>
      <c r="AY114" s="10" t="s">
        <v>1281</v>
      </c>
      <c r="BA114" s="10" t="s">
        <v>1281</v>
      </c>
      <c r="BB114" s="10" t="s">
        <v>1281</v>
      </c>
      <c r="BD114" s="10" t="s">
        <v>1281</v>
      </c>
      <c r="BE114" s="10" t="s">
        <v>1281</v>
      </c>
      <c r="BG114" s="10" t="s">
        <v>1281</v>
      </c>
      <c r="BH114" s="10" t="s">
        <v>1281</v>
      </c>
      <c r="BK114" s="10" t="s">
        <v>1281</v>
      </c>
      <c r="BM114" s="10" t="s">
        <v>1281</v>
      </c>
    </row>
    <row r="115" spans="5:65" x14ac:dyDescent="0.4">
      <c r="F115" s="9">
        <f>F109-1.96*F113</f>
        <v>9.5700187679987961E-3</v>
      </c>
      <c r="H115" s="9">
        <f>H109-1.96*H113</f>
        <v>9.2718888011075681E-3</v>
      </c>
      <c r="J115" s="9">
        <f t="shared" ref="J115" si="104">J109-1.96*J113</f>
        <v>0.3896008406724692</v>
      </c>
      <c r="L115" s="9">
        <f t="shared" ref="L115" si="105">L109-1.96*L113</f>
        <v>0.7390067323164935</v>
      </c>
      <c r="N115" s="9">
        <f t="shared" ref="N115" si="106">N109-1.96*N113</f>
        <v>5.0519181973635516E-2</v>
      </c>
      <c r="P115" s="9">
        <f t="shared" ref="P115" si="107">P109-1.96*P113</f>
        <v>1.505964463603901E-2</v>
      </c>
      <c r="R115" s="9">
        <f t="shared" ref="R115" si="108">R109-1.96*R113</f>
        <v>0.16378336618307812</v>
      </c>
      <c r="T115" s="9">
        <f t="shared" ref="T115" si="109">T109-1.96*T113</f>
        <v>9.2519729579269308E-2</v>
      </c>
      <c r="V115" s="9">
        <f>V109-1.96*V113</f>
        <v>0.23722631311786307</v>
      </c>
      <c r="X115" s="9">
        <f>X109-1.96*X113</f>
        <v>1.8733891630792258E-2</v>
      </c>
      <c r="Z115" s="9">
        <f t="shared" ref="Z115" si="110">Z109-1.96*Z113</f>
        <v>0.3274733942926647</v>
      </c>
      <c r="AB115" s="9">
        <f t="shared" ref="AB115" si="111">AB109-1.96*AB113</f>
        <v>0.60194613286933829</v>
      </c>
      <c r="AD115" s="9">
        <f t="shared" ref="AD115" si="112">AD109-1.96*AD113</f>
        <v>0.58081932504397205</v>
      </c>
      <c r="AF115" s="9">
        <f t="shared" ref="AF115" si="113">AF109-1.96*AF113</f>
        <v>0.2888508567536302</v>
      </c>
      <c r="AH115" s="9">
        <f>AH109-1.96*AH113</f>
        <v>0.51980444961867489</v>
      </c>
      <c r="AJ115" s="9">
        <f>AJ109-1.96*AJ113</f>
        <v>0.78911618032745012</v>
      </c>
      <c r="AK115" s="9">
        <f>AK109-1.96*AK113</f>
        <v>433.55785000847357</v>
      </c>
      <c r="AL115" s="17">
        <f>AK115/60</f>
        <v>7.2259641668078931</v>
      </c>
      <c r="AM115" s="17">
        <f>AN115/60</f>
        <v>1.1138358636828845</v>
      </c>
      <c r="AN115" s="9">
        <f>AN109-1.96*AN113</f>
        <v>66.830151820973072</v>
      </c>
      <c r="AP115" s="9">
        <f t="shared" ref="AP115" si="114">AP109-1.96*AP113</f>
        <v>0.30568327298472109</v>
      </c>
      <c r="AR115" s="9">
        <f t="shared" ref="AR115" si="115">AR109-1.96*AR113</f>
        <v>9.6301173571210069E-2</v>
      </c>
      <c r="AT115" s="9">
        <f t="shared" ref="AT115" si="116">AT109-1.96*AT113</f>
        <v>6.6774229166022131E-2</v>
      </c>
      <c r="AV115" s="9">
        <f t="shared" ref="AV115:AX115" si="117">AV109-1.96*AV113</f>
        <v>1.838485694477978E-2</v>
      </c>
      <c r="AX115" s="9">
        <f t="shared" si="117"/>
        <v>0.10374020896602534</v>
      </c>
      <c r="AY115" s="9">
        <f t="shared" ref="AY115" si="118">AY109-1.96*AY113</f>
        <v>4.9569660663520039E-2</v>
      </c>
      <c r="BA115" s="9">
        <f t="shared" ref="BA115:BB115" si="119">BA109-1.96*BA113</f>
        <v>0.72708259814165488</v>
      </c>
      <c r="BB115" s="9">
        <f t="shared" si="119"/>
        <v>0.32265977515108135</v>
      </c>
      <c r="BD115" s="9">
        <f t="shared" ref="BD115:BH115" si="120">BD109-1.96*BD113</f>
        <v>0.20136879034587957</v>
      </c>
      <c r="BE115" s="9">
        <f t="shared" ref="BE115" si="121">BE109-1.96*BE113</f>
        <v>0.4837502396178609</v>
      </c>
      <c r="BG115" s="9">
        <f t="shared" si="120"/>
        <v>0.16773658978299777</v>
      </c>
      <c r="BH115" s="9">
        <f t="shared" si="120"/>
        <v>0.39887991399900946</v>
      </c>
      <c r="BK115" s="9">
        <f t="shared" ref="BK115:BM115" si="122">BK109-1.96*BK113</f>
        <v>3.3700612206750163E-2</v>
      </c>
      <c r="BM115" s="9">
        <f t="shared" si="122"/>
        <v>7.8924768605922041E-2</v>
      </c>
    </row>
    <row r="116" spans="5:65" x14ac:dyDescent="0.4">
      <c r="F116" s="10" t="s">
        <v>1282</v>
      </c>
      <c r="H116" s="10" t="s">
        <v>1282</v>
      </c>
      <c r="J116" s="10" t="s">
        <v>1282</v>
      </c>
      <c r="L116" s="10" t="s">
        <v>1282</v>
      </c>
      <c r="N116" s="10" t="s">
        <v>1282</v>
      </c>
      <c r="P116" s="10" t="s">
        <v>1282</v>
      </c>
      <c r="R116" s="10" t="s">
        <v>1282</v>
      </c>
      <c r="T116" s="10" t="s">
        <v>1282</v>
      </c>
      <c r="V116" s="10" t="s">
        <v>1282</v>
      </c>
      <c r="X116" s="10" t="s">
        <v>1282</v>
      </c>
      <c r="Z116" s="10" t="s">
        <v>1282</v>
      </c>
      <c r="AB116" s="10" t="s">
        <v>1282</v>
      </c>
      <c r="AD116" s="10" t="s">
        <v>1282</v>
      </c>
      <c r="AF116" s="10" t="s">
        <v>1282</v>
      </c>
      <c r="AH116" s="10" t="s">
        <v>1282</v>
      </c>
      <c r="AJ116" s="10" t="s">
        <v>1282</v>
      </c>
      <c r="AK116" s="10" t="s">
        <v>1282</v>
      </c>
      <c r="AN116" s="10" t="s">
        <v>1282</v>
      </c>
      <c r="AP116" s="10" t="s">
        <v>1282</v>
      </c>
      <c r="AR116" s="10" t="s">
        <v>1282</v>
      </c>
      <c r="AT116" s="10" t="s">
        <v>1282</v>
      </c>
      <c r="AV116" s="10" t="s">
        <v>1282</v>
      </c>
      <c r="AX116" s="10" t="s">
        <v>1282</v>
      </c>
      <c r="AY116" s="10" t="s">
        <v>1282</v>
      </c>
      <c r="BA116" s="10" t="s">
        <v>1282</v>
      </c>
      <c r="BB116" s="10" t="s">
        <v>1282</v>
      </c>
      <c r="BD116" s="10" t="s">
        <v>1282</v>
      </c>
      <c r="BE116" s="10" t="s">
        <v>1282</v>
      </c>
      <c r="BG116" s="10" t="s">
        <v>1282</v>
      </c>
      <c r="BH116" s="10" t="s">
        <v>1282</v>
      </c>
      <c r="BK116" s="10" t="s">
        <v>1282</v>
      </c>
      <c r="BM116" s="10" t="s">
        <v>1282</v>
      </c>
    </row>
    <row r="117" spans="5:65" x14ac:dyDescent="0.4">
      <c r="F117" s="9">
        <f>F109+1.96*F113</f>
        <v>2.8971130862564108E-2</v>
      </c>
      <c r="H117" s="9">
        <f>H109+1.96*H113</f>
        <v>4.0109021031673735E-2</v>
      </c>
      <c r="J117" s="9">
        <f t="shared" ref="J117" si="123">J109+1.96*J113</f>
        <v>0.47980894144204417</v>
      </c>
      <c r="L117" s="9">
        <f t="shared" ref="L117" si="124">L109+1.96*L113</f>
        <v>0.82393033825718986</v>
      </c>
      <c r="N117" s="9">
        <f t="shared" ref="N117" si="125">N109+1.96*N113</f>
        <v>9.86277517463202E-2</v>
      </c>
      <c r="P117" s="9">
        <f t="shared" ref="P117" si="126">P109+1.96*P113</f>
        <v>3.8162247211875888E-2</v>
      </c>
      <c r="R117" s="9">
        <f t="shared" ref="R117" si="127">R109+1.96*R113</f>
        <v>0.22460228937483304</v>
      </c>
      <c r="T117" s="9">
        <f t="shared" ref="T117" si="128">T109+1.96*T113</f>
        <v>0.15086486708789854</v>
      </c>
      <c r="V117" s="9">
        <f>V109+1.96*V113</f>
        <v>0.31729016585919328</v>
      </c>
      <c r="X117" s="9">
        <f>X109+1.96*X113</f>
        <v>7.2341639447660491E-2</v>
      </c>
      <c r="Z117" s="9">
        <f t="shared" ref="Z117" si="129">Z109+1.96*Z113</f>
        <v>0.41918067495602801</v>
      </c>
      <c r="AB117" s="9">
        <f t="shared" ref="AB117" si="130">AB109+1.96*AB113</f>
        <v>0.71114914324636969</v>
      </c>
      <c r="AD117" s="9">
        <f t="shared" ref="AD117" si="131">AD109+1.96*AD113</f>
        <v>0.67252660570733547</v>
      </c>
      <c r="AF117" s="9">
        <f t="shared" ref="AF117" si="132">AF109+1.96*AF113</f>
        <v>0.39805386713066171</v>
      </c>
      <c r="AH117" s="9">
        <f>AH109+1.96*AH113</f>
        <v>0.6051100176516826</v>
      </c>
      <c r="AJ117" s="9">
        <f>AJ109+1.96*AJ113</f>
        <v>0.87097817451471549</v>
      </c>
      <c r="AK117" s="9">
        <f>AK109+1.96*AK113</f>
        <v>602.42267760712286</v>
      </c>
      <c r="AL117" s="17">
        <f>AK117/60</f>
        <v>10.040377960118715</v>
      </c>
      <c r="AM117" s="17">
        <f>AN117/60</f>
        <v>1.6612926211694108</v>
      </c>
      <c r="AN117" s="9">
        <f>AN109+1.96*AN113</f>
        <v>99.677557270164641</v>
      </c>
      <c r="AP117" s="9">
        <f t="shared" ref="AP117" si="133">AP109+1.96*AP113</f>
        <v>0.39198950645263442</v>
      </c>
      <c r="AR117" s="9">
        <f t="shared" ref="AR117" si="134">AR109+1.96*AR113</f>
        <v>0.17098486746357552</v>
      </c>
      <c r="AT117" s="9">
        <f t="shared" ref="AT117" si="135">AT109+1.96*AT113</f>
        <v>0.1106385241262644</v>
      </c>
      <c r="AV117" s="9">
        <f t="shared" ref="AV117:AX117" si="136">AV109+1.96*AV113</f>
        <v>5.4234747178269489E-2</v>
      </c>
      <c r="AX117" s="9">
        <f t="shared" si="136"/>
        <v>0.19090788803501277</v>
      </c>
      <c r="AY117" s="9">
        <f t="shared" ref="AY117" si="137">AY109+1.96*AY113</f>
        <v>0.10279558107478953</v>
      </c>
      <c r="BA117" s="9">
        <f t="shared" ref="BA117:BB117" si="138">BA109+1.96*BA113</f>
        <v>0.84493597152397371</v>
      </c>
      <c r="BB117" s="9">
        <f t="shared" si="138"/>
        <v>0.40006051584025093</v>
      </c>
      <c r="BD117" s="9">
        <f t="shared" ref="BD117:BH117" si="139">BD109+1.96*BD113</f>
        <v>0.36148835251126327</v>
      </c>
      <c r="BE117" s="9">
        <f t="shared" ref="BE117" si="140">BE109+1.96*BE113</f>
        <v>0.72237220936173097</v>
      </c>
      <c r="BG117" s="9">
        <f t="shared" si="139"/>
        <v>0.32115229910589121</v>
      </c>
      <c r="BH117" s="9">
        <f t="shared" si="139"/>
        <v>0.64873913362003843</v>
      </c>
      <c r="BK117" s="9">
        <f t="shared" ref="BK117:BM117" si="141">BK109+1.96*BK113</f>
        <v>8.401173446463267E-2</v>
      </c>
      <c r="BM117" s="9">
        <f t="shared" si="141"/>
        <v>0.14326852988052999</v>
      </c>
    </row>
    <row r="118" spans="5:65" x14ac:dyDescent="0.4">
      <c r="BA118" s="11"/>
    </row>
    <row r="119" spans="5:65" x14ac:dyDescent="0.4">
      <c r="AX119" s="9">
        <f>SUM(AO109, AS109)</f>
        <v>634</v>
      </c>
      <c r="AY119" s="9">
        <f>SUM(AW109,AZ109)</f>
        <v>634</v>
      </c>
    </row>
    <row r="120" spans="5:65" x14ac:dyDescent="0.4">
      <c r="AX120" s="9">
        <f>AW109/AX119</f>
        <v>0.14668769716088328</v>
      </c>
      <c r="BA120" s="9" t="s">
        <v>123</v>
      </c>
    </row>
    <row r="121" spans="5:65" x14ac:dyDescent="0.4">
      <c r="AX121" s="9">
        <f>AZ109/AX119</f>
        <v>0.85331230283911674</v>
      </c>
      <c r="BA121" s="9">
        <f>1-AX109</f>
        <v>0.85267595149948094</v>
      </c>
    </row>
    <row r="122" spans="5:65" x14ac:dyDescent="0.4">
      <c r="BA122" s="9" t="s">
        <v>1282</v>
      </c>
    </row>
    <row r="123" spans="5:65" x14ac:dyDescent="0.4">
      <c r="BA123" s="9">
        <f>1-AX115</f>
        <v>0.89625979103397468</v>
      </c>
    </row>
    <row r="124" spans="5:65" x14ac:dyDescent="0.4">
      <c r="AW124" s="8">
        <f>AX124/15</f>
        <v>0.2</v>
      </c>
      <c r="AX124" s="9">
        <v>3</v>
      </c>
      <c r="AY124" s="9">
        <f>15-AX124</f>
        <v>12</v>
      </c>
      <c r="AZ124" s="8">
        <f>AY124/15</f>
        <v>0.8</v>
      </c>
      <c r="BA124" s="9" t="s">
        <v>1281</v>
      </c>
    </row>
    <row r="125" spans="5:65" x14ac:dyDescent="0.4">
      <c r="AW125" s="8">
        <f t="shared" ref="AW125:AW128" si="142">AX125/15</f>
        <v>0.26666666666666666</v>
      </c>
      <c r="AX125" s="9">
        <v>4</v>
      </c>
      <c r="AY125" s="9">
        <f t="shared" ref="AY125:AY128" si="143">15-AX125</f>
        <v>11</v>
      </c>
      <c r="AZ125" s="8">
        <f t="shared" ref="AZ125:AZ128" si="144">AY125/15</f>
        <v>0.73333333333333328</v>
      </c>
      <c r="BA125" s="9">
        <f>1-AX117</f>
        <v>0.8090921119649872</v>
      </c>
    </row>
    <row r="126" spans="5:65" x14ac:dyDescent="0.4">
      <c r="AW126" s="8">
        <f t="shared" si="142"/>
        <v>0.33333333333333331</v>
      </c>
      <c r="AX126" s="9">
        <v>5</v>
      </c>
      <c r="AY126" s="9">
        <f t="shared" si="143"/>
        <v>10</v>
      </c>
      <c r="AZ126" s="8">
        <f t="shared" si="144"/>
        <v>0.66666666666666663</v>
      </c>
    </row>
    <row r="127" spans="5:65" x14ac:dyDescent="0.4">
      <c r="AW127" s="8">
        <f t="shared" si="142"/>
        <v>0.4</v>
      </c>
      <c r="AX127" s="9">
        <v>6</v>
      </c>
      <c r="AY127" s="9">
        <f t="shared" si="143"/>
        <v>9</v>
      </c>
      <c r="AZ127" s="8">
        <f t="shared" si="144"/>
        <v>0.6</v>
      </c>
    </row>
    <row r="128" spans="5:65" x14ac:dyDescent="0.4">
      <c r="AW128" s="8">
        <f t="shared" si="142"/>
        <v>0.46666666666666667</v>
      </c>
      <c r="AX128" s="9">
        <v>7</v>
      </c>
      <c r="AY128" s="9">
        <f t="shared" si="143"/>
        <v>8</v>
      </c>
      <c r="AZ128" s="8">
        <f t="shared" si="144"/>
        <v>0.53333333333333333</v>
      </c>
    </row>
    <row r="130" spans="49:52" x14ac:dyDescent="0.4">
      <c r="AW130" s="8">
        <f>AVERAGE(AW124:AW128)</f>
        <v>0.33333333333333337</v>
      </c>
      <c r="AX130" s="9">
        <f>SUM(AX124:AX128)</f>
        <v>25</v>
      </c>
      <c r="AY130" s="9">
        <f>SUM(AY124:AY128)</f>
        <v>50</v>
      </c>
      <c r="AZ130" s="8">
        <f>AVERAGE(AZ124:AZ128)</f>
        <v>0.66666666666666663</v>
      </c>
    </row>
    <row r="132" spans="49:52" x14ac:dyDescent="0.4">
      <c r="AX132" s="8">
        <f>SUM(AX130:AY130)</f>
        <v>75</v>
      </c>
      <c r="AY132" s="9">
        <f>15*5</f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17"/>
  <sheetViews>
    <sheetView tabSelected="1" workbookViewId="0">
      <pane ySplit="2" topLeftCell="A78" activePane="bottomLeft" state="frozen"/>
      <selection pane="bottomLeft" activeCell="D120" sqref="D120"/>
    </sheetView>
  </sheetViews>
  <sheetFormatPr defaultColWidth="9.15234375" defaultRowHeight="14.6" x14ac:dyDescent="0.4"/>
  <cols>
    <col min="1" max="1" width="8.3828125" style="14" bestFit="1" customWidth="1"/>
    <col min="2" max="2" width="7.84375" style="14" bestFit="1" customWidth="1"/>
    <col min="3" max="3" width="9" style="14" bestFit="1" customWidth="1"/>
    <col min="4" max="4" width="7.84375" style="14" customWidth="1"/>
    <col min="5" max="5" width="10.3828125" style="14" bestFit="1" customWidth="1"/>
    <col min="6" max="6" width="12.84375" style="14" bestFit="1" customWidth="1"/>
    <col min="7" max="7" width="12.84375" style="14" customWidth="1"/>
    <col min="8" max="8" width="12.84375" style="15" customWidth="1"/>
    <col min="9" max="9" width="12.84375" style="14" customWidth="1"/>
    <col min="10" max="10" width="11.84375" style="14" bestFit="1" customWidth="1"/>
    <col min="11" max="11" width="16.69140625" style="14" bestFit="1" customWidth="1"/>
    <col min="12" max="16384" width="9.15234375" style="1"/>
  </cols>
  <sheetData>
    <row r="1" spans="1:13" x14ac:dyDescent="0.4">
      <c r="F1" s="16" t="s">
        <v>1289</v>
      </c>
    </row>
    <row r="2" spans="1:13" x14ac:dyDescent="0.4">
      <c r="A2" s="14" t="s">
        <v>1247</v>
      </c>
      <c r="B2" s="14" t="s">
        <v>1249</v>
      </c>
      <c r="C2" s="14" t="s">
        <v>1286</v>
      </c>
      <c r="E2" s="14" t="s">
        <v>1251</v>
      </c>
      <c r="F2" s="14" t="s">
        <v>1268</v>
      </c>
      <c r="G2" s="14" t="s">
        <v>1287</v>
      </c>
      <c r="H2" s="15" t="s">
        <v>1288</v>
      </c>
      <c r="J2" s="14" t="s">
        <v>1252</v>
      </c>
      <c r="K2" s="14" t="s">
        <v>1270</v>
      </c>
      <c r="L2" s="14" t="s">
        <v>1287</v>
      </c>
      <c r="M2" s="14" t="s">
        <v>1288</v>
      </c>
    </row>
    <row r="3" spans="1:13" x14ac:dyDescent="0.4">
      <c r="A3" s="14">
        <v>5</v>
      </c>
      <c r="C3" s="14">
        <f t="shared" ref="C3:C10" si="0">SUM(A3:B3)</f>
        <v>5</v>
      </c>
      <c r="F3" s="14">
        <v>0</v>
      </c>
      <c r="G3" s="14">
        <f>IF(NOT(C3=0),E3/C3,0)</f>
        <v>0</v>
      </c>
      <c r="H3" s="15">
        <f>IF(NOT(C3=0),E3/C3,"")</f>
        <v>0</v>
      </c>
      <c r="J3" s="14">
        <v>5</v>
      </c>
      <c r="K3" s="14">
        <v>1</v>
      </c>
      <c r="L3" s="14">
        <f>IF(NOT(C3=0),J3/C3,0)</f>
        <v>1</v>
      </c>
      <c r="M3" s="14">
        <f>IF(NOT(C3=0),J3/C3,"")</f>
        <v>1</v>
      </c>
    </row>
    <row r="4" spans="1:13" x14ac:dyDescent="0.4">
      <c r="A4" s="14">
        <v>3</v>
      </c>
      <c r="C4" s="14">
        <f t="shared" si="0"/>
        <v>3</v>
      </c>
      <c r="F4" s="14">
        <v>0</v>
      </c>
      <c r="G4" s="14">
        <f t="shared" ref="G4:G67" si="1">IF(NOT(C4=0),E4/C4,0)</f>
        <v>0</v>
      </c>
      <c r="H4" s="15">
        <f t="shared" ref="H4:H67" si="2">IF(NOT(C4=0),E4/C4,"")</f>
        <v>0</v>
      </c>
      <c r="J4" s="14">
        <v>3</v>
      </c>
      <c r="K4" s="14">
        <v>1</v>
      </c>
      <c r="L4" s="14">
        <f t="shared" ref="L4:L23" si="3">IF(NOT(C4=0),J4/C4,0)</f>
        <v>1</v>
      </c>
      <c r="M4" s="14">
        <f t="shared" ref="M4:M23" si="4">IF(NOT(C4=0),J4/C4,"")</f>
        <v>1</v>
      </c>
    </row>
    <row r="5" spans="1:13" x14ac:dyDescent="0.4">
      <c r="A5" s="14">
        <v>1</v>
      </c>
      <c r="C5" s="14">
        <f t="shared" si="0"/>
        <v>1</v>
      </c>
      <c r="F5" s="14">
        <v>0</v>
      </c>
      <c r="G5" s="14">
        <f t="shared" si="1"/>
        <v>0</v>
      </c>
      <c r="H5" s="15">
        <f t="shared" si="2"/>
        <v>0</v>
      </c>
      <c r="J5" s="14">
        <v>1</v>
      </c>
      <c r="K5" s="14">
        <v>1</v>
      </c>
      <c r="L5" s="14">
        <f t="shared" si="3"/>
        <v>1</v>
      </c>
      <c r="M5" s="14">
        <f t="shared" si="4"/>
        <v>1</v>
      </c>
    </row>
    <row r="6" spans="1:13" x14ac:dyDescent="0.4">
      <c r="C6" s="14">
        <f t="shared" si="0"/>
        <v>0</v>
      </c>
      <c r="F6" s="14">
        <v>0</v>
      </c>
      <c r="G6" s="14">
        <f t="shared" si="1"/>
        <v>0</v>
      </c>
      <c r="H6" s="15" t="str">
        <f t="shared" si="2"/>
        <v/>
      </c>
      <c r="K6" s="14">
        <v>0</v>
      </c>
      <c r="L6" s="14">
        <f t="shared" si="3"/>
        <v>0</v>
      </c>
      <c r="M6" s="14" t="str">
        <f t="shared" si="4"/>
        <v/>
      </c>
    </row>
    <row r="7" spans="1:13" x14ac:dyDescent="0.4">
      <c r="A7" s="14">
        <v>2</v>
      </c>
      <c r="B7" s="14">
        <v>1</v>
      </c>
      <c r="C7" s="14">
        <f t="shared" si="0"/>
        <v>3</v>
      </c>
      <c r="E7" s="14">
        <v>1</v>
      </c>
      <c r="F7" s="14">
        <v>0.33333333333333331</v>
      </c>
      <c r="G7" s="14">
        <f t="shared" si="1"/>
        <v>0.33333333333333331</v>
      </c>
      <c r="H7" s="15">
        <f t="shared" si="2"/>
        <v>0.33333333333333331</v>
      </c>
      <c r="J7" s="14">
        <v>2</v>
      </c>
      <c r="K7" s="14">
        <v>0.66666666666666663</v>
      </c>
      <c r="L7" s="14">
        <f t="shared" si="3"/>
        <v>0.66666666666666663</v>
      </c>
      <c r="M7" s="14">
        <f t="shared" si="4"/>
        <v>0.66666666666666663</v>
      </c>
    </row>
    <row r="8" spans="1:13" x14ac:dyDescent="0.4">
      <c r="A8" s="14">
        <v>1</v>
      </c>
      <c r="B8" s="14">
        <v>2</v>
      </c>
      <c r="C8" s="14">
        <f t="shared" si="0"/>
        <v>3</v>
      </c>
      <c r="F8" s="14">
        <v>0</v>
      </c>
      <c r="G8" s="14">
        <f t="shared" si="1"/>
        <v>0</v>
      </c>
      <c r="H8" s="15">
        <f t="shared" si="2"/>
        <v>0</v>
      </c>
      <c r="J8" s="14">
        <v>3</v>
      </c>
      <c r="K8" s="14">
        <v>1</v>
      </c>
      <c r="L8" s="14">
        <f t="shared" si="3"/>
        <v>1</v>
      </c>
      <c r="M8" s="14">
        <f t="shared" si="4"/>
        <v>1</v>
      </c>
    </row>
    <row r="9" spans="1:13" x14ac:dyDescent="0.4">
      <c r="A9" s="14">
        <v>1</v>
      </c>
      <c r="B9" s="14">
        <v>1</v>
      </c>
      <c r="C9" s="14">
        <f t="shared" si="0"/>
        <v>2</v>
      </c>
      <c r="F9" s="14">
        <v>0</v>
      </c>
      <c r="G9" s="14">
        <f t="shared" si="1"/>
        <v>0</v>
      </c>
      <c r="H9" s="15">
        <f t="shared" si="2"/>
        <v>0</v>
      </c>
      <c r="J9" s="14">
        <v>2</v>
      </c>
      <c r="K9" s="14">
        <v>1</v>
      </c>
      <c r="L9" s="14">
        <f t="shared" si="3"/>
        <v>1</v>
      </c>
      <c r="M9" s="14">
        <f t="shared" si="4"/>
        <v>1</v>
      </c>
    </row>
    <row r="10" spans="1:13" x14ac:dyDescent="0.4">
      <c r="A10" s="14">
        <v>1</v>
      </c>
      <c r="C10" s="14">
        <f t="shared" si="0"/>
        <v>1</v>
      </c>
      <c r="F10" s="14">
        <v>0</v>
      </c>
      <c r="G10" s="14">
        <f t="shared" si="1"/>
        <v>0</v>
      </c>
      <c r="H10" s="15">
        <f t="shared" si="2"/>
        <v>0</v>
      </c>
      <c r="J10" s="14">
        <v>1</v>
      </c>
      <c r="K10" s="14">
        <v>1</v>
      </c>
      <c r="L10" s="14">
        <f t="shared" si="3"/>
        <v>1</v>
      </c>
      <c r="M10" s="14">
        <f t="shared" si="4"/>
        <v>1</v>
      </c>
    </row>
    <row r="11" spans="1:13" x14ac:dyDescent="0.4">
      <c r="A11" s="14">
        <v>4</v>
      </c>
      <c r="C11" s="14">
        <f t="shared" ref="C11:C74" si="5">SUM(A11:B11)</f>
        <v>4</v>
      </c>
      <c r="E11" s="14">
        <v>2</v>
      </c>
      <c r="F11" s="14">
        <v>0.5</v>
      </c>
      <c r="G11" s="14">
        <f t="shared" si="1"/>
        <v>0.5</v>
      </c>
      <c r="H11" s="15">
        <f t="shared" si="2"/>
        <v>0.5</v>
      </c>
      <c r="J11" s="14">
        <v>2</v>
      </c>
      <c r="K11" s="14">
        <v>0.5</v>
      </c>
      <c r="L11" s="14">
        <f t="shared" si="3"/>
        <v>0.5</v>
      </c>
      <c r="M11" s="14">
        <f t="shared" si="4"/>
        <v>0.5</v>
      </c>
    </row>
    <row r="12" spans="1:13" x14ac:dyDescent="0.4">
      <c r="A12" s="14">
        <v>4</v>
      </c>
      <c r="B12" s="14">
        <v>1</v>
      </c>
      <c r="C12" s="14">
        <f t="shared" si="5"/>
        <v>5</v>
      </c>
      <c r="E12" s="14">
        <v>1</v>
      </c>
      <c r="F12" s="14">
        <v>0.2</v>
      </c>
      <c r="G12" s="14">
        <f t="shared" si="1"/>
        <v>0.2</v>
      </c>
      <c r="H12" s="15">
        <f t="shared" si="2"/>
        <v>0.2</v>
      </c>
      <c r="J12" s="14">
        <v>4</v>
      </c>
      <c r="K12" s="14">
        <v>0.8</v>
      </c>
      <c r="L12" s="14">
        <f t="shared" si="3"/>
        <v>0.8</v>
      </c>
      <c r="M12" s="14">
        <f t="shared" si="4"/>
        <v>0.8</v>
      </c>
    </row>
    <row r="13" spans="1:13" x14ac:dyDescent="0.4">
      <c r="A13" s="14">
        <v>3</v>
      </c>
      <c r="B13" s="14">
        <v>2</v>
      </c>
      <c r="C13" s="14">
        <f t="shared" si="5"/>
        <v>5</v>
      </c>
      <c r="E13" s="14">
        <v>2</v>
      </c>
      <c r="F13" s="14">
        <v>0.4</v>
      </c>
      <c r="G13" s="14">
        <f t="shared" si="1"/>
        <v>0.4</v>
      </c>
      <c r="H13" s="15">
        <f t="shared" si="2"/>
        <v>0.4</v>
      </c>
      <c r="J13" s="14">
        <v>3</v>
      </c>
      <c r="K13" s="14">
        <v>0.6</v>
      </c>
      <c r="L13" s="14">
        <f t="shared" si="3"/>
        <v>0.6</v>
      </c>
      <c r="M13" s="14">
        <f t="shared" si="4"/>
        <v>0.6</v>
      </c>
    </row>
    <row r="14" spans="1:13" x14ac:dyDescent="0.4">
      <c r="A14" s="14">
        <v>6</v>
      </c>
      <c r="C14" s="14">
        <f t="shared" si="5"/>
        <v>6</v>
      </c>
      <c r="E14" s="14">
        <v>3</v>
      </c>
      <c r="F14" s="14">
        <v>0.5</v>
      </c>
      <c r="G14" s="14">
        <f t="shared" si="1"/>
        <v>0.5</v>
      </c>
      <c r="H14" s="15">
        <f t="shared" si="2"/>
        <v>0.5</v>
      </c>
      <c r="J14" s="14">
        <v>3</v>
      </c>
      <c r="K14" s="14">
        <v>0.5</v>
      </c>
      <c r="L14" s="14">
        <f t="shared" si="3"/>
        <v>0.5</v>
      </c>
      <c r="M14" s="14">
        <f t="shared" si="4"/>
        <v>0.5</v>
      </c>
    </row>
    <row r="15" spans="1:13" x14ac:dyDescent="0.4">
      <c r="A15" s="14">
        <v>8</v>
      </c>
      <c r="B15" s="14">
        <v>4</v>
      </c>
      <c r="C15" s="14">
        <f t="shared" si="5"/>
        <v>12</v>
      </c>
      <c r="E15" s="14">
        <v>2</v>
      </c>
      <c r="F15" s="14">
        <v>0.16666666666666666</v>
      </c>
      <c r="G15" s="14">
        <f t="shared" si="1"/>
        <v>0.16666666666666666</v>
      </c>
      <c r="H15" s="15">
        <f t="shared" si="2"/>
        <v>0.16666666666666666</v>
      </c>
      <c r="J15" s="14">
        <v>10</v>
      </c>
      <c r="K15" s="14">
        <v>0.83333333333333337</v>
      </c>
      <c r="L15" s="14">
        <f t="shared" si="3"/>
        <v>0.83333333333333337</v>
      </c>
      <c r="M15" s="14">
        <f t="shared" si="4"/>
        <v>0.83333333333333337</v>
      </c>
    </row>
    <row r="16" spans="1:13" x14ac:dyDescent="0.4">
      <c r="A16" s="14">
        <v>4</v>
      </c>
      <c r="B16" s="14">
        <v>3</v>
      </c>
      <c r="C16" s="14">
        <f t="shared" si="5"/>
        <v>7</v>
      </c>
      <c r="E16" s="14">
        <v>2</v>
      </c>
      <c r="F16" s="14">
        <v>0.2857142857142857</v>
      </c>
      <c r="G16" s="14">
        <f t="shared" si="1"/>
        <v>0.2857142857142857</v>
      </c>
      <c r="H16" s="15">
        <f t="shared" si="2"/>
        <v>0.2857142857142857</v>
      </c>
      <c r="J16" s="14">
        <v>5</v>
      </c>
      <c r="K16" s="14">
        <v>0.7142857142857143</v>
      </c>
      <c r="L16" s="14">
        <f t="shared" si="3"/>
        <v>0.7142857142857143</v>
      </c>
      <c r="M16" s="14">
        <f t="shared" si="4"/>
        <v>0.7142857142857143</v>
      </c>
    </row>
    <row r="17" spans="1:13" x14ac:dyDescent="0.4">
      <c r="C17" s="14">
        <f t="shared" si="5"/>
        <v>0</v>
      </c>
      <c r="F17" s="14">
        <v>0</v>
      </c>
      <c r="G17" s="14">
        <f t="shared" si="1"/>
        <v>0</v>
      </c>
      <c r="H17" s="15" t="str">
        <f t="shared" si="2"/>
        <v/>
      </c>
      <c r="K17" s="14">
        <v>0</v>
      </c>
      <c r="L17" s="14">
        <f t="shared" si="3"/>
        <v>0</v>
      </c>
      <c r="M17" s="14" t="str">
        <f t="shared" si="4"/>
        <v/>
      </c>
    </row>
    <row r="18" spans="1:13" x14ac:dyDescent="0.4">
      <c r="A18" s="14">
        <v>5</v>
      </c>
      <c r="B18" s="14">
        <v>1</v>
      </c>
      <c r="C18" s="14">
        <f t="shared" si="5"/>
        <v>6</v>
      </c>
      <c r="E18" s="14">
        <v>1</v>
      </c>
      <c r="F18" s="14">
        <v>0.16666666666666666</v>
      </c>
      <c r="G18" s="14">
        <f t="shared" si="1"/>
        <v>0.16666666666666666</v>
      </c>
      <c r="H18" s="15">
        <f t="shared" si="2"/>
        <v>0.16666666666666666</v>
      </c>
      <c r="J18" s="14">
        <v>5</v>
      </c>
      <c r="K18" s="14">
        <v>0.83333333333333337</v>
      </c>
      <c r="L18" s="14">
        <f t="shared" si="3"/>
        <v>0.83333333333333337</v>
      </c>
      <c r="M18" s="14">
        <f t="shared" si="4"/>
        <v>0.83333333333333337</v>
      </c>
    </row>
    <row r="19" spans="1:13" x14ac:dyDescent="0.4">
      <c r="A19" s="14">
        <v>5</v>
      </c>
      <c r="B19" s="14">
        <v>1</v>
      </c>
      <c r="C19" s="14">
        <f t="shared" si="5"/>
        <v>6</v>
      </c>
      <c r="E19" s="14">
        <v>1</v>
      </c>
      <c r="F19" s="14">
        <v>0.16666666666666666</v>
      </c>
      <c r="G19" s="14">
        <f t="shared" si="1"/>
        <v>0.16666666666666666</v>
      </c>
      <c r="H19" s="15">
        <f t="shared" si="2"/>
        <v>0.16666666666666666</v>
      </c>
      <c r="J19" s="14">
        <v>5</v>
      </c>
      <c r="K19" s="14">
        <v>0.83333333333333337</v>
      </c>
      <c r="L19" s="14">
        <f t="shared" si="3"/>
        <v>0.83333333333333337</v>
      </c>
      <c r="M19" s="14">
        <f t="shared" si="4"/>
        <v>0.83333333333333337</v>
      </c>
    </row>
    <row r="20" spans="1:13" x14ac:dyDescent="0.4">
      <c r="A20" s="14">
        <v>4</v>
      </c>
      <c r="C20" s="14">
        <f t="shared" si="5"/>
        <v>4</v>
      </c>
      <c r="E20" s="14">
        <v>2</v>
      </c>
      <c r="F20" s="14">
        <v>0.5</v>
      </c>
      <c r="G20" s="14">
        <f t="shared" si="1"/>
        <v>0.5</v>
      </c>
      <c r="H20" s="15">
        <f t="shared" si="2"/>
        <v>0.5</v>
      </c>
      <c r="J20" s="14">
        <v>2</v>
      </c>
      <c r="K20" s="14">
        <v>0.5</v>
      </c>
      <c r="L20" s="14">
        <f t="shared" si="3"/>
        <v>0.5</v>
      </c>
      <c r="M20" s="14">
        <f t="shared" si="4"/>
        <v>0.5</v>
      </c>
    </row>
    <row r="21" spans="1:13" x14ac:dyDescent="0.4">
      <c r="A21" s="14">
        <v>7</v>
      </c>
      <c r="B21" s="14">
        <v>1</v>
      </c>
      <c r="C21" s="14">
        <f t="shared" si="5"/>
        <v>8</v>
      </c>
      <c r="F21" s="14">
        <v>0</v>
      </c>
      <c r="G21" s="14">
        <f t="shared" si="1"/>
        <v>0</v>
      </c>
      <c r="H21" s="15">
        <f t="shared" si="2"/>
        <v>0</v>
      </c>
      <c r="J21" s="14">
        <v>8</v>
      </c>
      <c r="K21" s="14">
        <v>1</v>
      </c>
      <c r="L21" s="14">
        <f t="shared" si="3"/>
        <v>1</v>
      </c>
      <c r="M21" s="14">
        <f t="shared" si="4"/>
        <v>1</v>
      </c>
    </row>
    <row r="22" spans="1:13" x14ac:dyDescent="0.4">
      <c r="A22" s="14">
        <v>1</v>
      </c>
      <c r="C22" s="14">
        <f t="shared" si="5"/>
        <v>1</v>
      </c>
      <c r="E22" s="14">
        <v>1</v>
      </c>
      <c r="F22" s="14">
        <v>1</v>
      </c>
      <c r="G22" s="14">
        <f t="shared" si="1"/>
        <v>1</v>
      </c>
      <c r="H22" s="15">
        <f t="shared" si="2"/>
        <v>1</v>
      </c>
      <c r="K22" s="14">
        <v>0</v>
      </c>
      <c r="L22" s="14">
        <f t="shared" si="3"/>
        <v>0</v>
      </c>
      <c r="M22" s="14">
        <f t="shared" si="4"/>
        <v>0</v>
      </c>
    </row>
    <row r="23" spans="1:13" x14ac:dyDescent="0.4">
      <c r="A23" s="14">
        <v>4</v>
      </c>
      <c r="C23" s="14">
        <f t="shared" si="5"/>
        <v>4</v>
      </c>
      <c r="F23" s="14">
        <v>0</v>
      </c>
      <c r="G23" s="14">
        <f t="shared" si="1"/>
        <v>0</v>
      </c>
      <c r="H23" s="15">
        <f t="shared" si="2"/>
        <v>0</v>
      </c>
      <c r="J23" s="14">
        <v>4</v>
      </c>
      <c r="K23" s="14">
        <v>1</v>
      </c>
      <c r="L23" s="14">
        <f t="shared" si="3"/>
        <v>1</v>
      </c>
      <c r="M23" s="14">
        <f t="shared" si="4"/>
        <v>1</v>
      </c>
    </row>
    <row r="24" spans="1:13" x14ac:dyDescent="0.4">
      <c r="A24" s="14">
        <v>3</v>
      </c>
      <c r="B24" s="14">
        <v>1</v>
      </c>
      <c r="C24" s="14">
        <f t="shared" si="5"/>
        <v>4</v>
      </c>
      <c r="F24" s="14">
        <v>0</v>
      </c>
      <c r="G24" s="14">
        <f t="shared" si="1"/>
        <v>0</v>
      </c>
      <c r="H24" s="15">
        <f t="shared" si="2"/>
        <v>0</v>
      </c>
      <c r="J24" s="14">
        <v>4</v>
      </c>
      <c r="K24" s="14">
        <v>1</v>
      </c>
      <c r="L24" s="14">
        <f t="shared" ref="L24:L87" si="6">IF(NOT(C24=0),J24/C24,0)</f>
        <v>1</v>
      </c>
      <c r="M24" s="14">
        <f t="shared" ref="M24:M87" si="7">IF(NOT(C24=0),J24/C24,"")</f>
        <v>1</v>
      </c>
    </row>
    <row r="25" spans="1:13" x14ac:dyDescent="0.4">
      <c r="A25" s="14">
        <v>6</v>
      </c>
      <c r="B25" s="14">
        <v>1</v>
      </c>
      <c r="C25" s="14">
        <f t="shared" si="5"/>
        <v>7</v>
      </c>
      <c r="E25" s="14">
        <v>2</v>
      </c>
      <c r="F25" s="14">
        <v>0.2857142857142857</v>
      </c>
      <c r="G25" s="14">
        <f t="shared" si="1"/>
        <v>0.2857142857142857</v>
      </c>
      <c r="H25" s="15">
        <f t="shared" si="2"/>
        <v>0.2857142857142857</v>
      </c>
      <c r="J25" s="14">
        <v>5</v>
      </c>
      <c r="K25" s="14">
        <v>0.7142857142857143</v>
      </c>
      <c r="L25" s="14">
        <f t="shared" si="6"/>
        <v>0.7142857142857143</v>
      </c>
      <c r="M25" s="14">
        <f t="shared" si="7"/>
        <v>0.7142857142857143</v>
      </c>
    </row>
    <row r="26" spans="1:13" x14ac:dyDescent="0.4">
      <c r="A26" s="14">
        <v>2</v>
      </c>
      <c r="B26" s="14">
        <v>1</v>
      </c>
      <c r="C26" s="14">
        <f t="shared" si="5"/>
        <v>3</v>
      </c>
      <c r="E26" s="14">
        <v>2</v>
      </c>
      <c r="F26" s="14">
        <v>0.66666666666666663</v>
      </c>
      <c r="G26" s="14">
        <f t="shared" si="1"/>
        <v>0.66666666666666663</v>
      </c>
      <c r="H26" s="15">
        <f t="shared" si="2"/>
        <v>0.66666666666666663</v>
      </c>
      <c r="J26" s="14">
        <v>1</v>
      </c>
      <c r="K26" s="14">
        <v>0.33333333333333331</v>
      </c>
      <c r="L26" s="14">
        <f t="shared" si="6"/>
        <v>0.33333333333333331</v>
      </c>
      <c r="M26" s="14">
        <f t="shared" si="7"/>
        <v>0.33333333333333331</v>
      </c>
    </row>
    <row r="27" spans="1:13" x14ac:dyDescent="0.4">
      <c r="A27" s="14">
        <v>3</v>
      </c>
      <c r="B27" s="14">
        <v>1</v>
      </c>
      <c r="C27" s="14">
        <f t="shared" si="5"/>
        <v>4</v>
      </c>
      <c r="F27" s="14">
        <v>0</v>
      </c>
      <c r="G27" s="14">
        <f t="shared" si="1"/>
        <v>0</v>
      </c>
      <c r="H27" s="15">
        <f t="shared" si="2"/>
        <v>0</v>
      </c>
      <c r="J27" s="14">
        <v>4</v>
      </c>
      <c r="K27" s="14">
        <v>1</v>
      </c>
      <c r="L27" s="14">
        <f t="shared" si="6"/>
        <v>1</v>
      </c>
      <c r="M27" s="14">
        <f t="shared" si="7"/>
        <v>1</v>
      </c>
    </row>
    <row r="28" spans="1:13" x14ac:dyDescent="0.4">
      <c r="A28" s="14">
        <v>2</v>
      </c>
      <c r="B28" s="14">
        <v>1</v>
      </c>
      <c r="C28" s="14">
        <f t="shared" si="5"/>
        <v>3</v>
      </c>
      <c r="F28" s="14">
        <v>0</v>
      </c>
      <c r="G28" s="14">
        <f t="shared" si="1"/>
        <v>0</v>
      </c>
      <c r="H28" s="15">
        <f t="shared" si="2"/>
        <v>0</v>
      </c>
      <c r="J28" s="14">
        <v>3</v>
      </c>
      <c r="K28" s="14">
        <v>1</v>
      </c>
      <c r="L28" s="14">
        <f t="shared" si="6"/>
        <v>1</v>
      </c>
      <c r="M28" s="14">
        <f t="shared" si="7"/>
        <v>1</v>
      </c>
    </row>
    <row r="29" spans="1:13" x14ac:dyDescent="0.4">
      <c r="A29" s="14">
        <v>5</v>
      </c>
      <c r="C29" s="14">
        <f t="shared" si="5"/>
        <v>5</v>
      </c>
      <c r="F29" s="14">
        <v>0</v>
      </c>
      <c r="G29" s="14">
        <f t="shared" si="1"/>
        <v>0</v>
      </c>
      <c r="H29" s="15">
        <f t="shared" si="2"/>
        <v>0</v>
      </c>
      <c r="J29" s="14">
        <v>5</v>
      </c>
      <c r="K29" s="14">
        <v>1</v>
      </c>
      <c r="L29" s="14">
        <f t="shared" si="6"/>
        <v>1</v>
      </c>
      <c r="M29" s="14">
        <f t="shared" si="7"/>
        <v>1</v>
      </c>
    </row>
    <row r="30" spans="1:13" x14ac:dyDescent="0.4">
      <c r="A30" s="14">
        <v>6</v>
      </c>
      <c r="C30" s="14">
        <f t="shared" si="5"/>
        <v>6</v>
      </c>
      <c r="E30" s="14">
        <v>1</v>
      </c>
      <c r="F30" s="14">
        <v>0.16666666666666666</v>
      </c>
      <c r="G30" s="14">
        <f t="shared" si="1"/>
        <v>0.16666666666666666</v>
      </c>
      <c r="H30" s="15">
        <f t="shared" si="2"/>
        <v>0.16666666666666666</v>
      </c>
      <c r="J30" s="14">
        <v>5</v>
      </c>
      <c r="K30" s="14">
        <v>0.83333333333333337</v>
      </c>
      <c r="L30" s="14">
        <f t="shared" si="6"/>
        <v>0.83333333333333337</v>
      </c>
      <c r="M30" s="14">
        <f t="shared" si="7"/>
        <v>0.83333333333333337</v>
      </c>
    </row>
    <row r="31" spans="1:13" x14ac:dyDescent="0.4">
      <c r="B31" s="14">
        <v>1</v>
      </c>
      <c r="C31" s="14">
        <f t="shared" si="5"/>
        <v>1</v>
      </c>
      <c r="F31" s="14">
        <v>0</v>
      </c>
      <c r="G31" s="14">
        <f t="shared" si="1"/>
        <v>0</v>
      </c>
      <c r="H31" s="15">
        <f t="shared" si="2"/>
        <v>0</v>
      </c>
      <c r="J31" s="14">
        <v>1</v>
      </c>
      <c r="K31" s="14">
        <v>1</v>
      </c>
      <c r="L31" s="14">
        <f t="shared" si="6"/>
        <v>1</v>
      </c>
      <c r="M31" s="14">
        <f t="shared" si="7"/>
        <v>1</v>
      </c>
    </row>
    <row r="32" spans="1:13" x14ac:dyDescent="0.4">
      <c r="A32" s="14">
        <v>5</v>
      </c>
      <c r="B32" s="14">
        <v>1</v>
      </c>
      <c r="C32" s="14">
        <f t="shared" si="5"/>
        <v>6</v>
      </c>
      <c r="F32" s="14">
        <v>0</v>
      </c>
      <c r="G32" s="14">
        <f t="shared" si="1"/>
        <v>0</v>
      </c>
      <c r="H32" s="15">
        <f t="shared" si="2"/>
        <v>0</v>
      </c>
      <c r="J32" s="14">
        <v>6</v>
      </c>
      <c r="K32" s="14">
        <v>1</v>
      </c>
      <c r="L32" s="14">
        <f t="shared" si="6"/>
        <v>1</v>
      </c>
      <c r="M32" s="14">
        <f t="shared" si="7"/>
        <v>1</v>
      </c>
    </row>
    <row r="33" spans="1:13" x14ac:dyDescent="0.4">
      <c r="A33" s="14">
        <v>2</v>
      </c>
      <c r="C33" s="14">
        <f t="shared" si="5"/>
        <v>2</v>
      </c>
      <c r="E33" s="14">
        <v>1</v>
      </c>
      <c r="F33" s="14">
        <v>0.5</v>
      </c>
      <c r="G33" s="14">
        <f t="shared" si="1"/>
        <v>0.5</v>
      </c>
      <c r="H33" s="15">
        <f t="shared" si="2"/>
        <v>0.5</v>
      </c>
      <c r="J33" s="14">
        <v>1</v>
      </c>
      <c r="K33" s="14">
        <v>0.5</v>
      </c>
      <c r="L33" s="14">
        <f t="shared" si="6"/>
        <v>0.5</v>
      </c>
      <c r="M33" s="14">
        <f t="shared" si="7"/>
        <v>0.5</v>
      </c>
    </row>
    <row r="34" spans="1:13" x14ac:dyDescent="0.4">
      <c r="A34" s="14">
        <v>6</v>
      </c>
      <c r="C34" s="14">
        <f t="shared" si="5"/>
        <v>6</v>
      </c>
      <c r="F34" s="14">
        <v>0</v>
      </c>
      <c r="G34" s="14">
        <f t="shared" si="1"/>
        <v>0</v>
      </c>
      <c r="H34" s="15">
        <f t="shared" si="2"/>
        <v>0</v>
      </c>
      <c r="J34" s="14">
        <v>6</v>
      </c>
      <c r="K34" s="14">
        <v>1</v>
      </c>
      <c r="L34" s="14">
        <f t="shared" si="6"/>
        <v>1</v>
      </c>
      <c r="M34" s="14">
        <f t="shared" si="7"/>
        <v>1</v>
      </c>
    </row>
    <row r="35" spans="1:13" x14ac:dyDescent="0.4">
      <c r="A35" s="14">
        <v>4</v>
      </c>
      <c r="B35" s="14">
        <v>1</v>
      </c>
      <c r="C35" s="14">
        <f t="shared" si="5"/>
        <v>5</v>
      </c>
      <c r="E35" s="14">
        <v>1</v>
      </c>
      <c r="F35" s="14">
        <v>0.2</v>
      </c>
      <c r="G35" s="14">
        <f t="shared" si="1"/>
        <v>0.2</v>
      </c>
      <c r="H35" s="15">
        <f t="shared" si="2"/>
        <v>0.2</v>
      </c>
      <c r="J35" s="14">
        <v>4</v>
      </c>
      <c r="K35" s="14">
        <v>0.8</v>
      </c>
      <c r="L35" s="14">
        <f t="shared" si="6"/>
        <v>0.8</v>
      </c>
      <c r="M35" s="14">
        <f t="shared" si="7"/>
        <v>0.8</v>
      </c>
    </row>
    <row r="36" spans="1:13" x14ac:dyDescent="0.4">
      <c r="A36" s="14">
        <v>6</v>
      </c>
      <c r="B36" s="14">
        <v>1</v>
      </c>
      <c r="C36" s="14">
        <f t="shared" si="5"/>
        <v>7</v>
      </c>
      <c r="E36" s="14">
        <v>2</v>
      </c>
      <c r="F36" s="14">
        <v>0.2857142857142857</v>
      </c>
      <c r="G36" s="14">
        <f t="shared" si="1"/>
        <v>0.2857142857142857</v>
      </c>
      <c r="H36" s="15">
        <f t="shared" si="2"/>
        <v>0.2857142857142857</v>
      </c>
      <c r="J36" s="14">
        <v>5</v>
      </c>
      <c r="K36" s="14">
        <v>0.7142857142857143</v>
      </c>
      <c r="L36" s="14">
        <f t="shared" si="6"/>
        <v>0.7142857142857143</v>
      </c>
      <c r="M36" s="14">
        <f t="shared" si="7"/>
        <v>0.7142857142857143</v>
      </c>
    </row>
    <row r="37" spans="1:13" x14ac:dyDescent="0.4">
      <c r="A37" s="14">
        <v>3</v>
      </c>
      <c r="B37" s="14">
        <v>2</v>
      </c>
      <c r="C37" s="14">
        <f t="shared" si="5"/>
        <v>5</v>
      </c>
      <c r="F37" s="14">
        <v>0</v>
      </c>
      <c r="G37" s="14">
        <f t="shared" si="1"/>
        <v>0</v>
      </c>
      <c r="H37" s="15">
        <f t="shared" si="2"/>
        <v>0</v>
      </c>
      <c r="J37" s="14">
        <v>5</v>
      </c>
      <c r="K37" s="14">
        <v>1</v>
      </c>
      <c r="L37" s="14">
        <f t="shared" si="6"/>
        <v>1</v>
      </c>
      <c r="M37" s="14">
        <f t="shared" si="7"/>
        <v>1</v>
      </c>
    </row>
    <row r="38" spans="1:13" x14ac:dyDescent="0.4">
      <c r="A38" s="14">
        <v>4</v>
      </c>
      <c r="C38" s="14">
        <f t="shared" si="5"/>
        <v>4</v>
      </c>
      <c r="E38" s="14">
        <v>2</v>
      </c>
      <c r="F38" s="14">
        <v>0.5</v>
      </c>
      <c r="G38" s="14">
        <f t="shared" si="1"/>
        <v>0.5</v>
      </c>
      <c r="H38" s="15">
        <f t="shared" si="2"/>
        <v>0.5</v>
      </c>
      <c r="J38" s="14">
        <v>2</v>
      </c>
      <c r="K38" s="14">
        <v>0.5</v>
      </c>
      <c r="L38" s="14">
        <f t="shared" si="6"/>
        <v>0.5</v>
      </c>
      <c r="M38" s="14">
        <f t="shared" si="7"/>
        <v>0.5</v>
      </c>
    </row>
    <row r="39" spans="1:13" x14ac:dyDescent="0.4">
      <c r="A39" s="14">
        <v>1</v>
      </c>
      <c r="B39" s="14">
        <v>1</v>
      </c>
      <c r="C39" s="14">
        <f t="shared" si="5"/>
        <v>2</v>
      </c>
      <c r="F39" s="14">
        <v>0</v>
      </c>
      <c r="G39" s="14">
        <f t="shared" si="1"/>
        <v>0</v>
      </c>
      <c r="H39" s="15">
        <f t="shared" si="2"/>
        <v>0</v>
      </c>
      <c r="J39" s="14">
        <v>2</v>
      </c>
      <c r="K39" s="14">
        <v>1</v>
      </c>
      <c r="L39" s="14">
        <f t="shared" si="6"/>
        <v>1</v>
      </c>
      <c r="M39" s="14">
        <f t="shared" si="7"/>
        <v>1</v>
      </c>
    </row>
    <row r="40" spans="1:13" x14ac:dyDescent="0.4">
      <c r="A40" s="14">
        <v>1</v>
      </c>
      <c r="B40" s="14">
        <v>1</v>
      </c>
      <c r="C40" s="14">
        <f t="shared" si="5"/>
        <v>2</v>
      </c>
      <c r="F40" s="14">
        <v>0</v>
      </c>
      <c r="G40" s="14">
        <f t="shared" si="1"/>
        <v>0</v>
      </c>
      <c r="H40" s="15">
        <f t="shared" si="2"/>
        <v>0</v>
      </c>
      <c r="J40" s="14">
        <v>2</v>
      </c>
      <c r="K40" s="14">
        <v>1</v>
      </c>
      <c r="L40" s="14">
        <f t="shared" si="6"/>
        <v>1</v>
      </c>
      <c r="M40" s="14">
        <f t="shared" si="7"/>
        <v>1</v>
      </c>
    </row>
    <row r="41" spans="1:13" x14ac:dyDescent="0.4">
      <c r="A41" s="14">
        <v>10</v>
      </c>
      <c r="C41" s="14">
        <f t="shared" si="5"/>
        <v>10</v>
      </c>
      <c r="E41" s="14">
        <v>1</v>
      </c>
      <c r="F41" s="14">
        <v>0.1</v>
      </c>
      <c r="G41" s="14">
        <f t="shared" si="1"/>
        <v>0.1</v>
      </c>
      <c r="H41" s="15">
        <f t="shared" si="2"/>
        <v>0.1</v>
      </c>
      <c r="J41" s="14">
        <v>9</v>
      </c>
      <c r="K41" s="14">
        <v>0.9</v>
      </c>
      <c r="L41" s="14">
        <f t="shared" si="6"/>
        <v>0.9</v>
      </c>
      <c r="M41" s="14">
        <f t="shared" si="7"/>
        <v>0.9</v>
      </c>
    </row>
    <row r="42" spans="1:13" x14ac:dyDescent="0.4">
      <c r="A42" s="14">
        <v>7</v>
      </c>
      <c r="C42" s="14">
        <f t="shared" si="5"/>
        <v>7</v>
      </c>
      <c r="E42" s="14">
        <v>1</v>
      </c>
      <c r="F42" s="14">
        <v>0.14285714285714285</v>
      </c>
      <c r="G42" s="14">
        <f t="shared" si="1"/>
        <v>0.14285714285714285</v>
      </c>
      <c r="H42" s="15">
        <f t="shared" si="2"/>
        <v>0.14285714285714285</v>
      </c>
      <c r="J42" s="14">
        <v>6</v>
      </c>
      <c r="K42" s="14">
        <v>0.8571428571428571</v>
      </c>
      <c r="L42" s="14">
        <f t="shared" si="6"/>
        <v>0.8571428571428571</v>
      </c>
      <c r="M42" s="14">
        <f t="shared" si="7"/>
        <v>0.8571428571428571</v>
      </c>
    </row>
    <row r="43" spans="1:13" x14ac:dyDescent="0.4">
      <c r="A43" s="14">
        <v>6</v>
      </c>
      <c r="B43" s="14">
        <v>3</v>
      </c>
      <c r="C43" s="14">
        <f t="shared" si="5"/>
        <v>9</v>
      </c>
      <c r="E43" s="14">
        <v>1</v>
      </c>
      <c r="F43" s="14">
        <v>0.1111111111111111</v>
      </c>
      <c r="G43" s="14">
        <f t="shared" si="1"/>
        <v>0.1111111111111111</v>
      </c>
      <c r="H43" s="15">
        <f t="shared" si="2"/>
        <v>0.1111111111111111</v>
      </c>
      <c r="J43" s="14">
        <v>8</v>
      </c>
      <c r="K43" s="14">
        <v>0.88888888888888884</v>
      </c>
      <c r="L43" s="14">
        <f t="shared" si="6"/>
        <v>0.88888888888888884</v>
      </c>
      <c r="M43" s="14">
        <f t="shared" si="7"/>
        <v>0.88888888888888884</v>
      </c>
    </row>
    <row r="44" spans="1:13" x14ac:dyDescent="0.4">
      <c r="A44" s="14">
        <v>9</v>
      </c>
      <c r="C44" s="14">
        <f t="shared" si="5"/>
        <v>9</v>
      </c>
      <c r="E44" s="14">
        <v>3</v>
      </c>
      <c r="F44" s="14">
        <v>0.33333333333333331</v>
      </c>
      <c r="G44" s="14">
        <f t="shared" si="1"/>
        <v>0.33333333333333331</v>
      </c>
      <c r="H44" s="15">
        <f t="shared" si="2"/>
        <v>0.33333333333333331</v>
      </c>
      <c r="J44" s="14">
        <v>6</v>
      </c>
      <c r="K44" s="14">
        <v>0.66666666666666663</v>
      </c>
      <c r="L44" s="14">
        <f t="shared" si="6"/>
        <v>0.66666666666666663</v>
      </c>
      <c r="M44" s="14">
        <f t="shared" si="7"/>
        <v>0.66666666666666663</v>
      </c>
    </row>
    <row r="45" spans="1:13" x14ac:dyDescent="0.4">
      <c r="A45" s="14">
        <v>1</v>
      </c>
      <c r="B45" s="14">
        <v>2</v>
      </c>
      <c r="C45" s="14">
        <f t="shared" si="5"/>
        <v>3</v>
      </c>
      <c r="F45" s="14">
        <v>0</v>
      </c>
      <c r="G45" s="14">
        <f t="shared" si="1"/>
        <v>0</v>
      </c>
      <c r="H45" s="15">
        <f t="shared" si="2"/>
        <v>0</v>
      </c>
      <c r="J45" s="14">
        <v>3</v>
      </c>
      <c r="K45" s="14">
        <v>1</v>
      </c>
      <c r="L45" s="14">
        <f t="shared" si="6"/>
        <v>1</v>
      </c>
      <c r="M45" s="14">
        <f t="shared" si="7"/>
        <v>1</v>
      </c>
    </row>
    <row r="46" spans="1:13" x14ac:dyDescent="0.4">
      <c r="A46" s="14">
        <v>15</v>
      </c>
      <c r="B46" s="14">
        <v>2</v>
      </c>
      <c r="C46" s="14">
        <f t="shared" si="5"/>
        <v>17</v>
      </c>
      <c r="E46" s="14">
        <v>3</v>
      </c>
      <c r="F46" s="14">
        <v>0.17647058823529413</v>
      </c>
      <c r="G46" s="14">
        <f t="shared" si="1"/>
        <v>0.17647058823529413</v>
      </c>
      <c r="H46" s="15">
        <f t="shared" si="2"/>
        <v>0.17647058823529413</v>
      </c>
      <c r="J46" s="14">
        <v>14</v>
      </c>
      <c r="K46" s="14">
        <v>0.82352941176470584</v>
      </c>
      <c r="L46" s="14">
        <f t="shared" si="6"/>
        <v>0.82352941176470584</v>
      </c>
      <c r="M46" s="14">
        <f t="shared" si="7"/>
        <v>0.82352941176470584</v>
      </c>
    </row>
    <row r="47" spans="1:13" x14ac:dyDescent="0.4">
      <c r="A47" s="14">
        <v>5</v>
      </c>
      <c r="B47" s="14">
        <v>5</v>
      </c>
      <c r="C47" s="14">
        <f t="shared" si="5"/>
        <v>10</v>
      </c>
      <c r="F47" s="14">
        <v>0</v>
      </c>
      <c r="G47" s="14">
        <f t="shared" si="1"/>
        <v>0</v>
      </c>
      <c r="H47" s="15">
        <f t="shared" si="2"/>
        <v>0</v>
      </c>
      <c r="J47" s="14">
        <v>10</v>
      </c>
      <c r="K47" s="14">
        <v>1</v>
      </c>
      <c r="L47" s="14">
        <f t="shared" si="6"/>
        <v>1</v>
      </c>
      <c r="M47" s="14">
        <f t="shared" si="7"/>
        <v>1</v>
      </c>
    </row>
    <row r="48" spans="1:13" x14ac:dyDescent="0.4">
      <c r="A48" s="14">
        <v>7</v>
      </c>
      <c r="B48" s="14">
        <v>3</v>
      </c>
      <c r="C48" s="14">
        <f t="shared" si="5"/>
        <v>10</v>
      </c>
      <c r="E48" s="14">
        <v>3</v>
      </c>
      <c r="F48" s="14">
        <v>0.3</v>
      </c>
      <c r="G48" s="14">
        <f t="shared" si="1"/>
        <v>0.3</v>
      </c>
      <c r="H48" s="15">
        <f t="shared" si="2"/>
        <v>0.3</v>
      </c>
      <c r="J48" s="14">
        <v>7</v>
      </c>
      <c r="K48" s="14">
        <v>0.7</v>
      </c>
      <c r="L48" s="14">
        <f t="shared" si="6"/>
        <v>0.7</v>
      </c>
      <c r="M48" s="14">
        <f t="shared" si="7"/>
        <v>0.7</v>
      </c>
    </row>
    <row r="49" spans="1:13" x14ac:dyDescent="0.4">
      <c r="A49" s="14">
        <v>9</v>
      </c>
      <c r="B49" s="14">
        <v>6</v>
      </c>
      <c r="C49" s="14">
        <f t="shared" si="5"/>
        <v>15</v>
      </c>
      <c r="E49" s="14">
        <v>2</v>
      </c>
      <c r="F49" s="14">
        <v>0.13333333333333333</v>
      </c>
      <c r="G49" s="14">
        <f t="shared" si="1"/>
        <v>0.13333333333333333</v>
      </c>
      <c r="H49" s="15">
        <f t="shared" si="2"/>
        <v>0.13333333333333333</v>
      </c>
      <c r="J49" s="14">
        <v>13</v>
      </c>
      <c r="K49" s="14">
        <v>0.8666666666666667</v>
      </c>
      <c r="L49" s="14">
        <f t="shared" si="6"/>
        <v>0.8666666666666667</v>
      </c>
      <c r="M49" s="14">
        <f t="shared" si="7"/>
        <v>0.8666666666666667</v>
      </c>
    </row>
    <row r="50" spans="1:13" x14ac:dyDescent="0.4">
      <c r="A50" s="14">
        <v>2</v>
      </c>
      <c r="C50" s="14">
        <f t="shared" si="5"/>
        <v>2</v>
      </c>
      <c r="F50" s="14">
        <v>0</v>
      </c>
      <c r="G50" s="14">
        <f t="shared" si="1"/>
        <v>0</v>
      </c>
      <c r="H50" s="15">
        <f t="shared" si="2"/>
        <v>0</v>
      </c>
      <c r="J50" s="14">
        <v>2</v>
      </c>
      <c r="K50" s="14">
        <v>1</v>
      </c>
      <c r="L50" s="14">
        <f t="shared" si="6"/>
        <v>1</v>
      </c>
      <c r="M50" s="14">
        <f t="shared" si="7"/>
        <v>1</v>
      </c>
    </row>
    <row r="51" spans="1:13" x14ac:dyDescent="0.4">
      <c r="A51" s="14">
        <v>4</v>
      </c>
      <c r="B51" s="14">
        <v>2</v>
      </c>
      <c r="C51" s="14">
        <f t="shared" si="5"/>
        <v>6</v>
      </c>
      <c r="F51" s="14">
        <v>0</v>
      </c>
      <c r="G51" s="14">
        <f t="shared" si="1"/>
        <v>0</v>
      </c>
      <c r="H51" s="15">
        <f t="shared" si="2"/>
        <v>0</v>
      </c>
      <c r="J51" s="14">
        <v>6</v>
      </c>
      <c r="K51" s="14">
        <v>1</v>
      </c>
      <c r="L51" s="14">
        <f t="shared" si="6"/>
        <v>1</v>
      </c>
      <c r="M51" s="14">
        <f t="shared" si="7"/>
        <v>1</v>
      </c>
    </row>
    <row r="52" spans="1:13" x14ac:dyDescent="0.4">
      <c r="A52" s="14">
        <v>6</v>
      </c>
      <c r="C52" s="14">
        <f t="shared" si="5"/>
        <v>6</v>
      </c>
      <c r="E52" s="14">
        <v>1</v>
      </c>
      <c r="F52" s="14">
        <v>0.16666666666666666</v>
      </c>
      <c r="G52" s="14">
        <f t="shared" si="1"/>
        <v>0.16666666666666666</v>
      </c>
      <c r="H52" s="15">
        <f t="shared" si="2"/>
        <v>0.16666666666666666</v>
      </c>
      <c r="J52" s="14">
        <v>5</v>
      </c>
      <c r="K52" s="14">
        <v>0.83333333333333337</v>
      </c>
      <c r="L52" s="14">
        <f t="shared" si="6"/>
        <v>0.83333333333333337</v>
      </c>
      <c r="M52" s="14">
        <f t="shared" si="7"/>
        <v>0.83333333333333337</v>
      </c>
    </row>
    <row r="53" spans="1:13" x14ac:dyDescent="0.4">
      <c r="A53" s="14">
        <v>1</v>
      </c>
      <c r="C53" s="14">
        <f t="shared" si="5"/>
        <v>1</v>
      </c>
      <c r="E53" s="14">
        <v>1</v>
      </c>
      <c r="F53" s="14">
        <v>1</v>
      </c>
      <c r="G53" s="14">
        <f t="shared" si="1"/>
        <v>1</v>
      </c>
      <c r="H53" s="15">
        <f t="shared" si="2"/>
        <v>1</v>
      </c>
      <c r="K53" s="14">
        <v>0</v>
      </c>
      <c r="L53" s="14">
        <f t="shared" si="6"/>
        <v>0</v>
      </c>
      <c r="M53" s="14">
        <f t="shared" si="7"/>
        <v>0</v>
      </c>
    </row>
    <row r="54" spans="1:13" x14ac:dyDescent="0.4">
      <c r="A54" s="14">
        <v>3</v>
      </c>
      <c r="C54" s="14">
        <f t="shared" si="5"/>
        <v>3</v>
      </c>
      <c r="F54" s="14">
        <v>0</v>
      </c>
      <c r="G54" s="14">
        <f t="shared" si="1"/>
        <v>0</v>
      </c>
      <c r="H54" s="15">
        <f t="shared" si="2"/>
        <v>0</v>
      </c>
      <c r="J54" s="14">
        <v>3</v>
      </c>
      <c r="K54" s="14">
        <v>1</v>
      </c>
      <c r="L54" s="14">
        <f t="shared" si="6"/>
        <v>1</v>
      </c>
      <c r="M54" s="14">
        <f t="shared" si="7"/>
        <v>1</v>
      </c>
    </row>
    <row r="55" spans="1:13" x14ac:dyDescent="0.4">
      <c r="A55" s="14">
        <v>10</v>
      </c>
      <c r="B55" s="14">
        <v>1</v>
      </c>
      <c r="C55" s="14">
        <f t="shared" si="5"/>
        <v>11</v>
      </c>
      <c r="E55" s="14">
        <v>4</v>
      </c>
      <c r="F55" s="14">
        <v>0.36363636363636365</v>
      </c>
      <c r="G55" s="14">
        <f t="shared" si="1"/>
        <v>0.36363636363636365</v>
      </c>
      <c r="H55" s="15">
        <f t="shared" si="2"/>
        <v>0.36363636363636365</v>
      </c>
      <c r="J55" s="14">
        <v>7</v>
      </c>
      <c r="K55" s="14">
        <v>0.63636363636363635</v>
      </c>
      <c r="L55" s="14">
        <f t="shared" si="6"/>
        <v>0.63636363636363635</v>
      </c>
      <c r="M55" s="14">
        <f t="shared" si="7"/>
        <v>0.63636363636363635</v>
      </c>
    </row>
    <row r="56" spans="1:13" x14ac:dyDescent="0.4">
      <c r="A56" s="14">
        <v>7</v>
      </c>
      <c r="B56" s="14">
        <v>4</v>
      </c>
      <c r="C56" s="14">
        <f t="shared" si="5"/>
        <v>11</v>
      </c>
      <c r="E56" s="14">
        <v>3</v>
      </c>
      <c r="F56" s="14">
        <v>0.27272727272727271</v>
      </c>
      <c r="G56" s="14">
        <f t="shared" si="1"/>
        <v>0.27272727272727271</v>
      </c>
      <c r="H56" s="15">
        <f t="shared" si="2"/>
        <v>0.27272727272727271</v>
      </c>
      <c r="J56" s="14">
        <v>8</v>
      </c>
      <c r="K56" s="14">
        <v>0.72727272727272729</v>
      </c>
      <c r="L56" s="14">
        <f t="shared" si="6"/>
        <v>0.72727272727272729</v>
      </c>
      <c r="M56" s="14">
        <f t="shared" si="7"/>
        <v>0.72727272727272729</v>
      </c>
    </row>
    <row r="57" spans="1:13" x14ac:dyDescent="0.4">
      <c r="A57" s="14">
        <v>7</v>
      </c>
      <c r="C57" s="14">
        <f t="shared" si="5"/>
        <v>7</v>
      </c>
      <c r="F57" s="14">
        <v>0</v>
      </c>
      <c r="G57" s="14">
        <f t="shared" si="1"/>
        <v>0</v>
      </c>
      <c r="H57" s="15">
        <f t="shared" si="2"/>
        <v>0</v>
      </c>
      <c r="J57" s="14">
        <v>7</v>
      </c>
      <c r="K57" s="14">
        <v>1</v>
      </c>
      <c r="L57" s="14">
        <f t="shared" si="6"/>
        <v>1</v>
      </c>
      <c r="M57" s="14">
        <f t="shared" si="7"/>
        <v>1</v>
      </c>
    </row>
    <row r="58" spans="1:13" x14ac:dyDescent="0.4">
      <c r="A58" s="14">
        <v>9</v>
      </c>
      <c r="B58" s="14">
        <v>2</v>
      </c>
      <c r="C58" s="14">
        <f t="shared" si="5"/>
        <v>11</v>
      </c>
      <c r="E58" s="14">
        <v>3</v>
      </c>
      <c r="F58" s="14">
        <v>0.27272727272727271</v>
      </c>
      <c r="G58" s="14">
        <f t="shared" si="1"/>
        <v>0.27272727272727271</v>
      </c>
      <c r="H58" s="15">
        <f t="shared" si="2"/>
        <v>0.27272727272727271</v>
      </c>
      <c r="J58" s="14">
        <v>8</v>
      </c>
      <c r="K58" s="14">
        <v>0.72727272727272729</v>
      </c>
      <c r="L58" s="14">
        <f t="shared" si="6"/>
        <v>0.72727272727272729</v>
      </c>
      <c r="M58" s="14">
        <f t="shared" si="7"/>
        <v>0.72727272727272729</v>
      </c>
    </row>
    <row r="59" spans="1:13" x14ac:dyDescent="0.4">
      <c r="A59" s="14">
        <v>15</v>
      </c>
      <c r="B59" s="14">
        <v>3</v>
      </c>
      <c r="C59" s="14">
        <f t="shared" si="5"/>
        <v>18</v>
      </c>
      <c r="E59" s="14">
        <v>4</v>
      </c>
      <c r="F59" s="14">
        <v>0.22222222222222221</v>
      </c>
      <c r="G59" s="14">
        <f t="shared" si="1"/>
        <v>0.22222222222222221</v>
      </c>
      <c r="H59" s="15">
        <f t="shared" si="2"/>
        <v>0.22222222222222221</v>
      </c>
      <c r="J59" s="14">
        <v>14</v>
      </c>
      <c r="K59" s="14">
        <v>0.77777777777777779</v>
      </c>
      <c r="L59" s="14">
        <f t="shared" si="6"/>
        <v>0.77777777777777779</v>
      </c>
      <c r="M59" s="14">
        <f t="shared" si="7"/>
        <v>0.77777777777777779</v>
      </c>
    </row>
    <row r="60" spans="1:13" x14ac:dyDescent="0.4">
      <c r="A60" s="14">
        <v>11</v>
      </c>
      <c r="B60" s="14">
        <v>2</v>
      </c>
      <c r="C60" s="14">
        <f t="shared" si="5"/>
        <v>13</v>
      </c>
      <c r="E60" s="14">
        <v>2</v>
      </c>
      <c r="F60" s="14">
        <v>0.15384615384615385</v>
      </c>
      <c r="G60" s="14">
        <f t="shared" si="1"/>
        <v>0.15384615384615385</v>
      </c>
      <c r="H60" s="15">
        <f t="shared" si="2"/>
        <v>0.15384615384615385</v>
      </c>
      <c r="J60" s="14">
        <v>11</v>
      </c>
      <c r="K60" s="14">
        <v>0.84615384615384615</v>
      </c>
      <c r="L60" s="14">
        <f t="shared" si="6"/>
        <v>0.84615384615384615</v>
      </c>
      <c r="M60" s="14">
        <f t="shared" si="7"/>
        <v>0.84615384615384615</v>
      </c>
    </row>
    <row r="61" spans="1:13" x14ac:dyDescent="0.4">
      <c r="A61" s="14">
        <v>5</v>
      </c>
      <c r="B61" s="14">
        <v>2</v>
      </c>
      <c r="C61" s="14">
        <f t="shared" si="5"/>
        <v>7</v>
      </c>
      <c r="E61" s="14">
        <v>5</v>
      </c>
      <c r="F61" s="14">
        <v>0.7142857142857143</v>
      </c>
      <c r="G61" s="14">
        <f t="shared" si="1"/>
        <v>0.7142857142857143</v>
      </c>
      <c r="H61" s="15">
        <f t="shared" si="2"/>
        <v>0.7142857142857143</v>
      </c>
      <c r="J61" s="14">
        <v>2</v>
      </c>
      <c r="K61" s="14">
        <v>0.2857142857142857</v>
      </c>
      <c r="L61" s="14">
        <f t="shared" si="6"/>
        <v>0.2857142857142857</v>
      </c>
      <c r="M61" s="14">
        <f t="shared" si="7"/>
        <v>0.2857142857142857</v>
      </c>
    </row>
    <row r="62" spans="1:13" x14ac:dyDescent="0.4">
      <c r="A62" s="14">
        <v>17</v>
      </c>
      <c r="B62" s="14">
        <v>11</v>
      </c>
      <c r="C62" s="14">
        <f t="shared" si="5"/>
        <v>28</v>
      </c>
      <c r="E62" s="14">
        <v>2</v>
      </c>
      <c r="F62" s="14">
        <v>7.1428571428571425E-2</v>
      </c>
      <c r="G62" s="14">
        <f t="shared" si="1"/>
        <v>7.1428571428571425E-2</v>
      </c>
      <c r="H62" s="15">
        <f t="shared" si="2"/>
        <v>7.1428571428571425E-2</v>
      </c>
      <c r="J62" s="14">
        <v>26</v>
      </c>
      <c r="K62" s="14">
        <v>0.9285714285714286</v>
      </c>
      <c r="L62" s="14">
        <f t="shared" si="6"/>
        <v>0.9285714285714286</v>
      </c>
      <c r="M62" s="14">
        <f t="shared" si="7"/>
        <v>0.9285714285714286</v>
      </c>
    </row>
    <row r="63" spans="1:13" x14ac:dyDescent="0.4">
      <c r="A63" s="14">
        <v>11</v>
      </c>
      <c r="B63" s="14">
        <v>2</v>
      </c>
      <c r="C63" s="14">
        <f t="shared" si="5"/>
        <v>13</v>
      </c>
      <c r="E63" s="14">
        <v>3</v>
      </c>
      <c r="F63" s="14">
        <v>0.23076923076923078</v>
      </c>
      <c r="G63" s="14">
        <f t="shared" si="1"/>
        <v>0.23076923076923078</v>
      </c>
      <c r="H63" s="15">
        <f t="shared" si="2"/>
        <v>0.23076923076923078</v>
      </c>
      <c r="J63" s="14">
        <v>10</v>
      </c>
      <c r="K63" s="14">
        <v>0.76923076923076927</v>
      </c>
      <c r="L63" s="14">
        <f t="shared" si="6"/>
        <v>0.76923076923076927</v>
      </c>
      <c r="M63" s="14">
        <f t="shared" si="7"/>
        <v>0.76923076923076927</v>
      </c>
    </row>
    <row r="64" spans="1:13" x14ac:dyDescent="0.4">
      <c r="B64" s="14">
        <v>1</v>
      </c>
      <c r="C64" s="14">
        <f t="shared" si="5"/>
        <v>1</v>
      </c>
      <c r="F64" s="14">
        <v>0</v>
      </c>
      <c r="G64" s="14">
        <f t="shared" si="1"/>
        <v>0</v>
      </c>
      <c r="H64" s="15">
        <f t="shared" si="2"/>
        <v>0</v>
      </c>
      <c r="J64" s="14">
        <v>1</v>
      </c>
      <c r="K64" s="14">
        <v>1</v>
      </c>
      <c r="L64" s="14">
        <f t="shared" si="6"/>
        <v>1</v>
      </c>
      <c r="M64" s="14">
        <f t="shared" si="7"/>
        <v>1</v>
      </c>
    </row>
    <row r="65" spans="1:13" x14ac:dyDescent="0.4">
      <c r="A65" s="14">
        <v>1</v>
      </c>
      <c r="C65" s="14">
        <f t="shared" si="5"/>
        <v>1</v>
      </c>
      <c r="E65" s="14">
        <v>1</v>
      </c>
      <c r="F65" s="14">
        <v>1</v>
      </c>
      <c r="G65" s="14">
        <f t="shared" si="1"/>
        <v>1</v>
      </c>
      <c r="H65" s="15">
        <f t="shared" si="2"/>
        <v>1</v>
      </c>
      <c r="K65" s="14">
        <v>0</v>
      </c>
      <c r="L65" s="14">
        <f t="shared" si="6"/>
        <v>0</v>
      </c>
      <c r="M65" s="14">
        <f t="shared" si="7"/>
        <v>0</v>
      </c>
    </row>
    <row r="66" spans="1:13" x14ac:dyDescent="0.4">
      <c r="A66" s="14">
        <v>1</v>
      </c>
      <c r="B66" s="14">
        <v>2</v>
      </c>
      <c r="C66" s="14">
        <f t="shared" si="5"/>
        <v>3</v>
      </c>
      <c r="E66" s="14">
        <v>2</v>
      </c>
      <c r="F66" s="14">
        <v>0.66666666666666663</v>
      </c>
      <c r="G66" s="14">
        <f t="shared" si="1"/>
        <v>0.66666666666666663</v>
      </c>
      <c r="H66" s="15">
        <f t="shared" si="2"/>
        <v>0.66666666666666663</v>
      </c>
      <c r="J66" s="14">
        <v>1</v>
      </c>
      <c r="K66" s="14">
        <v>0.33333333333333331</v>
      </c>
      <c r="L66" s="14">
        <f t="shared" si="6"/>
        <v>0.33333333333333331</v>
      </c>
      <c r="M66" s="14">
        <f t="shared" si="7"/>
        <v>0.33333333333333331</v>
      </c>
    </row>
    <row r="67" spans="1:13" x14ac:dyDescent="0.4">
      <c r="B67" s="14">
        <v>1</v>
      </c>
      <c r="C67" s="14">
        <f t="shared" si="5"/>
        <v>1</v>
      </c>
      <c r="F67" s="14">
        <v>0</v>
      </c>
      <c r="G67" s="14">
        <f t="shared" si="1"/>
        <v>0</v>
      </c>
      <c r="H67" s="15">
        <f t="shared" si="2"/>
        <v>0</v>
      </c>
      <c r="J67" s="14">
        <v>1</v>
      </c>
      <c r="K67" s="14">
        <v>1</v>
      </c>
      <c r="L67" s="14">
        <f t="shared" si="6"/>
        <v>1</v>
      </c>
      <c r="M67" s="14">
        <f t="shared" si="7"/>
        <v>1</v>
      </c>
    </row>
    <row r="68" spans="1:13" x14ac:dyDescent="0.4">
      <c r="C68" s="14">
        <f t="shared" si="5"/>
        <v>0</v>
      </c>
      <c r="F68" s="14">
        <v>0</v>
      </c>
      <c r="G68" s="14">
        <f t="shared" ref="G68:G107" si="8">IF(NOT(C68=0),E68/C68,0)</f>
        <v>0</v>
      </c>
      <c r="H68" s="15" t="str">
        <f t="shared" ref="H68:H107" si="9">IF(NOT(C68=0),E68/C68,"")</f>
        <v/>
      </c>
      <c r="K68" s="14">
        <v>0</v>
      </c>
      <c r="L68" s="14">
        <f t="shared" si="6"/>
        <v>0</v>
      </c>
      <c r="M68" s="14" t="str">
        <f t="shared" si="7"/>
        <v/>
      </c>
    </row>
    <row r="69" spans="1:13" x14ac:dyDescent="0.4">
      <c r="B69" s="14">
        <v>1</v>
      </c>
      <c r="C69" s="14">
        <f t="shared" si="5"/>
        <v>1</v>
      </c>
      <c r="F69" s="14">
        <v>0</v>
      </c>
      <c r="G69" s="14">
        <f t="shared" si="8"/>
        <v>0</v>
      </c>
      <c r="H69" s="15">
        <f t="shared" si="9"/>
        <v>0</v>
      </c>
      <c r="J69" s="14">
        <v>1</v>
      </c>
      <c r="K69" s="14">
        <v>1</v>
      </c>
      <c r="L69" s="14">
        <f t="shared" si="6"/>
        <v>1</v>
      </c>
      <c r="M69" s="14">
        <f t="shared" si="7"/>
        <v>1</v>
      </c>
    </row>
    <row r="70" spans="1:13" x14ac:dyDescent="0.4">
      <c r="A70" s="14">
        <v>1</v>
      </c>
      <c r="C70" s="14">
        <f t="shared" si="5"/>
        <v>1</v>
      </c>
      <c r="F70" s="14">
        <v>0</v>
      </c>
      <c r="G70" s="14">
        <f t="shared" si="8"/>
        <v>0</v>
      </c>
      <c r="H70" s="15">
        <f t="shared" si="9"/>
        <v>0</v>
      </c>
      <c r="J70" s="14">
        <v>1</v>
      </c>
      <c r="K70" s="14">
        <v>1</v>
      </c>
      <c r="L70" s="14">
        <f t="shared" si="6"/>
        <v>1</v>
      </c>
      <c r="M70" s="14">
        <f t="shared" si="7"/>
        <v>1</v>
      </c>
    </row>
    <row r="71" spans="1:13" x14ac:dyDescent="0.4">
      <c r="A71" s="14">
        <v>3</v>
      </c>
      <c r="B71" s="14">
        <v>1</v>
      </c>
      <c r="C71" s="14">
        <f t="shared" si="5"/>
        <v>4</v>
      </c>
      <c r="E71" s="14">
        <v>2</v>
      </c>
      <c r="F71" s="14">
        <v>0.5</v>
      </c>
      <c r="G71" s="14">
        <f t="shared" si="8"/>
        <v>0.5</v>
      </c>
      <c r="H71" s="15">
        <f t="shared" si="9"/>
        <v>0.5</v>
      </c>
      <c r="J71" s="14">
        <v>2</v>
      </c>
      <c r="K71" s="14">
        <v>0.5</v>
      </c>
      <c r="L71" s="14">
        <f t="shared" si="6"/>
        <v>0.5</v>
      </c>
      <c r="M71" s="14">
        <f t="shared" si="7"/>
        <v>0.5</v>
      </c>
    </row>
    <row r="72" spans="1:13" x14ac:dyDescent="0.4">
      <c r="C72" s="14">
        <f t="shared" si="5"/>
        <v>0</v>
      </c>
      <c r="F72" s="14">
        <v>0</v>
      </c>
      <c r="G72" s="14">
        <f t="shared" si="8"/>
        <v>0</v>
      </c>
      <c r="H72" s="15" t="str">
        <f t="shared" si="9"/>
        <v/>
      </c>
      <c r="K72" s="14">
        <v>0</v>
      </c>
      <c r="L72" s="14">
        <f t="shared" si="6"/>
        <v>0</v>
      </c>
      <c r="M72" s="14" t="str">
        <f t="shared" si="7"/>
        <v/>
      </c>
    </row>
    <row r="73" spans="1:13" x14ac:dyDescent="0.4">
      <c r="A73" s="14">
        <v>1</v>
      </c>
      <c r="B73" s="14">
        <v>1</v>
      </c>
      <c r="C73" s="14">
        <f t="shared" si="5"/>
        <v>2</v>
      </c>
      <c r="F73" s="14">
        <v>0</v>
      </c>
      <c r="G73" s="14">
        <f t="shared" si="8"/>
        <v>0</v>
      </c>
      <c r="H73" s="15">
        <f t="shared" si="9"/>
        <v>0</v>
      </c>
      <c r="J73" s="14">
        <v>2</v>
      </c>
      <c r="K73" s="14">
        <v>1</v>
      </c>
      <c r="L73" s="14">
        <f t="shared" si="6"/>
        <v>1</v>
      </c>
      <c r="M73" s="14">
        <f t="shared" si="7"/>
        <v>1</v>
      </c>
    </row>
    <row r="74" spans="1:13" x14ac:dyDescent="0.4">
      <c r="A74" s="14">
        <v>1</v>
      </c>
      <c r="C74" s="14">
        <f t="shared" si="5"/>
        <v>1</v>
      </c>
      <c r="F74" s="14">
        <v>0</v>
      </c>
      <c r="G74" s="14">
        <f t="shared" si="8"/>
        <v>0</v>
      </c>
      <c r="H74" s="15">
        <f t="shared" si="9"/>
        <v>0</v>
      </c>
      <c r="J74" s="14">
        <v>1</v>
      </c>
      <c r="K74" s="14">
        <v>1</v>
      </c>
      <c r="L74" s="14">
        <f t="shared" si="6"/>
        <v>1</v>
      </c>
      <c r="M74" s="14">
        <f t="shared" si="7"/>
        <v>1</v>
      </c>
    </row>
    <row r="75" spans="1:13" x14ac:dyDescent="0.4">
      <c r="A75" s="14">
        <v>2</v>
      </c>
      <c r="C75" s="14">
        <f t="shared" ref="C75:C106" si="10">SUM(A75:B75)</f>
        <v>2</v>
      </c>
      <c r="F75" s="14">
        <v>0</v>
      </c>
      <c r="G75" s="14">
        <f t="shared" si="8"/>
        <v>0</v>
      </c>
      <c r="H75" s="15">
        <f t="shared" si="9"/>
        <v>0</v>
      </c>
      <c r="J75" s="14">
        <v>2</v>
      </c>
      <c r="K75" s="14">
        <v>1</v>
      </c>
      <c r="L75" s="14">
        <f t="shared" si="6"/>
        <v>1</v>
      </c>
      <c r="M75" s="14">
        <f t="shared" si="7"/>
        <v>1</v>
      </c>
    </row>
    <row r="76" spans="1:13" x14ac:dyDescent="0.4">
      <c r="C76" s="14">
        <f t="shared" si="10"/>
        <v>0</v>
      </c>
      <c r="F76" s="14">
        <v>0</v>
      </c>
      <c r="G76" s="14">
        <f t="shared" si="8"/>
        <v>0</v>
      </c>
      <c r="H76" s="15" t="str">
        <f t="shared" si="9"/>
        <v/>
      </c>
      <c r="K76" s="14">
        <v>0</v>
      </c>
      <c r="L76" s="14">
        <f t="shared" si="6"/>
        <v>0</v>
      </c>
      <c r="M76" s="14" t="str">
        <f t="shared" si="7"/>
        <v/>
      </c>
    </row>
    <row r="77" spans="1:13" x14ac:dyDescent="0.4">
      <c r="A77" s="14">
        <v>2</v>
      </c>
      <c r="C77" s="14">
        <f t="shared" si="10"/>
        <v>2</v>
      </c>
      <c r="F77" s="14">
        <v>0</v>
      </c>
      <c r="G77" s="14">
        <f t="shared" si="8"/>
        <v>0</v>
      </c>
      <c r="H77" s="15">
        <f t="shared" si="9"/>
        <v>0</v>
      </c>
      <c r="J77" s="14">
        <v>2</v>
      </c>
      <c r="K77" s="14">
        <v>1</v>
      </c>
      <c r="L77" s="14">
        <f t="shared" si="6"/>
        <v>1</v>
      </c>
      <c r="M77" s="14">
        <f t="shared" si="7"/>
        <v>1</v>
      </c>
    </row>
    <row r="78" spans="1:13" x14ac:dyDescent="0.4">
      <c r="A78" s="14">
        <v>2</v>
      </c>
      <c r="B78" s="14">
        <v>2</v>
      </c>
      <c r="C78" s="14">
        <f t="shared" si="10"/>
        <v>4</v>
      </c>
      <c r="F78" s="14">
        <v>0</v>
      </c>
      <c r="G78" s="14">
        <f t="shared" si="8"/>
        <v>0</v>
      </c>
      <c r="H78" s="15">
        <f t="shared" si="9"/>
        <v>0</v>
      </c>
      <c r="J78" s="14">
        <v>4</v>
      </c>
      <c r="K78" s="14">
        <v>1</v>
      </c>
      <c r="L78" s="14">
        <f t="shared" si="6"/>
        <v>1</v>
      </c>
      <c r="M78" s="14">
        <f t="shared" si="7"/>
        <v>1</v>
      </c>
    </row>
    <row r="79" spans="1:13" x14ac:dyDescent="0.4">
      <c r="C79" s="14">
        <f t="shared" si="10"/>
        <v>0</v>
      </c>
      <c r="F79" s="14">
        <v>0</v>
      </c>
      <c r="G79" s="14">
        <f t="shared" si="8"/>
        <v>0</v>
      </c>
      <c r="H79" s="15" t="str">
        <f t="shared" si="9"/>
        <v/>
      </c>
      <c r="K79" s="14">
        <v>0</v>
      </c>
      <c r="L79" s="14">
        <f t="shared" si="6"/>
        <v>0</v>
      </c>
      <c r="M79" s="14" t="str">
        <f t="shared" si="7"/>
        <v/>
      </c>
    </row>
    <row r="80" spans="1:13" x14ac:dyDescent="0.4">
      <c r="A80" s="14">
        <v>1</v>
      </c>
      <c r="C80" s="14">
        <f t="shared" si="10"/>
        <v>1</v>
      </c>
      <c r="F80" s="14">
        <v>0</v>
      </c>
      <c r="G80" s="14">
        <f t="shared" si="8"/>
        <v>0</v>
      </c>
      <c r="H80" s="15">
        <f t="shared" si="9"/>
        <v>0</v>
      </c>
      <c r="J80" s="14">
        <v>1</v>
      </c>
      <c r="K80" s="14">
        <v>1</v>
      </c>
      <c r="L80" s="14">
        <f t="shared" si="6"/>
        <v>1</v>
      </c>
      <c r="M80" s="14">
        <f t="shared" si="7"/>
        <v>1</v>
      </c>
    </row>
    <row r="81" spans="1:13" x14ac:dyDescent="0.4">
      <c r="A81" s="14">
        <v>1</v>
      </c>
      <c r="C81" s="14">
        <f t="shared" si="10"/>
        <v>1</v>
      </c>
      <c r="F81" s="14">
        <v>0</v>
      </c>
      <c r="G81" s="14">
        <f t="shared" si="8"/>
        <v>0</v>
      </c>
      <c r="H81" s="15">
        <f t="shared" si="9"/>
        <v>0</v>
      </c>
      <c r="J81" s="14">
        <v>1</v>
      </c>
      <c r="K81" s="14">
        <v>1</v>
      </c>
      <c r="L81" s="14">
        <f t="shared" si="6"/>
        <v>1</v>
      </c>
      <c r="M81" s="14">
        <f t="shared" si="7"/>
        <v>1</v>
      </c>
    </row>
    <row r="82" spans="1:13" x14ac:dyDescent="0.4">
      <c r="A82" s="14">
        <v>9</v>
      </c>
      <c r="B82" s="14">
        <v>2</v>
      </c>
      <c r="C82" s="14">
        <f t="shared" si="10"/>
        <v>11</v>
      </c>
      <c r="F82" s="14">
        <v>0</v>
      </c>
      <c r="G82" s="14">
        <f t="shared" si="8"/>
        <v>0</v>
      </c>
      <c r="H82" s="15">
        <f t="shared" si="9"/>
        <v>0</v>
      </c>
      <c r="J82" s="14">
        <v>11</v>
      </c>
      <c r="K82" s="14">
        <v>1</v>
      </c>
      <c r="L82" s="14">
        <f t="shared" si="6"/>
        <v>1</v>
      </c>
      <c r="M82" s="14">
        <f t="shared" si="7"/>
        <v>1</v>
      </c>
    </row>
    <row r="83" spans="1:13" x14ac:dyDescent="0.4">
      <c r="A83" s="14">
        <v>4</v>
      </c>
      <c r="B83" s="14">
        <v>1</v>
      </c>
      <c r="C83" s="14">
        <f t="shared" si="10"/>
        <v>5</v>
      </c>
      <c r="F83" s="14">
        <v>0</v>
      </c>
      <c r="G83" s="14">
        <f t="shared" si="8"/>
        <v>0</v>
      </c>
      <c r="H83" s="15">
        <f t="shared" si="9"/>
        <v>0</v>
      </c>
      <c r="J83" s="14">
        <v>5</v>
      </c>
      <c r="K83" s="14">
        <v>1</v>
      </c>
      <c r="L83" s="14">
        <f t="shared" si="6"/>
        <v>1</v>
      </c>
      <c r="M83" s="14">
        <f t="shared" si="7"/>
        <v>1</v>
      </c>
    </row>
    <row r="84" spans="1:13" x14ac:dyDescent="0.4">
      <c r="A84" s="14">
        <v>3</v>
      </c>
      <c r="B84" s="14">
        <v>1</v>
      </c>
      <c r="C84" s="14">
        <f t="shared" si="10"/>
        <v>4</v>
      </c>
      <c r="F84" s="14">
        <v>0</v>
      </c>
      <c r="G84" s="14">
        <f t="shared" si="8"/>
        <v>0</v>
      </c>
      <c r="H84" s="15">
        <f t="shared" si="9"/>
        <v>0</v>
      </c>
      <c r="J84" s="14">
        <v>4</v>
      </c>
      <c r="K84" s="14">
        <v>1</v>
      </c>
      <c r="L84" s="14">
        <f t="shared" si="6"/>
        <v>1</v>
      </c>
      <c r="M84" s="14">
        <f t="shared" si="7"/>
        <v>1</v>
      </c>
    </row>
    <row r="85" spans="1:13" x14ac:dyDescent="0.4">
      <c r="A85" s="14">
        <v>6</v>
      </c>
      <c r="B85" s="14">
        <v>1</v>
      </c>
      <c r="C85" s="14">
        <f t="shared" si="10"/>
        <v>7</v>
      </c>
      <c r="F85" s="14">
        <v>0</v>
      </c>
      <c r="G85" s="14">
        <f t="shared" si="8"/>
        <v>0</v>
      </c>
      <c r="H85" s="15">
        <f t="shared" si="9"/>
        <v>0</v>
      </c>
      <c r="J85" s="14">
        <v>7</v>
      </c>
      <c r="K85" s="14">
        <v>1</v>
      </c>
      <c r="L85" s="14">
        <f t="shared" si="6"/>
        <v>1</v>
      </c>
      <c r="M85" s="14">
        <f t="shared" si="7"/>
        <v>1</v>
      </c>
    </row>
    <row r="86" spans="1:13" x14ac:dyDescent="0.4">
      <c r="A86" s="14">
        <v>1</v>
      </c>
      <c r="B86" s="14">
        <v>2</v>
      </c>
      <c r="C86" s="14">
        <f t="shared" si="10"/>
        <v>3</v>
      </c>
      <c r="F86" s="14">
        <v>0</v>
      </c>
      <c r="G86" s="14">
        <f t="shared" si="8"/>
        <v>0</v>
      </c>
      <c r="H86" s="15">
        <f t="shared" si="9"/>
        <v>0</v>
      </c>
      <c r="J86" s="14">
        <v>3</v>
      </c>
      <c r="K86" s="14">
        <v>1</v>
      </c>
      <c r="L86" s="14">
        <f t="shared" si="6"/>
        <v>1</v>
      </c>
      <c r="M86" s="14">
        <f t="shared" si="7"/>
        <v>1</v>
      </c>
    </row>
    <row r="87" spans="1:13" x14ac:dyDescent="0.4">
      <c r="A87" s="14">
        <v>2</v>
      </c>
      <c r="B87" s="14">
        <v>1</v>
      </c>
      <c r="C87" s="14">
        <f t="shared" si="10"/>
        <v>3</v>
      </c>
      <c r="E87" s="14">
        <v>1</v>
      </c>
      <c r="F87" s="14">
        <v>0.33333333333333331</v>
      </c>
      <c r="G87" s="14">
        <f t="shared" si="8"/>
        <v>0.33333333333333331</v>
      </c>
      <c r="H87" s="15">
        <f t="shared" si="9"/>
        <v>0.33333333333333331</v>
      </c>
      <c r="J87" s="14">
        <v>2</v>
      </c>
      <c r="K87" s="14">
        <v>0.66666666666666663</v>
      </c>
      <c r="L87" s="14">
        <f t="shared" si="6"/>
        <v>0.66666666666666663</v>
      </c>
      <c r="M87" s="14">
        <f t="shared" si="7"/>
        <v>0.66666666666666663</v>
      </c>
    </row>
    <row r="88" spans="1:13" x14ac:dyDescent="0.4">
      <c r="A88" s="14">
        <v>3</v>
      </c>
      <c r="B88" s="14">
        <v>3</v>
      </c>
      <c r="C88" s="14">
        <f t="shared" si="10"/>
        <v>6</v>
      </c>
      <c r="E88" s="14">
        <v>1</v>
      </c>
      <c r="F88" s="14">
        <v>0.16666666666666666</v>
      </c>
      <c r="G88" s="14">
        <f t="shared" si="8"/>
        <v>0.16666666666666666</v>
      </c>
      <c r="H88" s="15">
        <f t="shared" si="9"/>
        <v>0.16666666666666666</v>
      </c>
      <c r="J88" s="14">
        <v>5</v>
      </c>
      <c r="K88" s="14">
        <v>0.83333333333333337</v>
      </c>
      <c r="L88" s="14">
        <f t="shared" ref="L88:L107" si="11">IF(NOT(C88=0),J88/C88,0)</f>
        <v>0.83333333333333337</v>
      </c>
      <c r="M88" s="14">
        <f t="shared" ref="M88:M107" si="12">IF(NOT(C88=0),J88/C88,"")</f>
        <v>0.83333333333333337</v>
      </c>
    </row>
    <row r="89" spans="1:13" x14ac:dyDescent="0.4">
      <c r="A89" s="14">
        <v>10</v>
      </c>
      <c r="B89" s="14">
        <v>4</v>
      </c>
      <c r="C89" s="14">
        <f t="shared" si="10"/>
        <v>14</v>
      </c>
      <c r="E89" s="14">
        <v>1</v>
      </c>
      <c r="F89" s="14">
        <v>7.1428571428571425E-2</v>
      </c>
      <c r="G89" s="14">
        <f t="shared" si="8"/>
        <v>7.1428571428571425E-2</v>
      </c>
      <c r="H89" s="15">
        <f t="shared" si="9"/>
        <v>7.1428571428571425E-2</v>
      </c>
      <c r="J89" s="14">
        <v>13</v>
      </c>
      <c r="K89" s="14">
        <v>0.9285714285714286</v>
      </c>
      <c r="L89" s="14">
        <f t="shared" si="11"/>
        <v>0.9285714285714286</v>
      </c>
      <c r="M89" s="14">
        <f t="shared" si="12"/>
        <v>0.9285714285714286</v>
      </c>
    </row>
    <row r="90" spans="1:13" x14ac:dyDescent="0.4">
      <c r="A90" s="14">
        <v>13</v>
      </c>
      <c r="B90" s="14">
        <v>6</v>
      </c>
      <c r="C90" s="14">
        <f t="shared" si="10"/>
        <v>19</v>
      </c>
      <c r="F90" s="14">
        <v>0</v>
      </c>
      <c r="G90" s="14">
        <f t="shared" si="8"/>
        <v>0</v>
      </c>
      <c r="H90" s="15">
        <f t="shared" si="9"/>
        <v>0</v>
      </c>
      <c r="J90" s="14">
        <v>19</v>
      </c>
      <c r="K90" s="14">
        <v>1</v>
      </c>
      <c r="L90" s="14">
        <f t="shared" si="11"/>
        <v>1</v>
      </c>
      <c r="M90" s="14">
        <f t="shared" si="12"/>
        <v>1</v>
      </c>
    </row>
    <row r="91" spans="1:13" x14ac:dyDescent="0.4">
      <c r="C91" s="14">
        <f t="shared" si="10"/>
        <v>0</v>
      </c>
      <c r="F91" s="14">
        <v>0</v>
      </c>
      <c r="G91" s="14">
        <f t="shared" si="8"/>
        <v>0</v>
      </c>
      <c r="H91" s="15" t="str">
        <f t="shared" si="9"/>
        <v/>
      </c>
      <c r="K91" s="14">
        <v>0</v>
      </c>
      <c r="L91" s="14">
        <f t="shared" si="11"/>
        <v>0</v>
      </c>
      <c r="M91" s="14" t="str">
        <f t="shared" si="12"/>
        <v/>
      </c>
    </row>
    <row r="92" spans="1:13" x14ac:dyDescent="0.4">
      <c r="A92" s="14">
        <v>3</v>
      </c>
      <c r="B92" s="14">
        <v>4</v>
      </c>
      <c r="C92" s="14">
        <f t="shared" si="10"/>
        <v>7</v>
      </c>
      <c r="E92" s="14">
        <v>1</v>
      </c>
      <c r="F92" s="14">
        <v>0.14285714285714285</v>
      </c>
      <c r="G92" s="14">
        <f t="shared" si="8"/>
        <v>0.14285714285714285</v>
      </c>
      <c r="H92" s="15">
        <f t="shared" si="9"/>
        <v>0.14285714285714285</v>
      </c>
      <c r="J92" s="14">
        <v>6</v>
      </c>
      <c r="K92" s="14">
        <v>0.8571428571428571</v>
      </c>
      <c r="L92" s="14">
        <f t="shared" si="11"/>
        <v>0.8571428571428571</v>
      </c>
      <c r="M92" s="14">
        <f t="shared" si="12"/>
        <v>0.8571428571428571</v>
      </c>
    </row>
    <row r="93" spans="1:13" x14ac:dyDescent="0.4">
      <c r="A93" s="14">
        <v>10</v>
      </c>
      <c r="B93" s="14">
        <v>1</v>
      </c>
      <c r="C93" s="14">
        <f t="shared" si="10"/>
        <v>11</v>
      </c>
      <c r="E93" s="14">
        <v>1</v>
      </c>
      <c r="F93" s="14">
        <v>9.0909090909090912E-2</v>
      </c>
      <c r="G93" s="14">
        <f t="shared" si="8"/>
        <v>9.0909090909090912E-2</v>
      </c>
      <c r="H93" s="15">
        <f t="shared" si="9"/>
        <v>9.0909090909090912E-2</v>
      </c>
      <c r="J93" s="14">
        <v>10</v>
      </c>
      <c r="K93" s="14">
        <v>0.90909090909090906</v>
      </c>
      <c r="L93" s="14">
        <f t="shared" si="11"/>
        <v>0.90909090909090906</v>
      </c>
      <c r="M93" s="14">
        <f t="shared" si="12"/>
        <v>0.90909090909090906</v>
      </c>
    </row>
    <row r="94" spans="1:13" x14ac:dyDescent="0.4">
      <c r="A94" s="14">
        <v>14</v>
      </c>
      <c r="B94" s="14">
        <v>1</v>
      </c>
      <c r="C94" s="14">
        <f t="shared" si="10"/>
        <v>15</v>
      </c>
      <c r="E94" s="14">
        <v>2</v>
      </c>
      <c r="F94" s="14">
        <v>0.13333333333333333</v>
      </c>
      <c r="G94" s="14">
        <f t="shared" si="8"/>
        <v>0.13333333333333333</v>
      </c>
      <c r="H94" s="15">
        <f t="shared" si="9"/>
        <v>0.13333333333333333</v>
      </c>
      <c r="J94" s="14">
        <v>13</v>
      </c>
      <c r="K94" s="14">
        <v>0.8666666666666667</v>
      </c>
      <c r="L94" s="14">
        <f t="shared" si="11"/>
        <v>0.8666666666666667</v>
      </c>
      <c r="M94" s="14">
        <f t="shared" si="12"/>
        <v>0.8666666666666667</v>
      </c>
    </row>
    <row r="95" spans="1:13" x14ac:dyDescent="0.4">
      <c r="A95" s="14">
        <v>3</v>
      </c>
      <c r="B95" s="14">
        <v>1</v>
      </c>
      <c r="C95" s="14">
        <f t="shared" si="10"/>
        <v>4</v>
      </c>
      <c r="F95" s="14">
        <v>0</v>
      </c>
      <c r="G95" s="14">
        <f t="shared" si="8"/>
        <v>0</v>
      </c>
      <c r="H95" s="15">
        <f t="shared" si="9"/>
        <v>0</v>
      </c>
      <c r="J95" s="14">
        <v>4</v>
      </c>
      <c r="K95" s="14">
        <v>1</v>
      </c>
      <c r="L95" s="14">
        <f t="shared" si="11"/>
        <v>1</v>
      </c>
      <c r="M95" s="14">
        <f t="shared" si="12"/>
        <v>1</v>
      </c>
    </row>
    <row r="96" spans="1:13" x14ac:dyDescent="0.4">
      <c r="A96" s="14">
        <v>6</v>
      </c>
      <c r="C96" s="14">
        <f t="shared" si="10"/>
        <v>6</v>
      </c>
      <c r="F96" s="14">
        <v>0</v>
      </c>
      <c r="G96" s="14">
        <f t="shared" si="8"/>
        <v>0</v>
      </c>
      <c r="H96" s="15">
        <f t="shared" si="9"/>
        <v>0</v>
      </c>
      <c r="J96" s="14">
        <v>6</v>
      </c>
      <c r="K96" s="14">
        <v>1</v>
      </c>
      <c r="L96" s="14">
        <f t="shared" si="11"/>
        <v>1</v>
      </c>
      <c r="M96" s="14">
        <f t="shared" si="12"/>
        <v>1</v>
      </c>
    </row>
    <row r="97" spans="1:13" x14ac:dyDescent="0.4">
      <c r="A97" s="14">
        <v>3</v>
      </c>
      <c r="B97" s="14">
        <v>3</v>
      </c>
      <c r="C97" s="14">
        <f t="shared" si="10"/>
        <v>6</v>
      </c>
      <c r="F97" s="14">
        <v>0</v>
      </c>
      <c r="G97" s="14">
        <f t="shared" si="8"/>
        <v>0</v>
      </c>
      <c r="H97" s="15">
        <f t="shared" si="9"/>
        <v>0</v>
      </c>
      <c r="J97" s="14">
        <v>6</v>
      </c>
      <c r="K97" s="14">
        <v>1</v>
      </c>
      <c r="L97" s="14">
        <f t="shared" si="11"/>
        <v>1</v>
      </c>
      <c r="M97" s="14">
        <f t="shared" si="12"/>
        <v>1</v>
      </c>
    </row>
    <row r="98" spans="1:13" x14ac:dyDescent="0.4">
      <c r="A98" s="14">
        <v>8</v>
      </c>
      <c r="B98" s="14">
        <v>1</v>
      </c>
      <c r="C98" s="14">
        <f t="shared" si="10"/>
        <v>9</v>
      </c>
      <c r="F98" s="14">
        <v>0</v>
      </c>
      <c r="G98" s="14">
        <f>IF(NOT(C98=0),E98/C98,0)</f>
        <v>0</v>
      </c>
      <c r="H98" s="15">
        <f t="shared" si="9"/>
        <v>0</v>
      </c>
      <c r="J98" s="14">
        <v>9</v>
      </c>
      <c r="K98" s="14">
        <v>1</v>
      </c>
      <c r="L98" s="14">
        <f t="shared" si="11"/>
        <v>1</v>
      </c>
      <c r="M98" s="14">
        <f t="shared" si="12"/>
        <v>1</v>
      </c>
    </row>
    <row r="99" spans="1:13" x14ac:dyDescent="0.4">
      <c r="A99" s="14">
        <v>7</v>
      </c>
      <c r="C99" s="14">
        <f t="shared" si="10"/>
        <v>7</v>
      </c>
      <c r="F99" s="14">
        <v>0</v>
      </c>
      <c r="G99" s="14">
        <f t="shared" si="8"/>
        <v>0</v>
      </c>
      <c r="H99" s="15">
        <f t="shared" si="9"/>
        <v>0</v>
      </c>
      <c r="J99" s="14">
        <v>7</v>
      </c>
      <c r="K99" s="14">
        <v>1</v>
      </c>
      <c r="L99" s="14">
        <f t="shared" si="11"/>
        <v>1</v>
      </c>
      <c r="M99" s="14">
        <f t="shared" si="12"/>
        <v>1</v>
      </c>
    </row>
    <row r="100" spans="1:13" x14ac:dyDescent="0.4">
      <c r="A100" s="14">
        <v>4</v>
      </c>
      <c r="B100" s="14">
        <v>3</v>
      </c>
      <c r="C100" s="14">
        <f t="shared" si="10"/>
        <v>7</v>
      </c>
      <c r="F100" s="14">
        <v>0</v>
      </c>
      <c r="G100" s="14">
        <f t="shared" si="8"/>
        <v>0</v>
      </c>
      <c r="H100" s="15">
        <f t="shared" si="9"/>
        <v>0</v>
      </c>
      <c r="J100" s="14">
        <v>7</v>
      </c>
      <c r="K100" s="14">
        <v>1</v>
      </c>
      <c r="L100" s="14">
        <f t="shared" si="11"/>
        <v>1</v>
      </c>
      <c r="M100" s="14">
        <f t="shared" si="12"/>
        <v>1</v>
      </c>
    </row>
    <row r="101" spans="1:13" x14ac:dyDescent="0.4">
      <c r="A101" s="14">
        <v>11</v>
      </c>
      <c r="C101" s="14">
        <f t="shared" si="10"/>
        <v>11</v>
      </c>
      <c r="E101" s="14">
        <v>2</v>
      </c>
      <c r="F101" s="14">
        <v>0.18181818181818182</v>
      </c>
      <c r="G101" s="14">
        <f t="shared" si="8"/>
        <v>0.18181818181818182</v>
      </c>
      <c r="H101" s="15">
        <f t="shared" si="9"/>
        <v>0.18181818181818182</v>
      </c>
      <c r="J101" s="14">
        <v>9</v>
      </c>
      <c r="K101" s="14">
        <v>0.81818181818181823</v>
      </c>
      <c r="L101" s="14">
        <f t="shared" si="11"/>
        <v>0.81818181818181823</v>
      </c>
      <c r="M101" s="14">
        <f t="shared" si="12"/>
        <v>0.81818181818181823</v>
      </c>
    </row>
    <row r="102" spans="1:13" x14ac:dyDescent="0.4">
      <c r="A102" s="14">
        <v>10</v>
      </c>
      <c r="C102" s="14">
        <f t="shared" si="10"/>
        <v>10</v>
      </c>
      <c r="F102" s="14">
        <v>0</v>
      </c>
      <c r="G102" s="14">
        <f t="shared" si="8"/>
        <v>0</v>
      </c>
      <c r="H102" s="15">
        <f t="shared" si="9"/>
        <v>0</v>
      </c>
      <c r="J102" s="14">
        <v>10</v>
      </c>
      <c r="K102" s="14">
        <v>1</v>
      </c>
      <c r="L102" s="14">
        <f t="shared" si="11"/>
        <v>1</v>
      </c>
      <c r="M102" s="14">
        <f t="shared" si="12"/>
        <v>1</v>
      </c>
    </row>
    <row r="103" spans="1:13" x14ac:dyDescent="0.4">
      <c r="A103" s="14">
        <v>17</v>
      </c>
      <c r="C103" s="14">
        <f t="shared" si="10"/>
        <v>17</v>
      </c>
      <c r="E103" s="14">
        <v>3</v>
      </c>
      <c r="F103" s="14">
        <v>0.17647058823529413</v>
      </c>
      <c r="G103" s="14">
        <f t="shared" si="8"/>
        <v>0.17647058823529413</v>
      </c>
      <c r="H103" s="15">
        <f t="shared" si="9"/>
        <v>0.17647058823529413</v>
      </c>
      <c r="J103" s="14">
        <v>14</v>
      </c>
      <c r="K103" s="14">
        <v>0.82352941176470584</v>
      </c>
      <c r="L103" s="14">
        <f t="shared" si="11"/>
        <v>0.82352941176470584</v>
      </c>
      <c r="M103" s="14">
        <f t="shared" si="12"/>
        <v>0.82352941176470584</v>
      </c>
    </row>
    <row r="104" spans="1:13" x14ac:dyDescent="0.4">
      <c r="A104" s="14">
        <v>15</v>
      </c>
      <c r="C104" s="14">
        <f t="shared" si="10"/>
        <v>15</v>
      </c>
      <c r="E104" s="14">
        <v>1</v>
      </c>
      <c r="F104" s="14">
        <v>6.6666666666666666E-2</v>
      </c>
      <c r="G104" s="14">
        <f t="shared" si="8"/>
        <v>6.6666666666666666E-2</v>
      </c>
      <c r="H104" s="15">
        <f t="shared" si="9"/>
        <v>6.6666666666666666E-2</v>
      </c>
      <c r="J104" s="14">
        <v>14</v>
      </c>
      <c r="K104" s="14">
        <v>0.93333333333333335</v>
      </c>
      <c r="L104" s="14">
        <f t="shared" si="11"/>
        <v>0.93333333333333335</v>
      </c>
      <c r="M104" s="14">
        <f t="shared" si="12"/>
        <v>0.93333333333333335</v>
      </c>
    </row>
    <row r="105" spans="1:13" x14ac:dyDescent="0.4">
      <c r="A105" s="14">
        <v>13</v>
      </c>
      <c r="C105" s="14">
        <f t="shared" si="10"/>
        <v>13</v>
      </c>
      <c r="E105" s="14">
        <v>1</v>
      </c>
      <c r="F105" s="14">
        <v>7.6923076923076927E-2</v>
      </c>
      <c r="G105" s="14">
        <f t="shared" si="8"/>
        <v>7.6923076923076927E-2</v>
      </c>
      <c r="H105" s="15">
        <f t="shared" si="9"/>
        <v>7.6923076923076927E-2</v>
      </c>
      <c r="J105" s="14">
        <v>12</v>
      </c>
      <c r="K105" s="14">
        <v>0.92307692307692313</v>
      </c>
      <c r="L105" s="14">
        <f t="shared" si="11"/>
        <v>0.92307692307692313</v>
      </c>
      <c r="M105" s="14">
        <f t="shared" si="12"/>
        <v>0.92307692307692313</v>
      </c>
    </row>
    <row r="106" spans="1:13" x14ac:dyDescent="0.4">
      <c r="A106" s="14">
        <v>10</v>
      </c>
      <c r="B106" s="14">
        <v>1</v>
      </c>
      <c r="C106" s="14">
        <f t="shared" si="10"/>
        <v>11</v>
      </c>
      <c r="E106" s="14">
        <v>3</v>
      </c>
      <c r="F106" s="14">
        <v>0.27272727272727271</v>
      </c>
      <c r="G106" s="14">
        <f t="shared" si="8"/>
        <v>0.27272727272727271</v>
      </c>
      <c r="H106" s="15">
        <f t="shared" si="9"/>
        <v>0.27272727272727271</v>
      </c>
      <c r="J106" s="14">
        <v>8</v>
      </c>
      <c r="K106" s="14">
        <v>0.72727272727272729</v>
      </c>
      <c r="L106" s="14">
        <f t="shared" si="11"/>
        <v>0.72727272727272729</v>
      </c>
      <c r="M106" s="14">
        <f t="shared" si="12"/>
        <v>0.72727272727272729</v>
      </c>
    </row>
    <row r="107" spans="1:13" x14ac:dyDescent="0.4">
      <c r="A107" s="14">
        <v>3</v>
      </c>
      <c r="C107" s="14">
        <f>SUM(A107:B107)</f>
        <v>3</v>
      </c>
      <c r="F107" s="14">
        <v>0</v>
      </c>
      <c r="G107" s="14">
        <f t="shared" si="8"/>
        <v>0</v>
      </c>
      <c r="H107" s="15">
        <f t="shared" si="9"/>
        <v>0</v>
      </c>
      <c r="J107" s="14">
        <v>3</v>
      </c>
      <c r="K107" s="14">
        <v>1</v>
      </c>
      <c r="L107" s="14">
        <f t="shared" si="11"/>
        <v>1</v>
      </c>
      <c r="M107" s="14">
        <f t="shared" si="12"/>
        <v>1</v>
      </c>
    </row>
    <row r="108" spans="1:13" x14ac:dyDescent="0.4">
      <c r="A108" s="14" t="s">
        <v>1277</v>
      </c>
      <c r="B108" s="14" t="s">
        <v>1277</v>
      </c>
      <c r="E108" s="8" t="s">
        <v>1277</v>
      </c>
      <c r="F108" s="10" t="s">
        <v>123</v>
      </c>
      <c r="G108" s="10"/>
      <c r="I108" s="10"/>
      <c r="J108" s="8" t="s">
        <v>1277</v>
      </c>
      <c r="K108" s="10" t="s">
        <v>123</v>
      </c>
      <c r="L108" s="10" t="s">
        <v>123</v>
      </c>
      <c r="M108" s="10" t="s">
        <v>123</v>
      </c>
    </row>
    <row r="109" spans="1:13" x14ac:dyDescent="0.4">
      <c r="A109" s="14">
        <f>SUM(A3:A107)</f>
        <v>509</v>
      </c>
      <c r="B109" s="14">
        <f>SUM(B3:B107)</f>
        <v>125</v>
      </c>
      <c r="E109" s="8">
        <f>SUM(E3:E107)</f>
        <v>93</v>
      </c>
      <c r="F109" s="9">
        <f>AVERAGE(F3:F107)</f>
        <v>0.14732404850051906</v>
      </c>
      <c r="G109" s="9">
        <f>AVERAGE(G3:G107)</f>
        <v>0.14732404850051906</v>
      </c>
      <c r="H109" s="15">
        <f>AVERAGE(H3:H107)</f>
        <v>0.1578471948219847</v>
      </c>
      <c r="I109" s="9"/>
      <c r="J109" s="8">
        <f>SUM(J3:J107)</f>
        <v>541</v>
      </c>
      <c r="K109" s="9">
        <f>AVERAGE(K3:K107)</f>
        <v>0.78600928483281429</v>
      </c>
      <c r="L109" s="9">
        <f t="shared" ref="L109:M109" si="13">AVERAGE(L3:L107)</f>
        <v>0.78600928483281429</v>
      </c>
      <c r="M109" s="9">
        <f t="shared" si="13"/>
        <v>0.84215280517801527</v>
      </c>
    </row>
    <row r="110" spans="1:13" x14ac:dyDescent="0.4">
      <c r="E110" s="8"/>
      <c r="F110" s="9" t="s">
        <v>1279</v>
      </c>
      <c r="G110" s="9" t="s">
        <v>1279</v>
      </c>
      <c r="H110" s="15" t="s">
        <v>1279</v>
      </c>
      <c r="I110" s="9"/>
      <c r="J110" s="8"/>
      <c r="K110" s="9" t="s">
        <v>1279</v>
      </c>
      <c r="L110" s="1">
        <f>L109+G109</f>
        <v>0.93333333333333335</v>
      </c>
      <c r="M110" s="1">
        <f>M109+H109</f>
        <v>1</v>
      </c>
    </row>
    <row r="111" spans="1:13" x14ac:dyDescent="0.4">
      <c r="E111" s="8" t="s">
        <v>1283</v>
      </c>
      <c r="F111" s="9">
        <f>VAR(F3:F107)</f>
        <v>5.1919216524284696E-2</v>
      </c>
      <c r="G111" s="9">
        <f t="shared" ref="G111:H111" si="14">VAR(G3:G107)</f>
        <v>5.1919216524284696E-2</v>
      </c>
      <c r="H111" s="15">
        <f t="shared" si="14"/>
        <v>5.3987790763157052E-2</v>
      </c>
      <c r="I111" s="9"/>
      <c r="J111" s="8"/>
      <c r="K111" s="9">
        <f>VAR(K3:K107)</f>
        <v>9.4907645892804274E-2</v>
      </c>
    </row>
    <row r="112" spans="1:13" x14ac:dyDescent="0.4">
      <c r="E112" s="8">
        <f>COUNT(E3:E107)</f>
        <v>49</v>
      </c>
      <c r="F112" s="10" t="s">
        <v>1280</v>
      </c>
      <c r="G112" s="10" t="s">
        <v>1280</v>
      </c>
      <c r="H112" s="15" t="s">
        <v>1280</v>
      </c>
      <c r="I112" s="10"/>
      <c r="J112" s="8"/>
      <c r="K112" s="10" t="s">
        <v>1280</v>
      </c>
    </row>
    <row r="113" spans="5:11" x14ac:dyDescent="0.4">
      <c r="E113" s="8"/>
      <c r="F113" s="9">
        <f t="shared" ref="F113:H113" si="15">SQRT(F111/COUNT(F3:F107))</f>
        <v>2.2236652823721278E-2</v>
      </c>
      <c r="G113" s="9">
        <f t="shared" si="15"/>
        <v>2.2236652823721278E-2</v>
      </c>
      <c r="H113" s="15">
        <f t="shared" si="15"/>
        <v>2.3471170062735421E-2</v>
      </c>
      <c r="I113" s="9"/>
      <c r="J113" s="8"/>
      <c r="K113" s="9">
        <f t="shared" ref="K113" si="16">SQRT(K111/COUNT(K3:K107))</f>
        <v>3.0064636066918074E-2</v>
      </c>
    </row>
    <row r="114" spans="5:11" x14ac:dyDescent="0.4">
      <c r="E114" s="8"/>
      <c r="F114" s="10" t="s">
        <v>1281</v>
      </c>
      <c r="G114" s="10" t="s">
        <v>1281</v>
      </c>
      <c r="H114" s="15" t="s">
        <v>1281</v>
      </c>
      <c r="I114" s="10"/>
      <c r="J114" s="8"/>
      <c r="K114" s="10" t="s">
        <v>1281</v>
      </c>
    </row>
    <row r="115" spans="5:11" x14ac:dyDescent="0.4">
      <c r="E115" s="8"/>
      <c r="F115" s="9">
        <f t="shared" ref="F115:H115" si="17">F109-1.96*F113</f>
        <v>0.10374020896602534</v>
      </c>
      <c r="G115" s="9">
        <f t="shared" si="17"/>
        <v>0.10374020896602534</v>
      </c>
      <c r="H115" s="15">
        <f t="shared" si="17"/>
        <v>0.11184370149902328</v>
      </c>
      <c r="I115" s="9"/>
      <c r="J115" s="8"/>
      <c r="K115" s="9">
        <f t="shared" ref="K115" si="18">K109-1.96*K113</f>
        <v>0.72708259814165488</v>
      </c>
    </row>
    <row r="116" spans="5:11" x14ac:dyDescent="0.4">
      <c r="E116" s="8"/>
      <c r="F116" s="10" t="s">
        <v>1282</v>
      </c>
      <c r="G116" s="10" t="s">
        <v>1282</v>
      </c>
      <c r="H116" s="15" t="s">
        <v>1282</v>
      </c>
      <c r="I116" s="10"/>
      <c r="J116" s="8"/>
      <c r="K116" s="10" t="s">
        <v>1282</v>
      </c>
    </row>
    <row r="117" spans="5:11" x14ac:dyDescent="0.4">
      <c r="E117" s="8"/>
      <c r="F117" s="9">
        <f t="shared" ref="F117:H117" si="19">F109+1.96*F113</f>
        <v>0.19090788803501277</v>
      </c>
      <c r="G117" s="9">
        <f t="shared" si="19"/>
        <v>0.19090788803501277</v>
      </c>
      <c r="H117" s="15">
        <f t="shared" si="19"/>
        <v>0.20385068814494611</v>
      </c>
      <c r="I117" s="9"/>
      <c r="J117" s="8"/>
      <c r="K117" s="9">
        <f t="shared" ref="K117" si="20">K109+1.96*K113</f>
        <v>0.84493597152397371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DailyProp</vt:lpstr>
      <vt:lpstr>DailyPropDiscYORpatches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Bunce</dc:creator>
  <cp:lastModifiedBy>jabunce</cp:lastModifiedBy>
  <dcterms:created xsi:type="dcterms:W3CDTF">2009-05-21T19:27:33Z</dcterms:created>
  <dcterms:modified xsi:type="dcterms:W3CDTF">2021-05-31T14:46:52Z</dcterms:modified>
</cp:coreProperties>
</file>