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<sst xmlns="http://schemas.openxmlformats.org/spreadsheetml/2006/main" uniqueCount="179">
  <si>
    <t>Creation Date:</t>
  </si>
  <si>
    <t>Print Date:</t>
  </si>
  <si>
    <t>Source Data From:</t>
  </si>
  <si>
    <t>Designator</t>
  </si>
  <si>
    <t>Currency</t>
  </si>
  <si>
    <t>Best Supplier</t>
  </si>
  <si>
    <t>Best Supplier PN</t>
  </si>
  <si>
    <t>Microsoft Research</t>
  </si>
  <si>
    <t>Supplier Part Number 1</t>
  </si>
  <si>
    <t>Supplier Part Number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</si>
  <si>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</si>
  <si>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</si>
  <si>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</si>
  <si>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</si>
  <si>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</si>
  <si>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</si>
  <si>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</si>
  <si>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Part Number 3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</si>
  <si>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</si>
  <si>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</si>
  <si>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</si>
  <si>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</si>
  <si>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</si>
  <si>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</si>
  <si>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</si>
  <si>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</si>
  <si>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</si>
  <si>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</si>
  <si>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</si>
  <si>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</si>
  <si>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</si>
  <si>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</si>
  <si>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dual servo module</t>
  </si>
  <si>
    <t>JacdacServoDual 23.PrjPCB</t>
  </si>
  <si>
    <t>BOM hand-build for Project [JacdacServoDual 23.PrjPCB] (No PCB Document Selected)</t>
  </si>
  <si>
    <t>JacdacServoDual</t>
  </si>
  <si>
    <t>23</t>
  </si>
  <si>
    <t>None</t>
  </si>
  <si>
    <t>2.0</t>
  </si>
  <si>
    <t>07/02/2022</t>
  </si>
  <si>
    <t>20:07</t>
  </si>
  <si>
    <t>1000</t>
  </si>
  <si>
    <t>USD</t>
  </si>
  <si>
    <t>Description</t>
  </si>
  <si>
    <t>CAP CER 33PF 50V C0G/NP0 0402</t>
  </si>
  <si>
    <t>CAP CER 1UF 10V X5R 0402</t>
  </si>
  <si>
    <t>CAP CER 4.7UF 10V X5R 0402</t>
  </si>
  <si>
    <t>DIODE ARRAY SCHOTTKY 30V SOT23</t>
  </si>
  <si>
    <t>Bidirectional 5V (Max) 6V 16V 3.5A (8/20us) 0402 TVS RoHS</t>
  </si>
  <si>
    <t>Red, Green, Blue (RGB) 626nm Red, 525nm Green, 470nm Blue LED Indication - Discrete 1.9V Red, 3.4V Green, 3.4V Blue 0606 (1616 Metric)</t>
  </si>
  <si>
    <t>DIODE SCHOTTKY 20V 1A SOD123FL</t>
  </si>
  <si>
    <t>0603 1k@100MHz 0.8A chip</t>
  </si>
  <si>
    <t>SAMTEC         TSM-103-01-L-SH-A             Board-To-Board Connector, TSM Series, 3 Contacts, Header, 2.54 mm, Surface Mount, 1 Rows</t>
  </si>
  <si>
    <t>MOSFET P-CH 20V 4.2A SOT23</t>
  </si>
  <si>
    <t>RES SMD 220 OHM 1% 1/16W 0402</t>
  </si>
  <si>
    <t>RES SMD 1M OHM 1% 1/16W 0402</t>
  </si>
  <si>
    <t>RES SMD 30 OHM 1% 1/16W 0402</t>
  </si>
  <si>
    <t>RES SMD 150 OHM 1% 1/16W 0402</t>
  </si>
  <si>
    <t>RES SMD 1K OHM 1% 1/16W 0402</t>
  </si>
  <si>
    <t>RES SMD 62K OHM 1% 1/16W 0402</t>
  </si>
  <si>
    <t>6V 260mV @ 200mA(typ) - - Fixed 3.3V SOT-23-5 Linear Voltage Regulators (LDO) ROHS</t>
  </si>
  <si>
    <t>MCU 32-Bit STM32G031 ARM Cortex-M0+ RISC 32KB Flash 1.7V to 3.6V 20-Pin TSSOP Tube</t>
  </si>
  <si>
    <t>USB Power High Side Switch Single 3V to 5.5V 2.1A 6-Pin SOT-26 T/R</t>
  </si>
  <si>
    <t>74HCT2G17 Series 5.5 V 4 mA Dual Non-Inverting Schmitt Trigger - TSSOP-6</t>
  </si>
  <si>
    <t>Samsung</t>
  </si>
  <si>
    <t>Nexperia</t>
  </si>
  <si>
    <t>Born Semiconductor</t>
  </si>
  <si>
    <t>Broadcom Avago</t>
  </si>
  <si>
    <t>ON Semiconductor</t>
  </si>
  <si>
    <t>TDK</t>
  </si>
  <si>
    <t>Samtec</t>
  </si>
  <si>
    <t>Diodes</t>
  </si>
  <si>
    <t>Yageo</t>
  </si>
  <si>
    <t>MICRONE(Nanjing Micro One Elec)</t>
  </si>
  <si>
    <t>STMicroelectronics</t>
  </si>
  <si>
    <t>CL05C330JB5NNNC</t>
  </si>
  <si>
    <t>CL05A105KP5NNNC</t>
  </si>
  <si>
    <t>CL05A475MP5NRNC</t>
  </si>
  <si>
    <t>BAT54S,235</t>
  </si>
  <si>
    <t>RCLAMP0521P-N</t>
  </si>
  <si>
    <t>HSMF-C114</t>
  </si>
  <si>
    <t>MBR120VLSFT3G</t>
  </si>
  <si>
    <t>MPZ1608S102ATA00</t>
  </si>
  <si>
    <t>TSM-103-01-L-SH-A</t>
  </si>
  <si>
    <t>DMG2305UX-13</t>
  </si>
  <si>
    <t>RC0402FR-07220RL</t>
  </si>
  <si>
    <t>RC0402FR-071ML</t>
  </si>
  <si>
    <t>RC0402FR-0730RL</t>
  </si>
  <si>
    <t>RC0402FR-07150RL</t>
  </si>
  <si>
    <t>RC0402FR-071KL</t>
  </si>
  <si>
    <t>ME6211C33M5G-N</t>
  </si>
  <si>
    <t>STM32G031F6P6</t>
  </si>
  <si>
    <t>C1</t>
  </si>
  <si>
    <t>C2, C3, C5, C10</t>
  </si>
  <si>
    <t>C7, C8</t>
  </si>
  <si>
    <t>D1</t>
  </si>
  <si>
    <t>D2, D3</t>
  </si>
  <si>
    <t>D4</t>
  </si>
  <si>
    <t>D5</t>
  </si>
  <si>
    <t>FB1</t>
  </si>
  <si>
    <t>J3, J4</t>
  </si>
  <si>
    <t>Q10, Q12</t>
  </si>
  <si>
    <t>R1</t>
  </si>
  <si>
    <t>R2, R10, R14</t>
  </si>
  <si>
    <t>R4, R5</t>
  </si>
  <si>
    <t>R6</t>
  </si>
  <si>
    <t>R12, R16</t>
  </si>
  <si>
    <t>R18, R19</t>
  </si>
  <si>
    <t>U1</t>
  </si>
  <si>
    <t>U3</t>
  </si>
  <si>
    <t>U4</t>
  </si>
  <si>
    <t>U10</t>
  </si>
  <si>
    <t>Supplier 1</t>
  </si>
  <si>
    <t>Digi-Key</t>
  </si>
  <si>
    <t>LCSC</t>
  </si>
  <si>
    <t>1276-1272-1-ND</t>
  </si>
  <si>
    <t>1276-1076-1-ND</t>
  </si>
  <si>
    <t>1276-1482-2-ND</t>
  </si>
  <si>
    <t>1727-1868-1-ND</t>
  </si>
  <si>
    <t>516-1795-1-ND</t>
  </si>
  <si>
    <t>MBR120VLSFT3GOSCT-ND</t>
  </si>
  <si>
    <t>445-8694-1-ND</t>
  </si>
  <si>
    <t>SAM12221-ND</t>
  </si>
  <si>
    <t>DMG2305UX-13DICT-ND</t>
  </si>
  <si>
    <t>311-220LRCT-ND</t>
  </si>
  <si>
    <t>311-1.00MLRCT-ND</t>
  </si>
  <si>
    <t>311-30LRCT-ND</t>
  </si>
  <si>
    <t>311-150LRCT-ND</t>
  </si>
  <si>
    <t>311-1.00KLRDKR-ND</t>
  </si>
  <si>
    <t>311-62.0KLRCT-ND</t>
  </si>
  <si>
    <t>497-19774-ND</t>
  </si>
  <si>
    <t>31-AP22652W6-7CT-ND</t>
  </si>
  <si>
    <t>1727-6931-1-ND</t>
  </si>
  <si>
    <t>Supplier Subtotal 1</t>
  </si>
  <si>
    <t>Supplier 2</t>
  </si>
  <si>
    <t>Newark</t>
  </si>
  <si>
    <t>Mouser</t>
  </si>
  <si>
    <t>Future Electronics</t>
  </si>
  <si>
    <t>Farnell</t>
  </si>
  <si>
    <t>RSComponents</t>
  </si>
  <si>
    <t>82AC9259</t>
  </si>
  <si>
    <t>187-CL05A105KP5NNNC</t>
  </si>
  <si>
    <t>2103694</t>
  </si>
  <si>
    <t>771-BAT54S235</t>
  </si>
  <si>
    <t>1058362</t>
  </si>
  <si>
    <t>863-MBR120VLSFT3G</t>
  </si>
  <si>
    <t>810-MPZ1608S102ATA00</t>
  </si>
  <si>
    <t>2001543</t>
  </si>
  <si>
    <t>2543533</t>
  </si>
  <si>
    <t>603-RC0402FR-07220RL</t>
  </si>
  <si>
    <t>603-RC0402FR-071ML</t>
  </si>
  <si>
    <t>603-RC0402FR-0730RL</t>
  </si>
  <si>
    <t>603-RC0402FR-07150RL</t>
  </si>
  <si>
    <t>603-RC0402FR-071KL</t>
  </si>
  <si>
    <t>1458817</t>
  </si>
  <si>
    <t>3246918</t>
  </si>
  <si>
    <t>621-AP22652W6-7</t>
  </si>
  <si>
    <t>2777768</t>
  </si>
  <si>
    <t>Supplier Subtotal 2</t>
  </si>
  <si>
    <t>Supplier 3</t>
  </si>
  <si>
    <t>187-CL05C330JB5NNNC</t>
  </si>
  <si>
    <t>3013329</t>
  </si>
  <si>
    <t>1707990</t>
  </si>
  <si>
    <t>630-HSMF-C114</t>
  </si>
  <si>
    <t>1867479</t>
  </si>
  <si>
    <t>200-TSM10301LSHA</t>
  </si>
  <si>
    <t>621-DMG2305UX-7</t>
  </si>
  <si>
    <t>2147864</t>
  </si>
  <si>
    <t>2421892</t>
  </si>
  <si>
    <t>1458775</t>
  </si>
  <si>
    <t>2421893</t>
  </si>
  <si>
    <t>2132441</t>
  </si>
  <si>
    <t>1987847</t>
  </si>
  <si>
    <t>1939834</t>
  </si>
  <si>
    <t>771-HCT2G17GW125</t>
  </si>
  <si>
    <t>Supplier Subtotal 3</t>
  </si>
  <si>
    <t>Supplier 4</t>
  </si>
  <si>
    <t>3013373RL</t>
  </si>
  <si>
    <t>8270452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</si>
</sst>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50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31</v>
      </c>
      <c r="B2" s="21" t="s">
        <v>7</v>
      </c>
      <c r="C2" s="21"/>
      <c r="D2" s="96" t="s">
        <v>32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33</v>
      </c>
      <c r="C3" s="5"/>
      <c r="D3" s="96" t="s">
        <v>34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28</v>
      </c>
      <c r="B4" s="98" t="s">
        <v>33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29</v>
      </c>
      <c r="B5" s="98" t="s">
        <v>35</v>
      </c>
      <c r="C5" s="98" t="s">
        <v>36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30</v>
      </c>
      <c r="B6" s="99" t="s">
        <v>37</v>
      </c>
      <c r="C6" s="99" t="s">
        <v>38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39</v>
      </c>
      <c r="C7" s="98" t="s">
        <v>40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44599</v>
      </c>
      <c r="C8" s="25">
        <f ca="1">NOW()</f>
        <v>44599.838392303238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15</v>
      </c>
      <c r="B10" s="100" t="s">
        <v>41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4</v>
      </c>
      <c r="B11" s="100" t="s">
        <v>42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43</v>
      </c>
      <c r="B13" s="50" t="s">
        <v>20</v>
      </c>
      <c r="C13" s="50" t="s">
        <v>16</v>
      </c>
      <c r="D13" s="50" t="s">
        <v>3</v>
      </c>
      <c r="E13" s="51" t="s">
        <v>12</v>
      </c>
      <c r="F13" s="52" t="s">
        <v>11</v>
      </c>
      <c r="G13"/>
      <c r="H13" s="63" t="s">
        <v>5</v>
      </c>
      <c r="I13" s="50" t="s">
        <v>6</v>
      </c>
      <c r="J13" s="50" t="s">
        <v>26</v>
      </c>
      <c r="K13" s="73" t="s">
        <v>27</v>
      </c>
      <c r="L13" s="52" t="s">
        <v>10</v>
      </c>
      <c r="M13" s="63" t="s">
        <v>112</v>
      </c>
      <c r="N13" s="50" t="s">
        <v>8</v>
      </c>
      <c r="O13" s="50" t="s">
        <v>22</v>
      </c>
      <c r="P13" s="50" t="s">
        <v>133</v>
      </c>
      <c r="Q13" s="64" t="s">
        <v>134</v>
      </c>
      <c r="R13" s="50" t="s">
        <v>9</v>
      </c>
      <c r="S13" s="50" t="s">
        <v>23</v>
      </c>
      <c r="T13" s="50" t="s">
        <v>158</v>
      </c>
      <c r="U13" s="64" t="s">
        <v>159</v>
      </c>
      <c r="V13" s="50" t="s">
        <v>17</v>
      </c>
      <c r="W13" s="50" t="s">
        <v>24</v>
      </c>
      <c r="X13" s="50" t="s">
        <v>175</v>
      </c>
      <c r="Y13" s="64" t="s">
        <v>176</v>
      </c>
      <c r="Z13" s="50" t="s">
        <v>18</v>
      </c>
      <c r="AA13" s="50" t="s">
        <v>25</v>
      </c>
      <c r="AB13" s="52" t="s">
        <v>19</v>
      </c>
    </row>
    <row r="14" spans="1:28" s="2" customFormat="1" ht="16.5" customHeight="1">
      <c r="A14" s="53" t="s">
        <v>44</v>
      </c>
      <c r="B14" s="17" t="s">
        <v>64</v>
      </c>
      <c r="C14" s="93" t="s">
        <v>75</v>
      </c>
      <c r="D14" s="42" t="s">
        <v>92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Newark</v>
      </c>
      <c r="I14" s="82" t="str">
        <f>IF(INDEX($M14:$AB14,$K14-2)&lt;&gt;0, INDEX($M14:$AB14,$K14-2), "")</f>
        <v>82AC9259</v>
      </c>
      <c r="J14" s="83">
        <f>IF(INDEX($M14:$AB14,$K14-1)&lt;&gt;0, INDEX($M14:$AB14,$K14-1), "")</f>
        <v>0.006</v>
      </c>
      <c r="K14" s="82">
        <f>MATCH(MIN($P14,$T14,$X14,$AB14), $M14:$AB14,0)</f>
        <v>8</v>
      </c>
      <c r="L14" s="84">
        <f>IF(MIN($P14,$T14,$X14,$AB14)&lt;&gt;0,MIN($P14,$T14,$X14,$AB14),"")</f>
        <v>6</v>
      </c>
      <c r="M14" s="29" t="s">
        <v>113</v>
      </c>
      <c r="N14" s="17" t="s">
        <v>115</v>
      </c>
      <c r="O14" s="27">
        <v>0.00626</v>
      </c>
      <c r="P14" s="27">
        <v>6.26</v>
      </c>
      <c r="Q14" s="31" t="s">
        <v>135</v>
      </c>
      <c r="R14" s="17" t="s">
        <v>140</v>
      </c>
      <c r="S14" s="27">
        <v>0.006</v>
      </c>
      <c r="T14" s="27">
        <v>6</v>
      </c>
      <c r="U14" s="31" t="s">
        <v>136</v>
      </c>
      <c r="V14" s="17" t="s">
        <v>160</v>
      </c>
      <c r="W14" s="27">
        <v>0.00609</v>
      </c>
      <c r="X14" s="27">
        <v>6.09</v>
      </c>
      <c r="Y14" s="31" t="s">
        <v>138</v>
      </c>
      <c r="Z14" s="17" t="s">
        <v>177</v>
      </c>
      <c r="AA14" s="27">
        <v>0.008</v>
      </c>
      <c r="AB14" s="65">
        <v>8</v>
      </c>
    </row>
    <row r="15" spans="1:28" s="2" customFormat="1" ht="16.5" customHeight="1">
      <c r="A15" s="54" t="s">
        <v>45</v>
      </c>
      <c r="B15" s="11" t="s">
        <v>64</v>
      </c>
      <c r="C15" s="94" t="s">
        <v>76</v>
      </c>
      <c r="D15" s="43" t="s">
        <v>93</v>
      </c>
      <c r="E15" s="11">
        <v>4</v>
      </c>
      <c r="F15" s="76">
        <f t="shared" si="0" ref="F15:F33">E15*$B$10</f>
        <v>4000</v>
      </c>
      <c r="G15"/>
      <c r="H15" s="77" t="str">
        <f>IF(INDEX($M15:$AB15,$K15-3)&lt;&gt;0, INDEX($M15:$AB15,$K15-3), "")</f>
        <v>Digi-Key</v>
      </c>
      <c r="I15" s="78" t="str">
        <f>IF(INDEX($M15:$AB15,$K15-2)&lt;&gt;0, INDEX($M15:$AB15,$K15-2), "")</f>
        <v>1276-1076-1-ND</v>
      </c>
      <c r="J15" s="80">
        <f>IF(INDEX($M15:$AB15,$K15-1)&lt;&gt;0, INDEX($M15:$AB15,$K15-1), "")</f>
        <v>0.00894</v>
      </c>
      <c r="K15" s="78">
        <f>MATCH(MIN($P15,$T15,$X15,$AB15), $M15:$AB15,0)</f>
        <v>4</v>
      </c>
      <c r="L15" s="79">
        <f>IF(MIN($P15,$T15,$X15,$AB15)&lt;&gt;0,MIN($P15,$T15,$X15,$AB15),"")</f>
        <v>35.76</v>
      </c>
      <c r="M15" s="30" t="s">
        <v>113</v>
      </c>
      <c r="N15" s="11" t="s">
        <v>116</v>
      </c>
      <c r="O15" s="28">
        <v>0.00894</v>
      </c>
      <c r="P15" s="28">
        <v>35.76</v>
      </c>
      <c r="Q15" s="32" t="s">
        <v>136</v>
      </c>
      <c r="R15" s="11" t="s">
        <v>141</v>
      </c>
      <c r="S15" s="28">
        <v>0.009</v>
      </c>
      <c r="T15" s="28">
        <v>36</v>
      </c>
      <c r="U15" s="32" t="s">
        <v>138</v>
      </c>
      <c r="V15" s="11" t="s">
        <v>161</v>
      </c>
      <c r="W15" s="28">
        <v>0.01083</v>
      </c>
      <c r="X15" s="28">
        <v>43.33</v>
      </c>
      <c r="Y15" s="32"/>
      <c r="Z15" s="11"/>
      <c r="AA15" s="28"/>
      <c r="AB15" s="66"/>
    </row>
    <row r="16" spans="1:28" s="2" customFormat="1" ht="16.5" customHeight="1">
      <c r="A16" s="53" t="s">
        <v>46</v>
      </c>
      <c r="B16" s="17" t="s">
        <v>64</v>
      </c>
      <c r="C16" s="93" t="s">
        <v>77</v>
      </c>
      <c r="D16" s="42" t="s">
        <v>94</v>
      </c>
      <c r="E16" s="17">
        <v>2</v>
      </c>
      <c r="F16" s="75">
        <f>E16*$B$10</f>
        <v>2000</v>
      </c>
      <c r="G16"/>
      <c r="H16" s="81" t="str">
        <f>IF(INDEX($M16:$AB16,$K16-3)&lt;&gt;0, INDEX($M16:$AB16,$K16-3), "")</f>
        <v>#N/A</v>
      </c>
      <c r="I16" s="82" t="str">
        <f>IF(INDEX($M16:$AB16,$K16-2)&lt;&gt;0, INDEX($M16:$AB16,$K16-2), "")</f>
        <v>#N/A</v>
      </c>
      <c r="J16" s="83" t="str">
        <f>IF(INDEX($M16:$AB16,$K16-1)&lt;&gt;0, INDEX($M16:$AB16,$K16-1), "")</f>
        <v>#N/A</v>
      </c>
      <c r="K16" s="82" t="str">
        <f>MATCH(MIN($P16,$T16,$X16,$AB16), $M16:$AB16,0)</f>
        <v>#N/A</v>
      </c>
      <c r="L16" s="84" t="str">
        <f>IF(MIN($P16,$T16,$X16,$AB16)&lt;&gt;0,MIN($P16,$T16,$X16,$AB16),"")</f>
        <v/>
      </c>
      <c r="M16" s="29" t="s">
        <v>113</v>
      </c>
      <c r="N16" s="17" t="s">
        <v>117</v>
      </c>
      <c r="O16" s="27"/>
      <c r="P16" s="27"/>
      <c r="Q16" s="31" t="s">
        <v>137</v>
      </c>
      <c r="R16" s="17" t="s">
        <v>142</v>
      </c>
      <c r="S16" s="27"/>
      <c r="T16" s="27"/>
      <c r="U16" s="31"/>
      <c r="V16" s="17"/>
      <c r="W16" s="27"/>
      <c r="X16" s="27"/>
      <c r="Y16" s="31"/>
      <c r="Z16" s="17"/>
      <c r="AA16" s="27"/>
      <c r="AB16" s="65"/>
    </row>
    <row r="17" spans="1:28" s="2" customFormat="1" ht="16.5" customHeight="1">
      <c r="A17" s="54" t="s">
        <v>47</v>
      </c>
      <c r="B17" s="11" t="s">
        <v>65</v>
      </c>
      <c r="C17" s="94" t="s">
        <v>78</v>
      </c>
      <c r="D17" s="43" t="s">
        <v>95</v>
      </c>
      <c r="E17" s="11">
        <v>1</v>
      </c>
      <c r="F17" s="76">
        <f>E17*$B$10</f>
        <v>1000</v>
      </c>
      <c r="G17"/>
      <c r="H17" s="77" t="str">
        <f>IF(INDEX($M17:$AB17,$K17-3)&lt;&gt;0, INDEX($M17:$AB17,$K17-3), "")</f>
        <v>Mouser</v>
      </c>
      <c r="I17" s="78" t="str">
        <f>IF(INDEX($M17:$AB17,$K17-2)&lt;&gt;0, INDEX($M17:$AB17,$K17-2), "")</f>
        <v>771-BAT54S235</v>
      </c>
      <c r="J17" s="80">
        <f>IF(INDEX($M17:$AB17,$K17-1)&lt;&gt;0, INDEX($M17:$AB17,$K17-1), "")</f>
        <v>0.03762</v>
      </c>
      <c r="K17" s="78">
        <f>MATCH(MIN($P17,$T17,$X17,$AB17), $M17:$AB17,0)</f>
        <v>8</v>
      </c>
      <c r="L17" s="79">
        <f>IF(MIN($P17,$T17,$X17,$AB17)&lt;&gt;0,MIN($P17,$T17,$X17,$AB17),"")</f>
        <v>37.62</v>
      </c>
      <c r="M17" s="30" t="s">
        <v>113</v>
      </c>
      <c r="N17" s="11" t="s">
        <v>118</v>
      </c>
      <c r="O17" s="28"/>
      <c r="P17" s="28"/>
      <c r="Q17" s="32" t="s">
        <v>136</v>
      </c>
      <c r="R17" s="11" t="s">
        <v>143</v>
      </c>
      <c r="S17" s="28">
        <v>0.03762</v>
      </c>
      <c r="T17" s="28">
        <v>37.62</v>
      </c>
      <c r="U17" s="32" t="s">
        <v>139</v>
      </c>
      <c r="V17" s="11" t="s">
        <v>162</v>
      </c>
      <c r="W17" s="28">
        <v>0.038</v>
      </c>
      <c r="X17" s="28">
        <v>38</v>
      </c>
      <c r="Y17" s="32"/>
      <c r="Z17" s="11"/>
      <c r="AA17" s="28"/>
      <c r="AB17" s="66"/>
    </row>
    <row r="18" spans="1:28" s="2" customFormat="1" ht="16.5" customHeight="1">
      <c r="A18" s="53" t="s">
        <v>48</v>
      </c>
      <c r="B18" s="17" t="s">
        <v>66</v>
      </c>
      <c r="C18" s="93" t="s">
        <v>79</v>
      </c>
      <c r="D18" s="42" t="s">
        <v>96</v>
      </c>
      <c r="E18" s="17">
        <v>2</v>
      </c>
      <c r="F18" s="75">
        <f>E18*$B$10</f>
        <v>2000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/>
      <c r="N18" s="17"/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49</v>
      </c>
      <c r="B19" s="11" t="s">
        <v>67</v>
      </c>
      <c r="C19" s="94" t="s">
        <v>80</v>
      </c>
      <c r="D19" s="43" t="s">
        <v>97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Mouser</v>
      </c>
      <c r="I19" s="78" t="str">
        <f>IF(INDEX($M19:$AB19,$K19-2)&lt;&gt;0, INDEX($M19:$AB19,$K19-2), "")</f>
        <v>630-HSMF-C114</v>
      </c>
      <c r="J19" s="80">
        <f>IF(INDEX($M19:$AB19,$K19-1)&lt;&gt;0, INDEX($M19:$AB19,$K19-1), "")</f>
        <v>0.751</v>
      </c>
      <c r="K19" s="78">
        <f>MATCH(MIN($P19,$T19,$X19,$AB19), $M19:$AB19,0)</f>
        <v>12</v>
      </c>
      <c r="L19" s="79">
        <f>IF(MIN($P19,$T19,$X19,$AB19)&lt;&gt;0,MIN($P19,$T19,$X19,$AB19),"")</f>
        <v>751</v>
      </c>
      <c r="M19" s="30" t="s">
        <v>113</v>
      </c>
      <c r="N19" s="11" t="s">
        <v>119</v>
      </c>
      <c r="O19" s="28">
        <v>0.97623</v>
      </c>
      <c r="P19" s="28">
        <v>976.23</v>
      </c>
      <c r="Q19" s="32" t="s">
        <v>138</v>
      </c>
      <c r="R19" s="11" t="s">
        <v>144</v>
      </c>
      <c r="S19" s="28">
        <v>0.777</v>
      </c>
      <c r="T19" s="28">
        <v>777</v>
      </c>
      <c r="U19" s="32" t="s">
        <v>136</v>
      </c>
      <c r="V19" s="11" t="s">
        <v>163</v>
      </c>
      <c r="W19" s="28">
        <v>0.751</v>
      </c>
      <c r="X19" s="28">
        <v>751</v>
      </c>
      <c r="Y19" s="32"/>
      <c r="Z19" s="11"/>
      <c r="AA19" s="28"/>
      <c r="AB19" s="66"/>
    </row>
    <row r="20" spans="1:28" s="2" customFormat="1" ht="16.5" customHeight="1">
      <c r="A20" s="53" t="s">
        <v>50</v>
      </c>
      <c r="B20" s="17" t="s">
        <v>68</v>
      </c>
      <c r="C20" s="93" t="s">
        <v>81</v>
      </c>
      <c r="D20" s="42" t="s">
        <v>98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RSComponents</v>
      </c>
      <c r="I20" s="82" t="str">
        <f>IF(INDEX($M20:$AB20,$K20-2)&lt;&gt;0, INDEX($M20:$AB20,$K20-2), "")</f>
        <v>1867479</v>
      </c>
      <c r="J20" s="83">
        <f>IF(INDEX($M20:$AB20,$K20-1)&lt;&gt;0, INDEX($M20:$AB20,$K20-1), "")</f>
        <v>0.14596</v>
      </c>
      <c r="K20" s="82">
        <f>MATCH(MIN($P20,$T20,$X20,$AB20), $M20:$AB20,0)</f>
        <v>12</v>
      </c>
      <c r="L20" s="84">
        <f>IF(MIN($P20,$T20,$X20,$AB20)&lt;&gt;0,MIN($P20,$T20,$X20,$AB20),"")</f>
        <v>145.96</v>
      </c>
      <c r="M20" s="29" t="s">
        <v>113</v>
      </c>
      <c r="N20" s="17" t="s">
        <v>120</v>
      </c>
      <c r="O20" s="27"/>
      <c r="P20" s="27"/>
      <c r="Q20" s="31" t="s">
        <v>136</v>
      </c>
      <c r="R20" s="17" t="s">
        <v>145</v>
      </c>
      <c r="S20" s="27">
        <v>0.152</v>
      </c>
      <c r="T20" s="27">
        <v>152</v>
      </c>
      <c r="U20" s="31" t="s">
        <v>139</v>
      </c>
      <c r="V20" s="17" t="s">
        <v>164</v>
      </c>
      <c r="W20" s="27">
        <v>0.14596</v>
      </c>
      <c r="X20" s="27">
        <v>145.96</v>
      </c>
      <c r="Y20" s="31"/>
      <c r="Z20" s="17"/>
      <c r="AA20" s="27"/>
      <c r="AB20" s="65"/>
    </row>
    <row r="21" spans="1:28" s="2" customFormat="1" ht="16.5" customHeight="1">
      <c r="A21" s="54" t="s">
        <v>51</v>
      </c>
      <c r="B21" s="11" t="s">
        <v>69</v>
      </c>
      <c r="C21" s="94" t="s">
        <v>82</v>
      </c>
      <c r="D21" s="43" t="s">
        <v>99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Digi-Key</v>
      </c>
      <c r="I21" s="78" t="str">
        <f>IF(INDEX($M21:$AB21,$K21-2)&lt;&gt;0, INDEX($M21:$AB21,$K21-2), "")</f>
        <v>445-8694-1-ND</v>
      </c>
      <c r="J21" s="80">
        <f>IF(INDEX($M21:$AB21,$K21-1)&lt;&gt;0, INDEX($M21:$AB21,$K21-1), "")</f>
        <v>0.02717</v>
      </c>
      <c r="K21" s="78">
        <f>MATCH(MIN($P21,$T21,$X21,$AB21), $M21:$AB21,0)</f>
        <v>4</v>
      </c>
      <c r="L21" s="79">
        <f>IF(MIN($P21,$T21,$X21,$AB21)&lt;&gt;0,MIN($P21,$T21,$X21,$AB21),"")</f>
        <v>27.17</v>
      </c>
      <c r="M21" s="30" t="s">
        <v>113</v>
      </c>
      <c r="N21" s="11" t="s">
        <v>121</v>
      </c>
      <c r="O21" s="28">
        <v>0.02717</v>
      </c>
      <c r="P21" s="28">
        <v>27.17</v>
      </c>
      <c r="Q21" s="32" t="s">
        <v>136</v>
      </c>
      <c r="R21" s="11" t="s">
        <v>146</v>
      </c>
      <c r="S21" s="28">
        <v>0.028</v>
      </c>
      <c r="T21" s="28">
        <v>28</v>
      </c>
      <c r="U21" s="32"/>
      <c r="V21" s="11"/>
      <c r="W21" s="28"/>
      <c r="X21" s="28"/>
      <c r="Y21" s="32"/>
      <c r="Z21" s="11"/>
      <c r="AA21" s="28"/>
      <c r="AB21" s="66"/>
    </row>
    <row r="22" spans="1:28" s="2" customFormat="1" ht="16.5" customHeight="1">
      <c r="A22" s="53" t="s">
        <v>52</v>
      </c>
      <c r="B22" s="17" t="s">
        <v>70</v>
      </c>
      <c r="C22" s="93" t="s">
        <v>83</v>
      </c>
      <c r="D22" s="42" t="s">
        <v>100</v>
      </c>
      <c r="E22" s="17">
        <v>2</v>
      </c>
      <c r="F22" s="75">
        <f>E22*$B$10</f>
        <v>2000</v>
      </c>
      <c r="G22"/>
      <c r="H22" s="81" t="str">
        <f>IF(INDEX($M22:$AB22,$K22-3)&lt;&gt;0, INDEX($M22:$AB22,$K22-3), "")</f>
        <v>RSComponents</v>
      </c>
      <c r="I22" s="82" t="str">
        <f>IF(INDEX($M22:$AB22,$K22-2)&lt;&gt;0, INDEX($M22:$AB22,$K22-2), "")</f>
        <v>2001543</v>
      </c>
      <c r="J22" s="83">
        <f>IF(INDEX($M22:$AB22,$K22-1)&lt;&gt;0, INDEX($M22:$AB22,$K22-1), "")</f>
        <v>0.46306</v>
      </c>
      <c r="K22" s="82">
        <f>MATCH(MIN($P22,$T22,$X22,$AB22), $M22:$AB22,0)</f>
        <v>8</v>
      </c>
      <c r="L22" s="84">
        <f>IF(MIN($P22,$T22,$X22,$AB22)&lt;&gt;0,MIN($P22,$T22,$X22,$AB22),"")</f>
        <v>926.13</v>
      </c>
      <c r="M22" s="29" t="s">
        <v>113</v>
      </c>
      <c r="N22" s="17" t="s">
        <v>122</v>
      </c>
      <c r="O22" s="27">
        <v>0.764</v>
      </c>
      <c r="P22" s="27">
        <v>1528</v>
      </c>
      <c r="Q22" s="31" t="s">
        <v>139</v>
      </c>
      <c r="R22" s="17" t="s">
        <v>147</v>
      </c>
      <c r="S22" s="27">
        <v>0.46306</v>
      </c>
      <c r="T22" s="27">
        <v>926.13</v>
      </c>
      <c r="U22" s="31" t="s">
        <v>136</v>
      </c>
      <c r="V22" s="17" t="s">
        <v>165</v>
      </c>
      <c r="W22" s="27">
        <v>0.57536</v>
      </c>
      <c r="X22" s="27">
        <v>1150.72</v>
      </c>
      <c r="Y22" s="31"/>
      <c r="Z22" s="17"/>
      <c r="AA22" s="27"/>
      <c r="AB22" s="65"/>
    </row>
    <row r="23" spans="1:28" s="2" customFormat="1" ht="16.5" customHeight="1">
      <c r="A23" s="54" t="s">
        <v>53</v>
      </c>
      <c r="B23" s="11" t="s">
        <v>71</v>
      </c>
      <c r="C23" s="94" t="s">
        <v>84</v>
      </c>
      <c r="D23" s="43" t="s">
        <v>101</v>
      </c>
      <c r="E23" s="11">
        <v>2</v>
      </c>
      <c r="F23" s="76">
        <f>E23*$B$10</f>
        <v>2000</v>
      </c>
      <c r="G23"/>
      <c r="H23" s="77" t="str">
        <f>IF(INDEX($M23:$AB23,$K23-3)&lt;&gt;0, INDEX($M23:$AB23,$K23-3), "")</f>
        <v>RSComponents</v>
      </c>
      <c r="I23" s="78" t="str">
        <f>IF(INDEX($M23:$AB23,$K23-2)&lt;&gt;0, INDEX($M23:$AB23,$K23-2), "")</f>
        <v>8270452</v>
      </c>
      <c r="J23" s="80">
        <f>IF(INDEX($M23:$AB23,$K23-1)&lt;&gt;0, INDEX($M23:$AB23,$K23-1), "")</f>
        <v>0.07489</v>
      </c>
      <c r="K23" s="78">
        <f>MATCH(MIN($P23,$T23,$X23,$AB23), $M23:$AB23,0)</f>
        <v>16</v>
      </c>
      <c r="L23" s="79">
        <f>IF(MIN($P23,$T23,$X23,$AB23)&lt;&gt;0,MIN($P23,$T23,$X23,$AB23),"")</f>
        <v>149.78</v>
      </c>
      <c r="M23" s="30" t="s">
        <v>113</v>
      </c>
      <c r="N23" s="11" t="s">
        <v>123</v>
      </c>
      <c r="O23" s="28">
        <v>0.17196</v>
      </c>
      <c r="P23" s="28">
        <v>343.91</v>
      </c>
      <c r="Q23" s="32" t="s">
        <v>138</v>
      </c>
      <c r="R23" s="11" t="s">
        <v>148</v>
      </c>
      <c r="S23" s="28">
        <v>0.084</v>
      </c>
      <c r="T23" s="28">
        <v>168</v>
      </c>
      <c r="U23" s="32" t="s">
        <v>136</v>
      </c>
      <c r="V23" s="11" t="s">
        <v>166</v>
      </c>
      <c r="W23" s="28">
        <v>0.17</v>
      </c>
      <c r="X23" s="28">
        <v>340</v>
      </c>
      <c r="Y23" s="32" t="s">
        <v>139</v>
      </c>
      <c r="Z23" s="11" t="s">
        <v>178</v>
      </c>
      <c r="AA23" s="28">
        <v>0.07489</v>
      </c>
      <c r="AB23" s="66">
        <v>149.78</v>
      </c>
    </row>
    <row r="24" spans="1:28" s="2" customFormat="1" ht="16.5" customHeight="1">
      <c r="A24" s="53" t="s">
        <v>54</v>
      </c>
      <c r="B24" s="17" t="s">
        <v>72</v>
      </c>
      <c r="C24" s="93" t="s">
        <v>85</v>
      </c>
      <c r="D24" s="42" t="s">
        <v>102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Mouser</v>
      </c>
      <c r="I24" s="82" t="str">
        <f>IF(INDEX($M24:$AB24,$K24-2)&lt;&gt;0, INDEX($M24:$AB24,$K24-2), "")</f>
        <v>603-RC0402FR-07220RL</v>
      </c>
      <c r="J24" s="83">
        <f>IF(INDEX($M24:$AB24,$K24-1)&lt;&gt;0, INDEX($M24:$AB24,$K24-1), "")</f>
        <v>0.00299</v>
      </c>
      <c r="K24" s="82">
        <f>MATCH(MIN($P24,$T24,$X24,$AB24), $M24:$AB24,0)</f>
        <v>8</v>
      </c>
      <c r="L24" s="84">
        <f>IF(MIN($P24,$T24,$X24,$AB24)&lt;&gt;0,MIN($P24,$T24,$X24,$AB24),"")</f>
        <v>2.99</v>
      </c>
      <c r="M24" s="29" t="s">
        <v>113</v>
      </c>
      <c r="N24" s="17" t="s">
        <v>124</v>
      </c>
      <c r="O24" s="27"/>
      <c r="P24" s="27"/>
      <c r="Q24" s="31" t="s">
        <v>136</v>
      </c>
      <c r="R24" s="17" t="s">
        <v>149</v>
      </c>
      <c r="S24" s="27">
        <v>0.00299</v>
      </c>
      <c r="T24" s="27">
        <v>2.99</v>
      </c>
      <c r="U24" s="31" t="s">
        <v>138</v>
      </c>
      <c r="V24" s="17" t="s">
        <v>167</v>
      </c>
      <c r="W24" s="27">
        <v>0.003</v>
      </c>
      <c r="X24" s="27">
        <v>3</v>
      </c>
      <c r="Y24" s="31"/>
      <c r="Z24" s="17"/>
      <c r="AA24" s="27"/>
      <c r="AB24" s="65"/>
    </row>
    <row r="25" spans="1:28" s="2" customFormat="1" ht="16.5" customHeight="1">
      <c r="A25" s="54" t="s">
        <v>55</v>
      </c>
      <c r="B25" s="11" t="s">
        <v>72</v>
      </c>
      <c r="C25" s="94" t="s">
        <v>86</v>
      </c>
      <c r="D25" s="43" t="s">
        <v>103</v>
      </c>
      <c r="E25" s="11">
        <v>3</v>
      </c>
      <c r="F25" s="76">
        <f>E25*$B$10</f>
        <v>3000</v>
      </c>
      <c r="G25"/>
      <c r="H25" s="77" t="str">
        <f>IF(INDEX($M25:$AB25,$K25-3)&lt;&gt;0, INDEX($M25:$AB25,$K25-3), "")</f>
        <v>Mouser</v>
      </c>
      <c r="I25" s="78" t="str">
        <f>IF(INDEX($M25:$AB25,$K25-2)&lt;&gt;0, INDEX($M25:$AB25,$K25-2), "")</f>
        <v>603-RC0402FR-071ML</v>
      </c>
      <c r="J25" s="80">
        <f>IF(INDEX($M25:$AB25,$K25-1)&lt;&gt;0, INDEX($M25:$AB25,$K25-1), "")</f>
        <v>0.00259</v>
      </c>
      <c r="K25" s="78">
        <f>MATCH(MIN($P25,$T25,$X25,$AB25), $M25:$AB25,0)</f>
        <v>8</v>
      </c>
      <c r="L25" s="79">
        <f>IF(MIN($P25,$T25,$X25,$AB25)&lt;&gt;0,MIN($P25,$T25,$X25,$AB25),"")</f>
        <v>7.77</v>
      </c>
      <c r="M25" s="30" t="s">
        <v>113</v>
      </c>
      <c r="N25" s="11" t="s">
        <v>125</v>
      </c>
      <c r="O25" s="28"/>
      <c r="P25" s="28"/>
      <c r="Q25" s="32" t="s">
        <v>136</v>
      </c>
      <c r="R25" s="11" t="s">
        <v>150</v>
      </c>
      <c r="S25" s="28">
        <v>0.00259</v>
      </c>
      <c r="T25" s="28">
        <v>7.77</v>
      </c>
      <c r="U25" s="32" t="s">
        <v>138</v>
      </c>
      <c r="V25" s="11" t="s">
        <v>168</v>
      </c>
      <c r="W25" s="28">
        <v>0.003</v>
      </c>
      <c r="X25" s="28">
        <v>9</v>
      </c>
      <c r="Y25" s="32"/>
      <c r="Z25" s="11"/>
      <c r="AA25" s="28"/>
      <c r="AB25" s="66"/>
    </row>
    <row r="26" spans="1:28" s="2" customFormat="1" ht="16.5" customHeight="1">
      <c r="A26" s="53" t="s">
        <v>56</v>
      </c>
      <c r="B26" s="17" t="s">
        <v>72</v>
      </c>
      <c r="C26" s="93" t="s">
        <v>87</v>
      </c>
      <c r="D26" s="42" t="s">
        <v>104</v>
      </c>
      <c r="E26" s="17">
        <v>2</v>
      </c>
      <c r="F26" s="75">
        <f>E26*$B$10</f>
        <v>2000</v>
      </c>
      <c r="G26"/>
      <c r="H26" s="81" t="str">
        <f>IF(INDEX($M26:$AB26,$K26-3)&lt;&gt;0, INDEX($M26:$AB26,$K26-3), "")</f>
        <v>Mouser</v>
      </c>
      <c r="I26" s="82" t="str">
        <f>IF(INDEX($M26:$AB26,$K26-2)&lt;&gt;0, INDEX($M26:$AB26,$K26-2), "")</f>
        <v>603-RC0402FR-0730RL</v>
      </c>
      <c r="J26" s="83">
        <f>IF(INDEX($M26:$AB26,$K26-1)&lt;&gt;0, INDEX($M26:$AB26,$K26-1), "")</f>
        <v>0.00299</v>
      </c>
      <c r="K26" s="82">
        <f>MATCH(MIN($P26,$T26,$X26,$AB26), $M26:$AB26,0)</f>
        <v>8</v>
      </c>
      <c r="L26" s="84">
        <f>IF(MIN($P26,$T26,$X26,$AB26)&lt;&gt;0,MIN($P26,$T26,$X26,$AB26),"")</f>
        <v>5.98</v>
      </c>
      <c r="M26" s="29" t="s">
        <v>113</v>
      </c>
      <c r="N26" s="17" t="s">
        <v>126</v>
      </c>
      <c r="O26" s="27">
        <v>0.00406</v>
      </c>
      <c r="P26" s="27">
        <v>8.12</v>
      </c>
      <c r="Q26" s="31" t="s">
        <v>136</v>
      </c>
      <c r="R26" s="17" t="s">
        <v>151</v>
      </c>
      <c r="S26" s="27">
        <v>0.00299</v>
      </c>
      <c r="T26" s="27">
        <v>5.98</v>
      </c>
      <c r="U26" s="31" t="s">
        <v>138</v>
      </c>
      <c r="V26" s="17" t="s">
        <v>169</v>
      </c>
      <c r="W26" s="27">
        <v>0.003</v>
      </c>
      <c r="X26" s="27">
        <v>6</v>
      </c>
      <c r="Y26" s="31"/>
      <c r="Z26" s="17"/>
      <c r="AA26" s="27"/>
      <c r="AB26" s="65"/>
    </row>
    <row r="27" spans="1:28" s="2" customFormat="1" ht="16.5" customHeight="1">
      <c r="A27" s="54" t="s">
        <v>57</v>
      </c>
      <c r="B27" s="11" t="s">
        <v>72</v>
      </c>
      <c r="C27" s="94" t="s">
        <v>88</v>
      </c>
      <c r="D27" s="43" t="s">
        <v>105</v>
      </c>
      <c r="E27" s="11">
        <v>1</v>
      </c>
      <c r="F27" s="76">
        <f>E27*$B$10</f>
        <v>1000</v>
      </c>
      <c r="G27"/>
      <c r="H27" s="77" t="str">
        <f>IF(INDEX($M27:$AB27,$K27-3)&lt;&gt;0, INDEX($M27:$AB27,$K27-3), "")</f>
        <v>Mouser</v>
      </c>
      <c r="I27" s="78" t="str">
        <f>IF(INDEX($M27:$AB27,$K27-2)&lt;&gt;0, INDEX($M27:$AB27,$K27-2), "")</f>
        <v>603-RC0402FR-07150RL</v>
      </c>
      <c r="J27" s="80">
        <f>IF(INDEX($M27:$AB27,$K27-1)&lt;&gt;0, INDEX($M27:$AB27,$K27-1), "")</f>
        <v>0.00299</v>
      </c>
      <c r="K27" s="78">
        <f>MATCH(MIN($P27,$T27,$X27,$AB27), $M27:$AB27,0)</f>
        <v>8</v>
      </c>
      <c r="L27" s="79">
        <f>IF(MIN($P27,$T27,$X27,$AB27)&lt;&gt;0,MIN($P27,$T27,$X27,$AB27),"")</f>
        <v>2.99</v>
      </c>
      <c r="M27" s="30" t="s">
        <v>113</v>
      </c>
      <c r="N27" s="11" t="s">
        <v>127</v>
      </c>
      <c r="O27" s="28"/>
      <c r="P27" s="28"/>
      <c r="Q27" s="32" t="s">
        <v>136</v>
      </c>
      <c r="R27" s="11" t="s">
        <v>152</v>
      </c>
      <c r="S27" s="28">
        <v>0.00299</v>
      </c>
      <c r="T27" s="28">
        <v>2.99</v>
      </c>
      <c r="U27" s="32" t="s">
        <v>138</v>
      </c>
      <c r="V27" s="11" t="s">
        <v>170</v>
      </c>
      <c r="W27" s="28">
        <v>0.003</v>
      </c>
      <c r="X27" s="28">
        <v>3</v>
      </c>
      <c r="Y27" s="32"/>
      <c r="Z27" s="11"/>
      <c r="AA27" s="28"/>
      <c r="AB27" s="66"/>
    </row>
    <row r="28" spans="1:28" s="2" customFormat="1" ht="16.5" customHeight="1">
      <c r="A28" s="53" t="s">
        <v>58</v>
      </c>
      <c r="B28" s="17" t="s">
        <v>72</v>
      </c>
      <c r="C28" s="93" t="s">
        <v>89</v>
      </c>
      <c r="D28" s="42" t="s">
        <v>106</v>
      </c>
      <c r="E28" s="17">
        <v>2</v>
      </c>
      <c r="F28" s="75">
        <f>E28*$B$10</f>
        <v>2000</v>
      </c>
      <c r="G28"/>
      <c r="H28" s="81" t="str">
        <f>IF(INDEX($M28:$AB28,$K28-3)&lt;&gt;0, INDEX($M28:$AB28,$K28-3), "")</f>
        <v>Mouser</v>
      </c>
      <c r="I28" s="82" t="str">
        <f>IF(INDEX($M28:$AB28,$K28-2)&lt;&gt;0, INDEX($M28:$AB28,$K28-2), "")</f>
        <v>603-RC0402FR-071KL</v>
      </c>
      <c r="J28" s="83">
        <f>IF(INDEX($M28:$AB28,$K28-1)&lt;&gt;0, INDEX($M28:$AB28,$K28-1), "")</f>
        <v>0.00299</v>
      </c>
      <c r="K28" s="82">
        <f>MATCH(MIN($P28,$T28,$X28,$AB28), $M28:$AB28,0)</f>
        <v>8</v>
      </c>
      <c r="L28" s="84">
        <f>IF(MIN($P28,$T28,$X28,$AB28)&lt;&gt;0,MIN($P28,$T28,$X28,$AB28),"")</f>
        <v>5.98</v>
      </c>
      <c r="M28" s="29" t="s">
        <v>113</v>
      </c>
      <c r="N28" s="17" t="s">
        <v>128</v>
      </c>
      <c r="O28" s="27"/>
      <c r="P28" s="27"/>
      <c r="Q28" s="31" t="s">
        <v>136</v>
      </c>
      <c r="R28" s="17" t="s">
        <v>153</v>
      </c>
      <c r="S28" s="27">
        <v>0.00299</v>
      </c>
      <c r="T28" s="27">
        <v>5.98</v>
      </c>
      <c r="U28" s="31" t="s">
        <v>138</v>
      </c>
      <c r="V28" s="17" t="s">
        <v>171</v>
      </c>
      <c r="W28" s="27">
        <v>0.003</v>
      </c>
      <c r="X28" s="27">
        <v>6</v>
      </c>
      <c r="Y28" s="31"/>
      <c r="Z28" s="17"/>
      <c r="AA28" s="27"/>
      <c r="AB28" s="65"/>
    </row>
    <row r="29" spans="1:28" s="2" customFormat="1" ht="16.5" customHeight="1">
      <c r="A29" s="54" t="s">
        <v>59</v>
      </c>
      <c r="B29" s="11"/>
      <c r="C29" s="94"/>
      <c r="D29" s="43" t="s">
        <v>107</v>
      </c>
      <c r="E29" s="11">
        <v>2</v>
      </c>
      <c r="F29" s="76">
        <f>E29*$B$10</f>
        <v>2000</v>
      </c>
      <c r="G29"/>
      <c r="H29" s="77" t="str">
        <f>IF(INDEX($M29:$AB29,$K29-3)&lt;&gt;0, INDEX($M29:$AB29,$K29-3), "")</f>
        <v>RSComponents</v>
      </c>
      <c r="I29" s="78" t="str">
        <f>IF(INDEX($M29:$AB29,$K29-2)&lt;&gt;0, INDEX($M29:$AB29,$K29-2), "")</f>
        <v>1987847</v>
      </c>
      <c r="J29" s="80">
        <f>IF(INDEX($M29:$AB29,$K29-1)&lt;&gt;0, INDEX($M29:$AB29,$K29-1), "")</f>
        <v>0.00299</v>
      </c>
      <c r="K29" s="78">
        <f>MATCH(MIN($P29,$T29,$X29,$AB29), $M29:$AB29,0)</f>
        <v>12</v>
      </c>
      <c r="L29" s="79">
        <f>IF(MIN($P29,$T29,$X29,$AB29)&lt;&gt;0,MIN($P29,$T29,$X29,$AB29),"")</f>
        <v>5.98</v>
      </c>
      <c r="M29" s="30" t="s">
        <v>113</v>
      </c>
      <c r="N29" s="11" t="s">
        <v>129</v>
      </c>
      <c r="O29" s="28">
        <v>0.00406</v>
      </c>
      <c r="P29" s="28">
        <v>8.12</v>
      </c>
      <c r="Q29" s="32" t="s">
        <v>138</v>
      </c>
      <c r="R29" s="11" t="s">
        <v>154</v>
      </c>
      <c r="S29" s="28">
        <v>0.00812</v>
      </c>
      <c r="T29" s="28">
        <v>16.25</v>
      </c>
      <c r="U29" s="32" t="s">
        <v>139</v>
      </c>
      <c r="V29" s="11" t="s">
        <v>172</v>
      </c>
      <c r="W29" s="28">
        <v>0.00299</v>
      </c>
      <c r="X29" s="28">
        <v>5.98</v>
      </c>
      <c r="Y29" s="32"/>
      <c r="Z29" s="11"/>
      <c r="AA29" s="28"/>
      <c r="AB29" s="66"/>
    </row>
    <row r="30" spans="1:28" s="2" customFormat="1" ht="16.5" customHeight="1">
      <c r="A30" s="53" t="s">
        <v>60</v>
      </c>
      <c r="B30" s="17" t="s">
        <v>73</v>
      </c>
      <c r="C30" s="93" t="s">
        <v>90</v>
      </c>
      <c r="D30" s="42" t="s">
        <v>108</v>
      </c>
      <c r="E30" s="17">
        <v>1</v>
      </c>
      <c r="F30" s="75">
        <f>E30*$B$10</f>
        <v>1000</v>
      </c>
      <c r="G30"/>
      <c r="H30" s="81" t="str">
        <f>IF(INDEX($M30:$AB30,$K30-3)&lt;&gt;0, INDEX($M30:$AB30,$K30-3), "")</f>
        <v>#N/A</v>
      </c>
      <c r="I30" s="82" t="str">
        <f>IF(INDEX($M30:$AB30,$K30-2)&lt;&gt;0, INDEX($M30:$AB30,$K30-2), "")</f>
        <v>#N/A</v>
      </c>
      <c r="J30" s="83" t="str">
        <f>IF(INDEX($M30:$AB30,$K30-1)&lt;&gt;0, INDEX($M30:$AB30,$K30-1), "")</f>
        <v>#N/A</v>
      </c>
      <c r="K30" s="82" t="str">
        <f>MATCH(MIN($P30,$T30,$X30,$AB30), $M30:$AB30,0)</f>
        <v>#N/A</v>
      </c>
      <c r="L30" s="84" t="str">
        <f>IF(MIN($P30,$T30,$X30,$AB30)&lt;&gt;0,MIN($P30,$T30,$X30,$AB30),"")</f>
        <v/>
      </c>
      <c r="M30" s="29" t="s">
        <v>114</v>
      </c>
      <c r="N30" s="17"/>
      <c r="O30" s="27"/>
      <c r="P30" s="27"/>
      <c r="Q30" s="31"/>
      <c r="R30" s="17"/>
      <c r="S30" s="27"/>
      <c r="T30" s="27"/>
      <c r="U30" s="31"/>
      <c r="V30" s="17"/>
      <c r="W30" s="27"/>
      <c r="X30" s="27"/>
      <c r="Y30" s="31"/>
      <c r="Z30" s="17"/>
      <c r="AA30" s="27"/>
      <c r="AB30" s="65"/>
    </row>
    <row r="31" spans="1:28" s="2" customFormat="1" ht="16.5" customHeight="1">
      <c r="A31" s="54" t="s">
        <v>61</v>
      </c>
      <c r="B31" s="11" t="s">
        <v>74</v>
      </c>
      <c r="C31" s="94" t="s">
        <v>91</v>
      </c>
      <c r="D31" s="43" t="s">
        <v>109</v>
      </c>
      <c r="E31" s="11">
        <v>1</v>
      </c>
      <c r="F31" s="76">
        <f>E31*$B$10</f>
        <v>1000</v>
      </c>
      <c r="G31"/>
      <c r="H31" s="77" t="str">
        <f>IF(INDEX($M31:$AB31,$K31-3)&lt;&gt;0, INDEX($M31:$AB31,$K31-3), "")</f>
        <v>Farnell</v>
      </c>
      <c r="I31" s="78" t="str">
        <f>IF(INDEX($M31:$AB31,$K31-2)&lt;&gt;0, INDEX($M31:$AB31,$K31-2), "")</f>
        <v>3246918</v>
      </c>
      <c r="J31" s="80">
        <f>IF(INDEX($M31:$AB31,$K31-1)&lt;&gt;0, INDEX($M31:$AB31,$K31-1), "")</f>
        <v>1.63</v>
      </c>
      <c r="K31" s="78">
        <f>MATCH(MIN($P31,$T31,$X31,$AB31), $M31:$AB31,0)</f>
        <v>8</v>
      </c>
      <c r="L31" s="79">
        <f>IF(MIN($P31,$T31,$X31,$AB31)&lt;&gt;0,MIN($P31,$T31,$X31,$AB31),"")</f>
        <v>1631.6</v>
      </c>
      <c r="M31" s="30" t="s">
        <v>113</v>
      </c>
      <c r="N31" s="11" t="s">
        <v>130</v>
      </c>
      <c r="O31" s="28">
        <v>2.18</v>
      </c>
      <c r="P31" s="28">
        <v>2179.92</v>
      </c>
      <c r="Q31" s="32" t="s">
        <v>138</v>
      </c>
      <c r="R31" s="11" t="s">
        <v>155</v>
      </c>
      <c r="S31" s="28">
        <v>1.63</v>
      </c>
      <c r="T31" s="28">
        <v>1631.6</v>
      </c>
      <c r="U31" s="32" t="s">
        <v>139</v>
      </c>
      <c r="V31" s="11" t="s">
        <v>173</v>
      </c>
      <c r="W31" s="28"/>
      <c r="X31" s="28"/>
      <c r="Y31" s="32"/>
      <c r="Z31" s="11"/>
      <c r="AA31" s="28"/>
      <c r="AB31" s="66"/>
    </row>
    <row r="32" spans="1:28" s="2" customFormat="1" ht="16.5" customHeight="1">
      <c r="A32" s="53" t="s">
        <v>62</v>
      </c>
      <c r="B32" s="17"/>
      <c r="C32" s="93"/>
      <c r="D32" s="42" t="s">
        <v>110</v>
      </c>
      <c r="E32" s="17">
        <v>1</v>
      </c>
      <c r="F32" s="75">
        <f>E32*$B$10</f>
        <v>1000</v>
      </c>
      <c r="G32"/>
      <c r="H32" s="81" t="str">
        <f>IF(INDEX($M32:$AB32,$K32-3)&lt;&gt;0, INDEX($M32:$AB32,$K32-3), "")</f>
        <v>Digi-Key</v>
      </c>
      <c r="I32" s="82" t="str">
        <f>IF(INDEX($M32:$AB32,$K32-2)&lt;&gt;0, INDEX($M32:$AB32,$K32-2), "")</f>
        <v>31-AP22652W6-7CT-ND</v>
      </c>
      <c r="J32" s="83">
        <f>IF(INDEX($M32:$AB32,$K32-1)&lt;&gt;0, INDEX($M32:$AB32,$K32-1), "")</f>
        <v>0.17966</v>
      </c>
      <c r="K32" s="82">
        <f>MATCH(MIN($P32,$T32,$X32,$AB32), $M32:$AB32,0)</f>
        <v>4</v>
      </c>
      <c r="L32" s="84">
        <f>IF(MIN($P32,$T32,$X32,$AB32)&lt;&gt;0,MIN($P32,$T32,$X32,$AB32),"")</f>
        <v>179.66</v>
      </c>
      <c r="M32" s="29" t="s">
        <v>113</v>
      </c>
      <c r="N32" s="17" t="s">
        <v>131</v>
      </c>
      <c r="O32" s="27">
        <v>0.17966</v>
      </c>
      <c r="P32" s="27">
        <v>179.66</v>
      </c>
      <c r="Q32" s="31" t="s">
        <v>136</v>
      </c>
      <c r="R32" s="17" t="s">
        <v>156</v>
      </c>
      <c r="S32" s="27">
        <v>0.18</v>
      </c>
      <c r="T32" s="27">
        <v>180</v>
      </c>
      <c r="U32" s="31"/>
      <c r="V32" s="17"/>
      <c r="W32" s="27"/>
      <c r="X32" s="27"/>
      <c r="Y32" s="31"/>
      <c r="Z32" s="17"/>
      <c r="AA32" s="27"/>
      <c r="AB32" s="65"/>
    </row>
    <row r="33" spans="1:28" s="2" customFormat="1" ht="16.5" customHeight="1">
      <c r="A33" s="54" t="s">
        <v>63</v>
      </c>
      <c r="B33" s="11"/>
      <c r="C33" s="94"/>
      <c r="D33" s="43" t="s">
        <v>111</v>
      </c>
      <c r="E33" s="11">
        <v>1</v>
      </c>
      <c r="F33" s="76">
        <f>E33*$B$10</f>
        <v>1000</v>
      </c>
      <c r="G33"/>
      <c r="H33" s="77" t="str">
        <f>IF(INDEX($M33:$AB33,$K33-3)&lt;&gt;0, INDEX($M33:$AB33,$K33-3), "")</f>
        <v>Digi-Key</v>
      </c>
      <c r="I33" s="78" t="str">
        <f>IF(INDEX($M33:$AB33,$K33-2)&lt;&gt;0, INDEX($M33:$AB33,$K33-2), "")</f>
        <v>1727-6931-1-ND</v>
      </c>
      <c r="J33" s="80">
        <f>IF(INDEX($M33:$AB33,$K33-1)&lt;&gt;0, INDEX($M33:$AB33,$K33-1), "")</f>
        <v>0.11427</v>
      </c>
      <c r="K33" s="78">
        <f>MATCH(MIN($P33,$T33,$X33,$AB33), $M33:$AB33,0)</f>
        <v>4</v>
      </c>
      <c r="L33" s="79">
        <f>IF(MIN($P33,$T33,$X33,$AB33)&lt;&gt;0,MIN($P33,$T33,$X33,$AB33),"")</f>
        <v>114.27</v>
      </c>
      <c r="M33" s="30" t="s">
        <v>113</v>
      </c>
      <c r="N33" s="11" t="s">
        <v>132</v>
      </c>
      <c r="O33" s="28">
        <v>0.11427</v>
      </c>
      <c r="P33" s="28">
        <v>114.27</v>
      </c>
      <c r="Q33" s="32" t="s">
        <v>138</v>
      </c>
      <c r="R33" s="11" t="s">
        <v>157</v>
      </c>
      <c r="S33" s="28">
        <v>0.20851</v>
      </c>
      <c r="T33" s="28">
        <v>208.51</v>
      </c>
      <c r="U33" s="32" t="s">
        <v>136</v>
      </c>
      <c r="V33" s="11" t="s">
        <v>174</v>
      </c>
      <c r="W33" s="28">
        <v>0.115</v>
      </c>
      <c r="X33" s="28">
        <v>115</v>
      </c>
      <c r="Y33" s="32"/>
      <c r="Z33" s="11"/>
      <c r="AA33" s="28"/>
      <c r="AB33" s="66"/>
    </row>
    <row r="34" spans="1:28" ht="14.25">
      <c r="A34" s="56" t="s">
        <v>21</v>
      </c>
      <c r="B34" s="39">
        <f>ROW(A33)-ROW(A$13)</f>
        <v>20</v>
      </c>
      <c r="C34" s="34"/>
      <c r="D34" s="36" t="s">
        <v>13</v>
      </c>
      <c r="E34" s="37">
        <f>SUM(E14:E33)</f>
        <v>32</v>
      </c>
      <c r="F34" s="57">
        <f>SUM(F14:F33)</f>
        <v>32000</v>
      </c>
      <c r="H34" s="35"/>
      <c r="I34" s="40" t="s">
        <v>13</v>
      </c>
      <c r="J34" s="41"/>
      <c r="K34" s="41"/>
      <c r="L34" s="85">
        <f>SUM(L14:L33)</f>
        <v>4036.6399999999994</v>
      </c>
      <c r="M34" s="35"/>
      <c r="N34" s="34"/>
      <c r="O34" s="34"/>
      <c r="P34" s="86"/>
      <c r="Q34" s="34"/>
      <c r="R34" s="34"/>
      <c r="S34" s="34"/>
      <c r="T34" s="86"/>
      <c r="U34" s="34"/>
      <c r="V34" s="34"/>
      <c r="W34" s="34"/>
      <c r="X34" s="86"/>
      <c r="Y34" s="34"/>
      <c r="Z34" s="34"/>
      <c r="AA34" s="34"/>
      <c r="AB34" s="85"/>
    </row>
    <row r="35" spans="1:28" ht="15" thickBot="1">
      <c r="A35" s="58"/>
      <c r="B35" s="59"/>
      <c r="C35" s="59"/>
      <c r="D35" s="59"/>
      <c r="E35" s="59"/>
      <c r="F35" s="60"/>
      <c r="H35" s="58"/>
      <c r="I35" s="68" t="s">
        <v>14</v>
      </c>
      <c r="J35" s="74"/>
      <c r="K35" s="69"/>
      <c r="L35" s="70">
        <f>L34/$B$10</f>
        <v>4.03664</v>
      </c>
      <c r="M35" s="58"/>
      <c r="N35" s="59"/>
      <c r="O35" s="59"/>
      <c r="P35" s="87"/>
      <c r="Q35" s="59"/>
      <c r="R35" s="59"/>
      <c r="S35" s="59"/>
      <c r="T35" s="87"/>
      <c r="U35" s="59"/>
      <c r="V35" s="59"/>
      <c r="W35" s="59"/>
      <c r="X35" s="87"/>
      <c r="Y35" s="59"/>
      <c r="Z35" s="59"/>
      <c r="AA35" s="59"/>
      <c r="AB35" s="88"/>
    </row>
    <row r="36" spans="1:28" ht="6" customHeight="1" thickTop="1">
      <c r="A36" s="45"/>
      <c r="B36" s="46"/>
      <c r="C36" s="46"/>
      <c r="D36" s="47"/>
      <c r="E36" s="48"/>
      <c r="F36" s="47"/>
      <c r="H36" s="4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</row>
    <row r="38" spans="14:19">
      <c r="N38" s="2"/>
      <c r="O38" s="2"/>
      <c r="Q38" s="2"/>
      <c r="R38" s="2"/>
      <c r="S38" s="2"/>
    </row>
    <row r="39" spans="11:11">
      <c r="K39" s="1">
        <f>MIN($P38,$T38,$X38,$AB38)</f>
        <v>0</v>
      </c>
    </row>
    <row r="50" spans="1:2">
      <c r="A50" s="1"/>
      <c r="B50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