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<sst xmlns="http://schemas.openxmlformats.org/spreadsheetml/2006/main" uniqueCount="216">
  <si>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</si>
  <si>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</si>
  <si>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</si>
  <si>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</si>
  <si>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</si>
  <si>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</si>
  <si>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</si>
  <si>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</si>
  <si>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</si>
  <si>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</si>
  <si>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</si>
  <si>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</si>
  <si>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</si>
  <si>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</si>
  <si>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</si>
  <si>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</si>
  <si>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</si>
  <si>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</si>
  <si>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</si>
  <si>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</si>
  <si>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</si>
  <si>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</si>
  <si>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</si>
  <si>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</si>
  <si>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</si>
  <si>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</si>
  <si>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</si>
  <si>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</si>
  <si>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</si>
  <si>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</si>
  <si>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</si>
  <si>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</si>
  <si>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</si>
  <si>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</si>
  <si>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</si>
  <si>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</si>
  <si>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</si>
  <si>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</si>
  <si>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RP2040 brain</t>
  </si>
  <si>
    <t>JacdacBrainRP2040 59.PrjPCB</t>
  </si>
  <si>
    <t>Bill of Materials for Project [JacdacBrainRP2040 59.PrjPCB] (No PCB Document Selected)</t>
  </si>
  <si>
    <t>JacdacBrainRP2040</t>
  </si>
  <si>
    <t>59</t>
  </si>
  <si>
    <t>None</t>
  </si>
  <si>
    <t>0.2</t>
  </si>
  <si>
    <t>21/12/2021</t>
  </si>
  <si>
    <t>18:54</t>
  </si>
  <si>
    <t>1000</t>
  </si>
  <si>
    <t>USD</t>
  </si>
  <si>
    <t>Description</t>
  </si>
  <si>
    <t>CAP CER 1UF 10V X5R 0402</t>
  </si>
  <si>
    <t>CAP CER 4.7UF 10V X5R 0402</t>
  </si>
  <si>
    <t>CAP CER 33PF 50V NP0 0402</t>
  </si>
  <si>
    <t>CAP CER 15PF 50V C0G/NP0 0402</t>
  </si>
  <si>
    <t>Bidirectional 5V (Max) 6V 16V 3.5A (8/20us) 0402 TVS RoHS</t>
  </si>
  <si>
    <t>ROHM - RB161MM-20TR - Schottky-Gleichrichterdiode, 20 V, 1 A, Einfach, SOD-123FL, 2 Pin(s), 350 mV</t>
  </si>
  <si>
    <t>1615 Light Emitting Diodes (LED) RoHS</t>
  </si>
  <si>
    <t>DIODE ARRAY SCHOTTKY 30V SOT23</t>
  </si>
  <si>
    <t>0603 1k@100MHz 0.8A chip</t>
  </si>
  <si>
    <t>USB - Type C Female 16 USB Connectors RoHS</t>
  </si>
  <si>
    <t>Standard Card Edge Connectors .050 Mini Edge Card Connector, Vertical</t>
  </si>
  <si>
    <t>Trans MOSFET N-CH Si 60V 0.3A 3-Pin SOT-23 T/R</t>
  </si>
  <si>
    <t>RES SMD 1M OHM 1% 1/16W 0402</t>
  </si>
  <si>
    <t>RES SMD 330K OHM 1% 1/16W 0402</t>
  </si>
  <si>
    <t>RES SMD 27 OHM 1% 1/16W 0402</t>
  </si>
  <si>
    <t>RES SMD 150 OHM 1% 1/16W 0402</t>
  </si>
  <si>
    <t>RES SMD 52.3K OHM 1% 1/16W 0402</t>
  </si>
  <si>
    <t>RES SMD 10K OHM 1% 1/16W 0402</t>
  </si>
  <si>
    <t>RES SMD 1K OHM 1% 1/16W 0402</t>
  </si>
  <si>
    <t>RES SMD 5.1K OHM 5% 1/16W 0402</t>
  </si>
  <si>
    <t>RES SMD 30 OHM 1% 1/16W 0402</t>
  </si>
  <si>
    <t>RES SMD 220 OHM 1% 1/16W 0402</t>
  </si>
  <si>
    <t>SWITCH TACTILE SSPST 50mA @ 12VDC</t>
  </si>
  <si>
    <t>6V 260mV @ 200mA(typ) - - Fixed 3.3V SOT-23-5 Linear Voltage Regulators (LDO) ROHS</t>
  </si>
  <si>
    <t>IC PWR SWITCH N-CHAN 1:1 SOT23-6</t>
  </si>
  <si>
    <t>QFN-56_7x7 MCU</t>
  </si>
  <si>
    <t>FLASH - NOR Memory IC 32Mb (4M x 8) SPI - Quad I/O 133 MHz 8-SOIC</t>
  </si>
  <si>
    <t>12MHz ±30ppm 12pF 50Ω SMD-5032_2P SMD Crystal Resonators RoHS</t>
  </si>
  <si>
    <t>Samsung</t>
  </si>
  <si>
    <t>Born Semiconductor</t>
  </si>
  <si>
    <t>Rohm</t>
  </si>
  <si>
    <t>TUOZHAN</t>
  </si>
  <si>
    <t>Nexperia</t>
  </si>
  <si>
    <t>TDK</t>
  </si>
  <si>
    <t>Korean Hroparts Elec</t>
  </si>
  <si>
    <t>Samtec</t>
  </si>
  <si>
    <t>Vishay</t>
  </si>
  <si>
    <t>Yageo</t>
  </si>
  <si>
    <t>USAKRO</t>
  </si>
  <si>
    <t>MICRONE(Nanjing Micro One Elec)</t>
  </si>
  <si>
    <t>Texas Instruments</t>
  </si>
  <si>
    <t>Raspberry Pi</t>
  </si>
  <si>
    <t>Winbond</t>
  </si>
  <si>
    <t>TXC</t>
  </si>
  <si>
    <t>CL05A105KP5NNNC</t>
  </si>
  <si>
    <t>CL05A475MP5NRNC</t>
  </si>
  <si>
    <t>CL05C330JB51PNC</t>
  </si>
  <si>
    <t>CL05C150JB5NNNC</t>
  </si>
  <si>
    <t>RCLAMP0521P-N</t>
  </si>
  <si>
    <t>RB161MM-20TR</t>
  </si>
  <si>
    <t>TZ-P4-1615RGBTCA1-0.55T</t>
  </si>
  <si>
    <t>BAT54S,235</t>
  </si>
  <si>
    <t>MPZ1608S102ATA00</t>
  </si>
  <si>
    <t>TYPE-C-31-M-12</t>
  </si>
  <si>
    <t>SHF-105-01-L-D-SM</t>
  </si>
  <si>
    <t>2N7002K-T1-GE3</t>
  </si>
  <si>
    <t>RC0402FR-071ML</t>
  </si>
  <si>
    <t>RC0402FR-07330KL</t>
  </si>
  <si>
    <t>RC0402FR-0727RL</t>
  </si>
  <si>
    <t>RC0402FR-07150RL</t>
  </si>
  <si>
    <t>RC0402FR-0752K3L</t>
  </si>
  <si>
    <t>RC0402FR-0710KL</t>
  </si>
  <si>
    <t>RC0402FR-071KL</t>
  </si>
  <si>
    <t>RC0402JR-075K1L</t>
  </si>
  <si>
    <t>RC0402FR-0730RL</t>
  </si>
  <si>
    <t>RC0402FR-07220RL</t>
  </si>
  <si>
    <t>UK-B0267-SP25Y</t>
  </si>
  <si>
    <t>ME6211C33M5G-N</t>
  </si>
  <si>
    <t>TPS2553DBVR</t>
  </si>
  <si>
    <t>RP2040</t>
  </si>
  <si>
    <t>W25Q32JVSSIQ</t>
  </si>
  <si>
    <t>7A12000053</t>
  </si>
  <si>
    <t>C1, C2, C7, C8, C9, C10, C11, C12, C13, C14, C15, C19</t>
  </si>
  <si>
    <t>C3, C4, C5</t>
  </si>
  <si>
    <t>C6</t>
  </si>
  <si>
    <t>C20, C21</t>
  </si>
  <si>
    <t>D1, D2, D5, D6, D8</t>
  </si>
  <si>
    <t>D3</t>
  </si>
  <si>
    <t>D4</t>
  </si>
  <si>
    <t>D7</t>
  </si>
  <si>
    <t>FB1</t>
  </si>
  <si>
    <t>J3</t>
  </si>
  <si>
    <t>J4</t>
  </si>
  <si>
    <t>Q2</t>
  </si>
  <si>
    <t>R1</t>
  </si>
  <si>
    <t>R2</t>
  </si>
  <si>
    <t>R3, R4</t>
  </si>
  <si>
    <t>R5, R13</t>
  </si>
  <si>
    <t>R6</t>
  </si>
  <si>
    <t>R7</t>
  </si>
  <si>
    <t>R8, R9</t>
  </si>
  <si>
    <t>R10, R15</t>
  </si>
  <si>
    <t>R11, R12</t>
  </si>
  <si>
    <t>R14</t>
  </si>
  <si>
    <t>SW1, SW2</t>
  </si>
  <si>
    <t>U1</t>
  </si>
  <si>
    <t>U2</t>
  </si>
  <si>
    <t>U3</t>
  </si>
  <si>
    <t>U4</t>
  </si>
  <si>
    <t>X1</t>
  </si>
  <si>
    <t>Supplier 1</t>
  </si>
  <si>
    <t>Digi-Key</t>
  </si>
  <si>
    <t>LCSC</t>
  </si>
  <si>
    <t>1276-1076-1-ND</t>
  </si>
  <si>
    <t>1276-1482-2-ND</t>
  </si>
  <si>
    <t>1276-6515-1-ND</t>
  </si>
  <si>
    <t>1276-1179-1-ND</t>
  </si>
  <si>
    <t>RB161MM-20TR-ND</t>
  </si>
  <si>
    <t>1727-1868-1-ND</t>
  </si>
  <si>
    <t>445-8694-1-ND</t>
  </si>
  <si>
    <t>2N7002K-T1-GE3CT-ND</t>
  </si>
  <si>
    <t>311-1.00MLRCT-ND</t>
  </si>
  <si>
    <t>311-330KLRCT-ND</t>
  </si>
  <si>
    <t>YAG3086CT-ND</t>
  </si>
  <si>
    <t>311-150LRCT-ND</t>
  </si>
  <si>
    <t>YAG3179CT-ND</t>
  </si>
  <si>
    <t>311-10.0KLRCT-ND</t>
  </si>
  <si>
    <t>311-1.00KLRDKR-ND</t>
  </si>
  <si>
    <t>311-5.1KJRCT-ND</t>
  </si>
  <si>
    <t>311-30LRCT-ND</t>
  </si>
  <si>
    <t>311-220LRCT-ND</t>
  </si>
  <si>
    <t>296-32464-1-ND</t>
  </si>
  <si>
    <t>W25Q32JVSSIQ-ND</t>
  </si>
  <si>
    <t>C90884</t>
  </si>
  <si>
    <t>Mouser</t>
  </si>
  <si>
    <t>Future Electronics</t>
  </si>
  <si>
    <t>RSComponents</t>
  </si>
  <si>
    <t>Farnell</t>
  </si>
  <si>
    <t>Newark</t>
  </si>
  <si>
    <t>187-CL05A105KP5NNNC</t>
  </si>
  <si>
    <t>2103694</t>
  </si>
  <si>
    <t>187-CL05C330JB51PNC</t>
  </si>
  <si>
    <t>187-CL05C150JB5NNNC</t>
  </si>
  <si>
    <t>1246775</t>
  </si>
  <si>
    <t>771-BAT54S235</t>
  </si>
  <si>
    <t>810-MPZ1608S102ATA00</t>
  </si>
  <si>
    <t>SAM10710-ND</t>
  </si>
  <si>
    <t>7879058P</t>
  </si>
  <si>
    <t>603-RC0402FR-071ML</t>
  </si>
  <si>
    <t>603-RC0402FR-07330KL</t>
  </si>
  <si>
    <t>9239049</t>
  </si>
  <si>
    <t>603-RC0402FR-07150RL</t>
  </si>
  <si>
    <t>603-RC0402FR-0752K3L</t>
  </si>
  <si>
    <t>603-RC0402FR-0710KL</t>
  </si>
  <si>
    <t>603-RC0402FR-071KL</t>
  </si>
  <si>
    <t>68R0016</t>
  </si>
  <si>
    <t>603-RC0402FR-0730RL</t>
  </si>
  <si>
    <t>603-RC0402FR-07220RL</t>
  </si>
  <si>
    <t>3124082</t>
  </si>
  <si>
    <t>3013329</t>
  </si>
  <si>
    <t>6022520</t>
  </si>
  <si>
    <t>755-RB161MM-20TR</t>
  </si>
  <si>
    <t>1707990</t>
  </si>
  <si>
    <t>1885915</t>
  </si>
  <si>
    <t>2421892</t>
  </si>
  <si>
    <t>9239537</t>
  </si>
  <si>
    <t>2577120</t>
  </si>
  <si>
    <t>2421893</t>
  </si>
  <si>
    <t>2363463</t>
  </si>
  <si>
    <t>2132441</t>
  </si>
  <si>
    <t>603-RC0402JR-075K1L</t>
  </si>
  <si>
    <t>1458775</t>
  </si>
  <si>
    <t>2147864</t>
  </si>
  <si>
    <t>595-TPS2553DBVR</t>
  </si>
  <si>
    <t>200-SHF10501LDSM</t>
  </si>
  <si>
    <t>3495714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</si>
</sst>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8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44551</v>
      </c>
      <c r="C8" s="25">
        <f ca="1">NOW()</f>
        <v>44551.788195752313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150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78</v>
      </c>
      <c r="C14" s="93" t="s">
        <v>94</v>
      </c>
      <c r="D14" s="42" t="s">
        <v>122</v>
      </c>
      <c r="E14" s="17">
        <v>12</v>
      </c>
      <c r="F14" s="75">
        <f>E14*$B$10</f>
        <v>12000</v>
      </c>
      <c r="G14"/>
      <c r="H14" s="81" t="str">
        <f>IF(INDEX($M14:$AB14,$K14-3)&lt;&gt;0, INDEX($M14:$AB14,$K14-3), "")</f>
        <v>Mouser</v>
      </c>
      <c r="I14" s="82" t="str">
        <f>IF(INDEX($M14:$AB14,$K14-2)&lt;&gt;0, INDEX($M14:$AB14,$K14-2), "")</f>
        <v>187-CL05A105KP5NNNC</v>
      </c>
      <c r="J14" s="83">
        <f>IF(INDEX($M14:$AB14,$K14-1)&lt;&gt;0, INDEX($M14:$AB14,$K14-1), "")</f>
        <v>0.007</v>
      </c>
      <c r="K14" s="82">
        <f>MATCH(MIN($P14,$T14,$X14,$AB14), $M14:$AB14,0)</f>
        <v>8</v>
      </c>
      <c r="L14" s="84">
        <f>IF(MIN($P14,$T14,$X14,$AB14)&lt;&gt;0,MIN($P14,$T14,$X14,$AB14),"")</f>
        <v>84</v>
      </c>
      <c r="M14" s="29" t="s">
        <v>151</v>
      </c>
      <c r="N14" s="17" t="s">
        <v>153</v>
      </c>
      <c r="O14" s="27">
        <v>0.00822</v>
      </c>
      <c r="P14" s="27">
        <v>98.64</v>
      </c>
      <c r="Q14" s="31" t="s">
        <v>174</v>
      </c>
      <c r="R14" s="17" t="s">
        <v>179</v>
      </c>
      <c r="S14" s="27">
        <v>0.007</v>
      </c>
      <c r="T14" s="27">
        <v>84</v>
      </c>
      <c r="U14" s="31" t="s">
        <v>177</v>
      </c>
      <c r="V14" s="17" t="s">
        <v>199</v>
      </c>
      <c r="W14" s="27">
        <v>0.01059</v>
      </c>
      <c r="X14" s="27">
        <v>127.08</v>
      </c>
      <c r="Y14" s="31"/>
      <c r="Z14" s="17"/>
      <c r="AA14" s="27"/>
      <c r="AB14" s="65"/>
    </row>
    <row r="15" spans="1:28" s="2" customFormat="1" ht="16.5" customHeight="1">
      <c r="A15" s="54" t="s">
        <v>51</v>
      </c>
      <c r="B15" s="11" t="s">
        <v>78</v>
      </c>
      <c r="C15" s="94" t="s">
        <v>95</v>
      </c>
      <c r="D15" s="43" t="s">
        <v>123</v>
      </c>
      <c r="E15" s="11">
        <v>3</v>
      </c>
      <c r="F15" s="76">
        <f t="shared" si="0" ref="F15:F41">E15*$B$10</f>
        <v>3000</v>
      </c>
      <c r="G15"/>
      <c r="H15" s="77" t="str">
        <f>IF(INDEX($M15:$AB15,$K15-3)&lt;&gt;0, INDEX($M15:$AB15,$K15-3), "")</f>
        <v>#N/A</v>
      </c>
      <c r="I15" s="78" t="str">
        <f>IF(INDEX($M15:$AB15,$K15-2)&lt;&gt;0, INDEX($M15:$AB15,$K15-2), "")</f>
        <v>#N/A</v>
      </c>
      <c r="J15" s="80" t="str">
        <f>IF(INDEX($M15:$AB15,$K15-1)&lt;&gt;0, INDEX($M15:$AB15,$K15-1), "")</f>
        <v>#N/A</v>
      </c>
      <c r="K15" s="78" t="str">
        <f>MATCH(MIN($P15,$T15,$X15,$AB15), $M15:$AB15,0)</f>
        <v>#N/A</v>
      </c>
      <c r="L15" s="79" t="str">
        <f>IF(MIN($P15,$T15,$X15,$AB15)&lt;&gt;0,MIN($P15,$T15,$X15,$AB15),"")</f>
        <v/>
      </c>
      <c r="M15" s="30" t="s">
        <v>151</v>
      </c>
      <c r="N15" s="11" t="s">
        <v>154</v>
      </c>
      <c r="O15" s="28"/>
      <c r="P15" s="28"/>
      <c r="Q15" s="32" t="s">
        <v>175</v>
      </c>
      <c r="R15" s="11" t="s">
        <v>180</v>
      </c>
      <c r="S15" s="28"/>
      <c r="T15" s="28"/>
      <c r="U15" s="32"/>
      <c r="V15" s="11"/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78</v>
      </c>
      <c r="C16" s="93" t="s">
        <v>96</v>
      </c>
      <c r="D16" s="42" t="s">
        <v>124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1276-6515-1-ND</v>
      </c>
      <c r="J16" s="83">
        <f>IF(INDEX($M16:$AB16,$K16-1)&lt;&gt;0, INDEX($M16:$AB16,$K16-1), "")</f>
        <v>0.01122</v>
      </c>
      <c r="K16" s="82">
        <f>MATCH(MIN($P16,$T16,$X16,$AB16), $M16:$AB16,0)</f>
        <v>4</v>
      </c>
      <c r="L16" s="84">
        <f>IF(MIN($P16,$T16,$X16,$AB16)&lt;&gt;0,MIN($P16,$T16,$X16,$AB16),"")</f>
        <v>11.22</v>
      </c>
      <c r="M16" s="29" t="s">
        <v>151</v>
      </c>
      <c r="N16" s="17" t="s">
        <v>155</v>
      </c>
      <c r="O16" s="27">
        <v>0.01122</v>
      </c>
      <c r="P16" s="27">
        <v>11.22</v>
      </c>
      <c r="Q16" s="31" t="s">
        <v>174</v>
      </c>
      <c r="R16" s="17" t="s">
        <v>181</v>
      </c>
      <c r="S16" s="27">
        <v>0.013</v>
      </c>
      <c r="T16" s="27">
        <v>13</v>
      </c>
      <c r="U16" s="31" t="s">
        <v>175</v>
      </c>
      <c r="V16" s="17" t="s">
        <v>200</v>
      </c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78</v>
      </c>
      <c r="C17" s="94" t="s">
        <v>97</v>
      </c>
      <c r="D17" s="43" t="s">
        <v>125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Digi-Key</v>
      </c>
      <c r="I17" s="78" t="str">
        <f>IF(INDEX($M17:$AB17,$K17-2)&lt;&gt;0, INDEX($M17:$AB17,$K17-2), "")</f>
        <v>1276-1179-1-ND</v>
      </c>
      <c r="J17" s="80">
        <f>IF(INDEX($M17:$AB17,$K17-1)&lt;&gt;0, INDEX($M17:$AB17,$K17-1), "")</f>
        <v>0.00711</v>
      </c>
      <c r="K17" s="78">
        <f>MATCH(MIN($P17,$T17,$X17,$AB17), $M17:$AB17,0)</f>
        <v>4</v>
      </c>
      <c r="L17" s="79">
        <f>IF(MIN($P17,$T17,$X17,$AB17)&lt;&gt;0,MIN($P17,$T17,$X17,$AB17),"")</f>
        <v>14.22</v>
      </c>
      <c r="M17" s="30" t="s">
        <v>151</v>
      </c>
      <c r="N17" s="11" t="s">
        <v>156</v>
      </c>
      <c r="O17" s="28">
        <v>0.00711</v>
      </c>
      <c r="P17" s="28">
        <v>14.22</v>
      </c>
      <c r="Q17" s="32" t="s">
        <v>174</v>
      </c>
      <c r="R17" s="11" t="s">
        <v>182</v>
      </c>
      <c r="S17" s="28">
        <v>0.008</v>
      </c>
      <c r="T17" s="28">
        <v>16</v>
      </c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79</v>
      </c>
      <c r="C18" s="93" t="s">
        <v>98</v>
      </c>
      <c r="D18" s="42" t="s">
        <v>126</v>
      </c>
      <c r="E18" s="17">
        <v>5</v>
      </c>
      <c r="F18" s="75">
        <f>E18*$B$10</f>
        <v>5000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80</v>
      </c>
      <c r="C19" s="94" t="s">
        <v>99</v>
      </c>
      <c r="D19" s="43" t="s">
        <v>127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RSComponents</v>
      </c>
      <c r="I19" s="78" t="str">
        <f>IF(INDEX($M19:$AB19,$K19-2)&lt;&gt;0, INDEX($M19:$AB19,$K19-2), "")</f>
        <v>1246775</v>
      </c>
      <c r="J19" s="80">
        <f>IF(INDEX($M19:$AB19,$K19-1)&lt;&gt;0, INDEX($M19:$AB19,$K19-1), "")</f>
        <v>0.11</v>
      </c>
      <c r="K19" s="78">
        <f>MATCH(MIN($P19,$T19,$X19,$AB19), $M19:$AB19,0)</f>
        <v>8</v>
      </c>
      <c r="L19" s="79">
        <f>IF(MIN($P19,$T19,$X19,$AB19)&lt;&gt;0,MIN($P19,$T19,$X19,$AB19),"")</f>
        <v>110</v>
      </c>
      <c r="M19" s="30" t="s">
        <v>151</v>
      </c>
      <c r="N19" s="11" t="s">
        <v>157</v>
      </c>
      <c r="O19" s="28">
        <v>0.125</v>
      </c>
      <c r="P19" s="28">
        <v>125</v>
      </c>
      <c r="Q19" s="32" t="s">
        <v>176</v>
      </c>
      <c r="R19" s="11" t="s">
        <v>183</v>
      </c>
      <c r="S19" s="28">
        <v>0.11</v>
      </c>
      <c r="T19" s="28">
        <v>110</v>
      </c>
      <c r="U19" s="32" t="s">
        <v>174</v>
      </c>
      <c r="V19" s="11" t="s">
        <v>201</v>
      </c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81</v>
      </c>
      <c r="C20" s="93" t="s">
        <v>100</v>
      </c>
      <c r="D20" s="42" t="s">
        <v>128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 t="s">
        <v>152</v>
      </c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82</v>
      </c>
      <c r="C21" s="94" t="s">
        <v>101</v>
      </c>
      <c r="D21" s="43" t="s">
        <v>129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771-BAT54S235</v>
      </c>
      <c r="J21" s="80">
        <f>IF(INDEX($M21:$AB21,$K21-1)&lt;&gt;0, INDEX($M21:$AB21,$K21-1), "")</f>
        <v>0.03135</v>
      </c>
      <c r="K21" s="78">
        <f>MATCH(MIN($P21,$T21,$X21,$AB21), $M21:$AB21,0)</f>
        <v>8</v>
      </c>
      <c r="L21" s="79">
        <f>IF(MIN($P21,$T21,$X21,$AB21)&lt;&gt;0,MIN($P21,$T21,$X21,$AB21),"")</f>
        <v>31.35</v>
      </c>
      <c r="M21" s="30" t="s">
        <v>151</v>
      </c>
      <c r="N21" s="11" t="s">
        <v>158</v>
      </c>
      <c r="O21" s="28"/>
      <c r="P21" s="28"/>
      <c r="Q21" s="32" t="s">
        <v>174</v>
      </c>
      <c r="R21" s="11" t="s">
        <v>184</v>
      </c>
      <c r="S21" s="28">
        <v>0.03135</v>
      </c>
      <c r="T21" s="28">
        <v>31.35</v>
      </c>
      <c r="U21" s="32" t="s">
        <v>176</v>
      </c>
      <c r="V21" s="11" t="s">
        <v>202</v>
      </c>
      <c r="W21" s="28">
        <v>0.037</v>
      </c>
      <c r="X21" s="28">
        <v>37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83</v>
      </c>
      <c r="C22" s="93" t="s">
        <v>102</v>
      </c>
      <c r="D22" s="42" t="s">
        <v>130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Digi-Key</v>
      </c>
      <c r="I22" s="82" t="str">
        <f>IF(INDEX($M22:$AB22,$K22-2)&lt;&gt;0, INDEX($M22:$AB22,$K22-2), "")</f>
        <v>445-8694-1-ND</v>
      </c>
      <c r="J22" s="83">
        <f>IF(INDEX($M22:$AB22,$K22-1)&lt;&gt;0, INDEX($M22:$AB22,$K22-1), "")</f>
        <v>0.02717</v>
      </c>
      <c r="K22" s="82">
        <f>MATCH(MIN($P22,$T22,$X22,$AB22), $M22:$AB22,0)</f>
        <v>4</v>
      </c>
      <c r="L22" s="84">
        <f>IF(MIN($P22,$T22,$X22,$AB22)&lt;&gt;0,MIN($P22,$T22,$X22,$AB22),"")</f>
        <v>27.17</v>
      </c>
      <c r="M22" s="29" t="s">
        <v>151</v>
      </c>
      <c r="N22" s="17" t="s">
        <v>159</v>
      </c>
      <c r="O22" s="27">
        <v>0.02717</v>
      </c>
      <c r="P22" s="27">
        <v>27.17</v>
      </c>
      <c r="Q22" s="31" t="s">
        <v>174</v>
      </c>
      <c r="R22" s="17" t="s">
        <v>185</v>
      </c>
      <c r="S22" s="27">
        <v>0.028</v>
      </c>
      <c r="T22" s="27">
        <v>28</v>
      </c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84</v>
      </c>
      <c r="C23" s="94" t="s">
        <v>103</v>
      </c>
      <c r="D23" s="43" t="s">
        <v>131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 t="s">
        <v>152</v>
      </c>
      <c r="N23" s="11"/>
      <c r="O23" s="28"/>
      <c r="P23" s="28"/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85</v>
      </c>
      <c r="C24" s="93" t="s">
        <v>104</v>
      </c>
      <c r="D24" s="42" t="s">
        <v>132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Samtec</v>
      </c>
      <c r="I24" s="82" t="str">
        <f>IF(INDEX($M24:$AB24,$K24-2)&lt;&gt;0, INDEX($M24:$AB24,$K24-2), "")</f>
        <v>SHF-105-01-L-D-SM</v>
      </c>
      <c r="J24" s="83">
        <f>IF(INDEX($M24:$AB24,$K24-1)&lt;&gt;0, INDEX($M24:$AB24,$K24-1), "")</f>
        <v>1.76</v>
      </c>
      <c r="K24" s="82">
        <f>MATCH(MIN($P24,$T24,$X24,$AB24), $M24:$AB24,0)</f>
        <v>4</v>
      </c>
      <c r="L24" s="84">
        <f>IF(MIN($P24,$T24,$X24,$AB24)&lt;&gt;0,MIN($P24,$T24,$X24,$AB24),"")</f>
        <v>1760.61</v>
      </c>
      <c r="M24" s="29" t="s">
        <v>85</v>
      </c>
      <c r="N24" s="17" t="s">
        <v>104</v>
      </c>
      <c r="O24" s="27">
        <v>1.76</v>
      </c>
      <c r="P24" s="27">
        <v>1760.61</v>
      </c>
      <c r="Q24" s="31" t="s">
        <v>151</v>
      </c>
      <c r="R24" s="17" t="s">
        <v>186</v>
      </c>
      <c r="S24" s="27">
        <v>2.4</v>
      </c>
      <c r="T24" s="27">
        <v>2400</v>
      </c>
      <c r="U24" s="31" t="s">
        <v>177</v>
      </c>
      <c r="V24" s="17" t="s">
        <v>203</v>
      </c>
      <c r="W24" s="27">
        <v>2.14</v>
      </c>
      <c r="X24" s="27">
        <v>2140</v>
      </c>
      <c r="Y24" s="31" t="s">
        <v>174</v>
      </c>
      <c r="Z24" s="17" t="s">
        <v>214</v>
      </c>
      <c r="AA24" s="27">
        <v>2.53</v>
      </c>
      <c r="AB24" s="65">
        <v>2527.35</v>
      </c>
    </row>
    <row r="25" spans="1:28" s="2" customFormat="1" ht="16.5" customHeight="1">
      <c r="A25" s="54" t="s">
        <v>61</v>
      </c>
      <c r="B25" s="11" t="s">
        <v>86</v>
      </c>
      <c r="C25" s="94" t="s">
        <v>105</v>
      </c>
      <c r="D25" s="43" t="s">
        <v>133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Digi-Key</v>
      </c>
      <c r="I25" s="78" t="str">
        <f>IF(INDEX($M25:$AB25,$K25-2)&lt;&gt;0, INDEX($M25:$AB25,$K25-2), "")</f>
        <v>2N7002K-T1-GE3CT-ND</v>
      </c>
      <c r="J25" s="80">
        <f>IF(INDEX($M25:$AB25,$K25-1)&lt;&gt;0, INDEX($M25:$AB25,$K25-1), "")</f>
        <v>0.05442</v>
      </c>
      <c r="K25" s="78">
        <f>MATCH(MIN($P25,$T25,$X25,$AB25), $M25:$AB25,0)</f>
        <v>4</v>
      </c>
      <c r="L25" s="79">
        <f>IF(MIN($P25,$T25,$X25,$AB25)&lt;&gt;0,MIN($P25,$T25,$X25,$AB25),"")</f>
        <v>54.42</v>
      </c>
      <c r="M25" s="30" t="s">
        <v>151</v>
      </c>
      <c r="N25" s="11" t="s">
        <v>160</v>
      </c>
      <c r="O25" s="28">
        <v>0.05442</v>
      </c>
      <c r="P25" s="28">
        <v>54.42</v>
      </c>
      <c r="Q25" s="32" t="s">
        <v>176</v>
      </c>
      <c r="R25" s="11" t="s">
        <v>187</v>
      </c>
      <c r="S25" s="28">
        <v>0.135</v>
      </c>
      <c r="T25" s="28">
        <v>135</v>
      </c>
      <c r="U25" s="32"/>
      <c r="V25" s="11"/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62</v>
      </c>
      <c r="B26" s="17" t="s">
        <v>87</v>
      </c>
      <c r="C26" s="93" t="s">
        <v>106</v>
      </c>
      <c r="D26" s="42" t="s">
        <v>134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603-RC0402FR-071ML</v>
      </c>
      <c r="J26" s="83">
        <f>IF(INDEX($M26:$AB26,$K26-1)&lt;&gt;0, INDEX($M26:$AB26,$K26-1), "")</f>
        <v>0.00299</v>
      </c>
      <c r="K26" s="82">
        <f>MATCH(MIN($P26,$T26,$X26,$AB26), $M26:$AB26,0)</f>
        <v>8</v>
      </c>
      <c r="L26" s="84">
        <f>IF(MIN($P26,$T26,$X26,$AB26)&lt;&gt;0,MIN($P26,$T26,$X26,$AB26),"")</f>
        <v>2.99</v>
      </c>
      <c r="M26" s="29" t="s">
        <v>151</v>
      </c>
      <c r="N26" s="17" t="s">
        <v>161</v>
      </c>
      <c r="O26" s="27"/>
      <c r="P26" s="27"/>
      <c r="Q26" s="31" t="s">
        <v>174</v>
      </c>
      <c r="R26" s="17" t="s">
        <v>188</v>
      </c>
      <c r="S26" s="27">
        <v>0.00299</v>
      </c>
      <c r="T26" s="27">
        <v>2.99</v>
      </c>
      <c r="U26" s="31" t="s">
        <v>177</v>
      </c>
      <c r="V26" s="17" t="s">
        <v>204</v>
      </c>
      <c r="W26" s="27">
        <v>0.003</v>
      </c>
      <c r="X26" s="27">
        <v>3</v>
      </c>
      <c r="Y26" s="31"/>
      <c r="Z26" s="17"/>
      <c r="AA26" s="27"/>
      <c r="AB26" s="65"/>
    </row>
    <row r="27" spans="1:28" s="2" customFormat="1" ht="16.5" customHeight="1">
      <c r="A27" s="54" t="s">
        <v>63</v>
      </c>
      <c r="B27" s="11" t="s">
        <v>87</v>
      </c>
      <c r="C27" s="94" t="s">
        <v>107</v>
      </c>
      <c r="D27" s="43" t="s">
        <v>135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Digi-Key</v>
      </c>
      <c r="I27" s="78" t="str">
        <f>IF(INDEX($M27:$AB27,$K27-2)&lt;&gt;0, INDEX($M27:$AB27,$K27-2), "")</f>
        <v>311-330KLRCT-ND</v>
      </c>
      <c r="J27" s="80">
        <f>IF(INDEX($M27:$AB27,$K27-1)&lt;&gt;0, INDEX($M27:$AB27,$K27-1), "")</f>
        <v>0.00299</v>
      </c>
      <c r="K27" s="78">
        <f>MATCH(MIN($P27,$T27,$X27,$AB27), $M27:$AB27,0)</f>
        <v>4</v>
      </c>
      <c r="L27" s="79">
        <f>IF(MIN($P27,$T27,$X27,$AB27)&lt;&gt;0,MIN($P27,$T27,$X27,$AB27),"")</f>
        <v>2.99</v>
      </c>
      <c r="M27" s="30" t="s">
        <v>151</v>
      </c>
      <c r="N27" s="11" t="s">
        <v>162</v>
      </c>
      <c r="O27" s="28">
        <v>0.00299</v>
      </c>
      <c r="P27" s="28">
        <v>2.99</v>
      </c>
      <c r="Q27" s="32" t="s">
        <v>174</v>
      </c>
      <c r="R27" s="11" t="s">
        <v>189</v>
      </c>
      <c r="S27" s="28">
        <v>0.003</v>
      </c>
      <c r="T27" s="28">
        <v>3</v>
      </c>
      <c r="U27" s="32" t="s">
        <v>177</v>
      </c>
      <c r="V27" s="11" t="s">
        <v>205</v>
      </c>
      <c r="W27" s="28">
        <v>0.00397</v>
      </c>
      <c r="X27" s="28">
        <v>3.97</v>
      </c>
      <c r="Y27" s="32"/>
      <c r="Z27" s="11"/>
      <c r="AA27" s="28"/>
      <c r="AB27" s="66"/>
    </row>
    <row r="28" spans="1:28" s="2" customFormat="1" ht="16.5" customHeight="1">
      <c r="A28" s="53" t="s">
        <v>64</v>
      </c>
      <c r="B28" s="17" t="s">
        <v>87</v>
      </c>
      <c r="C28" s="93" t="s">
        <v>108</v>
      </c>
      <c r="D28" s="42" t="s">
        <v>136</v>
      </c>
      <c r="E28" s="17">
        <v>2</v>
      </c>
      <c r="F28" s="75">
        <f>E28*$B$10</f>
        <v>2000</v>
      </c>
      <c r="G28"/>
      <c r="H28" s="81" t="str">
        <f>IF(INDEX($M28:$AB28,$K28-3)&lt;&gt;0, INDEX($M28:$AB28,$K28-3), "")</f>
        <v>Future Electronics</v>
      </c>
      <c r="I28" s="82" t="str">
        <f>IF(INDEX($M28:$AB28,$K28-2)&lt;&gt;0, INDEX($M28:$AB28,$K28-2), "")</f>
        <v>2577120</v>
      </c>
      <c r="J28" s="83">
        <f>IF(INDEX($M28:$AB28,$K28-1)&lt;&gt;0, INDEX($M28:$AB28,$K28-1), "")</f>
        <v>0.00299</v>
      </c>
      <c r="K28" s="82">
        <f>MATCH(MIN($P28,$T28,$X28,$AB28), $M28:$AB28,0)</f>
        <v>12</v>
      </c>
      <c r="L28" s="84">
        <f>IF(MIN($P28,$T28,$X28,$AB28)&lt;&gt;0,MIN($P28,$T28,$X28,$AB28),"")</f>
        <v>5.98</v>
      </c>
      <c r="M28" s="29" t="s">
        <v>151</v>
      </c>
      <c r="N28" s="17" t="s">
        <v>163</v>
      </c>
      <c r="O28" s="27"/>
      <c r="P28" s="27"/>
      <c r="Q28" s="31" t="s">
        <v>177</v>
      </c>
      <c r="R28" s="17" t="s">
        <v>190</v>
      </c>
      <c r="S28" s="27">
        <v>0.00397</v>
      </c>
      <c r="T28" s="27">
        <v>7.94</v>
      </c>
      <c r="U28" s="31" t="s">
        <v>175</v>
      </c>
      <c r="V28" s="17" t="s">
        <v>206</v>
      </c>
      <c r="W28" s="27">
        <v>0.00299</v>
      </c>
      <c r="X28" s="27">
        <v>5.98</v>
      </c>
      <c r="Y28" s="31"/>
      <c r="Z28" s="17"/>
      <c r="AA28" s="27"/>
      <c r="AB28" s="65"/>
    </row>
    <row r="29" spans="1:28" s="2" customFormat="1" ht="16.5" customHeight="1">
      <c r="A29" s="54" t="s">
        <v>65</v>
      </c>
      <c r="B29" s="11" t="s">
        <v>87</v>
      </c>
      <c r="C29" s="94" t="s">
        <v>109</v>
      </c>
      <c r="D29" s="43" t="s">
        <v>137</v>
      </c>
      <c r="E29" s="11">
        <v>2</v>
      </c>
      <c r="F29" s="76">
        <f>E29*$B$10</f>
        <v>2000</v>
      </c>
      <c r="G29"/>
      <c r="H29" s="77" t="str">
        <f>IF(INDEX($M29:$AB29,$K29-3)&lt;&gt;0, INDEX($M29:$AB29,$K29-3), "")</f>
        <v>Mouser</v>
      </c>
      <c r="I29" s="78" t="str">
        <f>IF(INDEX($M29:$AB29,$K29-2)&lt;&gt;0, INDEX($M29:$AB29,$K29-2), "")</f>
        <v>603-RC0402FR-07150RL</v>
      </c>
      <c r="J29" s="80">
        <f>IF(INDEX($M29:$AB29,$K29-1)&lt;&gt;0, INDEX($M29:$AB29,$K29-1), "")</f>
        <v>0.00299</v>
      </c>
      <c r="K29" s="78">
        <f>MATCH(MIN($P29,$T29,$X29,$AB29), $M29:$AB29,0)</f>
        <v>8</v>
      </c>
      <c r="L29" s="79">
        <f>IF(MIN($P29,$T29,$X29,$AB29)&lt;&gt;0,MIN($P29,$T29,$X29,$AB29),"")</f>
        <v>5.98</v>
      </c>
      <c r="M29" s="30" t="s">
        <v>151</v>
      </c>
      <c r="N29" s="11" t="s">
        <v>164</v>
      </c>
      <c r="O29" s="28"/>
      <c r="P29" s="28"/>
      <c r="Q29" s="32" t="s">
        <v>174</v>
      </c>
      <c r="R29" s="11" t="s">
        <v>191</v>
      </c>
      <c r="S29" s="28">
        <v>0.00299</v>
      </c>
      <c r="T29" s="28">
        <v>5.98</v>
      </c>
      <c r="U29" s="32" t="s">
        <v>177</v>
      </c>
      <c r="V29" s="11" t="s">
        <v>207</v>
      </c>
      <c r="W29" s="28">
        <v>0.003</v>
      </c>
      <c r="X29" s="28">
        <v>6</v>
      </c>
      <c r="Y29" s="32"/>
      <c r="Z29" s="11"/>
      <c r="AA29" s="28"/>
      <c r="AB29" s="66"/>
    </row>
    <row r="30" spans="1:28" s="2" customFormat="1" ht="16.5" customHeight="1">
      <c r="A30" s="53" t="s">
        <v>66</v>
      </c>
      <c r="B30" s="17" t="s">
        <v>87</v>
      </c>
      <c r="C30" s="93" t="s">
        <v>110</v>
      </c>
      <c r="D30" s="42" t="s">
        <v>138</v>
      </c>
      <c r="E30" s="17">
        <v>1</v>
      </c>
      <c r="F30" s="75">
        <f>E30*$B$10</f>
        <v>1000</v>
      </c>
      <c r="G30"/>
      <c r="H30" s="81" t="str">
        <f>IF(INDEX($M30:$AB30,$K30-3)&lt;&gt;0, INDEX($M30:$AB30,$K30-3), "")</f>
        <v>Mouser</v>
      </c>
      <c r="I30" s="82" t="str">
        <f>IF(INDEX($M30:$AB30,$K30-2)&lt;&gt;0, INDEX($M30:$AB30,$K30-2), "")</f>
        <v>603-RC0402FR-0752K3L</v>
      </c>
      <c r="J30" s="83">
        <f>IF(INDEX($M30:$AB30,$K30-1)&lt;&gt;0, INDEX($M30:$AB30,$K30-1), "")</f>
        <v>0.00299</v>
      </c>
      <c r="K30" s="82">
        <f>MATCH(MIN($P30,$T30,$X30,$AB30), $M30:$AB30,0)</f>
        <v>8</v>
      </c>
      <c r="L30" s="84">
        <f>IF(MIN($P30,$T30,$X30,$AB30)&lt;&gt;0,MIN($P30,$T30,$X30,$AB30),"")</f>
        <v>2.99</v>
      </c>
      <c r="M30" s="29" t="s">
        <v>151</v>
      </c>
      <c r="N30" s="17" t="s">
        <v>165</v>
      </c>
      <c r="O30" s="27">
        <v>0.003</v>
      </c>
      <c r="P30" s="27">
        <v>3</v>
      </c>
      <c r="Q30" s="31" t="s">
        <v>174</v>
      </c>
      <c r="R30" s="17" t="s">
        <v>192</v>
      </c>
      <c r="S30" s="27">
        <v>0.00299</v>
      </c>
      <c r="T30" s="27">
        <v>2.99</v>
      </c>
      <c r="U30" s="31"/>
      <c r="V30" s="17"/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67</v>
      </c>
      <c r="B31" s="11" t="s">
        <v>87</v>
      </c>
      <c r="C31" s="94" t="s">
        <v>111</v>
      </c>
      <c r="D31" s="43" t="s">
        <v>139</v>
      </c>
      <c r="E31" s="11">
        <v>1</v>
      </c>
      <c r="F31" s="76">
        <f>E31*$B$10</f>
        <v>1000</v>
      </c>
      <c r="G31"/>
      <c r="H31" s="77" t="str">
        <f>IF(INDEX($M31:$AB31,$K31-3)&lt;&gt;0, INDEX($M31:$AB31,$K31-3), "")</f>
        <v>Mouser</v>
      </c>
      <c r="I31" s="78" t="str">
        <f>IF(INDEX($M31:$AB31,$K31-2)&lt;&gt;0, INDEX($M31:$AB31,$K31-2), "")</f>
        <v>603-RC0402FR-0710KL</v>
      </c>
      <c r="J31" s="80">
        <f>IF(INDEX($M31:$AB31,$K31-1)&lt;&gt;0, INDEX($M31:$AB31,$K31-1), "")</f>
        <v>0.00299</v>
      </c>
      <c r="K31" s="78">
        <f>MATCH(MIN($P31,$T31,$X31,$AB31), $M31:$AB31,0)</f>
        <v>8</v>
      </c>
      <c r="L31" s="79">
        <f>IF(MIN($P31,$T31,$X31,$AB31)&lt;&gt;0,MIN($P31,$T31,$X31,$AB31),"")</f>
        <v>2.99</v>
      </c>
      <c r="M31" s="30" t="s">
        <v>151</v>
      </c>
      <c r="N31" s="11" t="s">
        <v>166</v>
      </c>
      <c r="O31" s="28"/>
      <c r="P31" s="28"/>
      <c r="Q31" s="32" t="s">
        <v>174</v>
      </c>
      <c r="R31" s="11" t="s">
        <v>193</v>
      </c>
      <c r="S31" s="28">
        <v>0.00299</v>
      </c>
      <c r="T31" s="28">
        <v>2.99</v>
      </c>
      <c r="U31" s="32" t="s">
        <v>177</v>
      </c>
      <c r="V31" s="11" t="s">
        <v>208</v>
      </c>
      <c r="W31" s="28">
        <v>0.003</v>
      </c>
      <c r="X31" s="28">
        <v>3</v>
      </c>
      <c r="Y31" s="32"/>
      <c r="Z31" s="11"/>
      <c r="AA31" s="28"/>
      <c r="AB31" s="66"/>
    </row>
    <row r="32" spans="1:28" s="2" customFormat="1" ht="16.5" customHeight="1">
      <c r="A32" s="53" t="s">
        <v>68</v>
      </c>
      <c r="B32" s="17" t="s">
        <v>87</v>
      </c>
      <c r="C32" s="93" t="s">
        <v>112</v>
      </c>
      <c r="D32" s="42" t="s">
        <v>140</v>
      </c>
      <c r="E32" s="17">
        <v>2</v>
      </c>
      <c r="F32" s="75">
        <f>E32*$B$10</f>
        <v>2000</v>
      </c>
      <c r="G32"/>
      <c r="H32" s="81" t="str">
        <f>IF(INDEX($M32:$AB32,$K32-3)&lt;&gt;0, INDEX($M32:$AB32,$K32-3), "")</f>
        <v>Mouser</v>
      </c>
      <c r="I32" s="82" t="str">
        <f>IF(INDEX($M32:$AB32,$K32-2)&lt;&gt;0, INDEX($M32:$AB32,$K32-2), "")</f>
        <v>603-RC0402FR-071KL</v>
      </c>
      <c r="J32" s="83">
        <f>IF(INDEX($M32:$AB32,$K32-1)&lt;&gt;0, INDEX($M32:$AB32,$K32-1), "")</f>
        <v>0.00299</v>
      </c>
      <c r="K32" s="82">
        <f>MATCH(MIN($P32,$T32,$X32,$AB32), $M32:$AB32,0)</f>
        <v>8</v>
      </c>
      <c r="L32" s="84">
        <f>IF(MIN($P32,$T32,$X32,$AB32)&lt;&gt;0,MIN($P32,$T32,$X32,$AB32),"")</f>
        <v>5.98</v>
      </c>
      <c r="M32" s="29" t="s">
        <v>151</v>
      </c>
      <c r="N32" s="17" t="s">
        <v>167</v>
      </c>
      <c r="O32" s="27"/>
      <c r="P32" s="27"/>
      <c r="Q32" s="31" t="s">
        <v>174</v>
      </c>
      <c r="R32" s="17" t="s">
        <v>194</v>
      </c>
      <c r="S32" s="27">
        <v>0.00299</v>
      </c>
      <c r="T32" s="27">
        <v>5.98</v>
      </c>
      <c r="U32" s="31" t="s">
        <v>177</v>
      </c>
      <c r="V32" s="17" t="s">
        <v>209</v>
      </c>
      <c r="W32" s="27">
        <v>0.003</v>
      </c>
      <c r="X32" s="27">
        <v>6</v>
      </c>
      <c r="Y32" s="31"/>
      <c r="Z32" s="17"/>
      <c r="AA32" s="27"/>
      <c r="AB32" s="65"/>
    </row>
    <row r="33" spans="1:28" s="2" customFormat="1" ht="16.5" customHeight="1">
      <c r="A33" s="54" t="s">
        <v>69</v>
      </c>
      <c r="B33" s="11" t="s">
        <v>87</v>
      </c>
      <c r="C33" s="94" t="s">
        <v>113</v>
      </c>
      <c r="D33" s="43" t="s">
        <v>141</v>
      </c>
      <c r="E33" s="11">
        <v>2</v>
      </c>
      <c r="F33" s="76">
        <f>E33*$B$10</f>
        <v>2000</v>
      </c>
      <c r="G33"/>
      <c r="H33" s="77" t="str">
        <f>IF(INDEX($M33:$AB33,$K33-3)&lt;&gt;0, INDEX($M33:$AB33,$K33-3), "")</f>
        <v>Newark</v>
      </c>
      <c r="I33" s="78" t="str">
        <f>IF(INDEX($M33:$AB33,$K33-2)&lt;&gt;0, INDEX($M33:$AB33,$K33-2), "")</f>
        <v>68R0016</v>
      </c>
      <c r="J33" s="80">
        <f>IF(INDEX($M33:$AB33,$K33-1)&lt;&gt;0, INDEX($M33:$AB33,$K33-1), "")</f>
        <v>0.00244</v>
      </c>
      <c r="K33" s="78">
        <f>MATCH(MIN($P33,$T33,$X33,$AB33), $M33:$AB33,0)</f>
        <v>8</v>
      </c>
      <c r="L33" s="79">
        <f>IF(MIN($P33,$T33,$X33,$AB33)&lt;&gt;0,MIN($P33,$T33,$X33,$AB33),"")</f>
        <v>4.88</v>
      </c>
      <c r="M33" s="30" t="s">
        <v>151</v>
      </c>
      <c r="N33" s="11" t="s">
        <v>168</v>
      </c>
      <c r="O33" s="28"/>
      <c r="P33" s="28"/>
      <c r="Q33" s="32" t="s">
        <v>178</v>
      </c>
      <c r="R33" s="11" t="s">
        <v>195</v>
      </c>
      <c r="S33" s="28">
        <v>0.00244</v>
      </c>
      <c r="T33" s="28">
        <v>4.88</v>
      </c>
      <c r="U33" s="32" t="s">
        <v>174</v>
      </c>
      <c r="V33" s="11" t="s">
        <v>210</v>
      </c>
      <c r="W33" s="28">
        <v>0.00397</v>
      </c>
      <c r="X33" s="28">
        <v>7.94</v>
      </c>
      <c r="Y33" s="32" t="s">
        <v>177</v>
      </c>
      <c r="Z33" s="11" t="s">
        <v>215</v>
      </c>
      <c r="AA33" s="28">
        <v>0.003</v>
      </c>
      <c r="AB33" s="66">
        <v>6</v>
      </c>
    </row>
    <row r="34" spans="1:28" s="2" customFormat="1" ht="16.5" customHeight="1">
      <c r="A34" s="53" t="s">
        <v>70</v>
      </c>
      <c r="B34" s="17" t="s">
        <v>87</v>
      </c>
      <c r="C34" s="93" t="s">
        <v>114</v>
      </c>
      <c r="D34" s="42" t="s">
        <v>142</v>
      </c>
      <c r="E34" s="17">
        <v>2</v>
      </c>
      <c r="F34" s="75">
        <f>E34*$B$10</f>
        <v>2000</v>
      </c>
      <c r="G34"/>
      <c r="H34" s="81" t="str">
        <f>IF(INDEX($M34:$AB34,$K34-3)&lt;&gt;0, INDEX($M34:$AB34,$K34-3), "")</f>
        <v>Mouser</v>
      </c>
      <c r="I34" s="82" t="str">
        <f>IF(INDEX($M34:$AB34,$K34-2)&lt;&gt;0, INDEX($M34:$AB34,$K34-2), "")</f>
        <v>603-RC0402FR-0730RL</v>
      </c>
      <c r="J34" s="83">
        <f>IF(INDEX($M34:$AB34,$K34-1)&lt;&gt;0, INDEX($M34:$AB34,$K34-1), "")</f>
        <v>0.00299</v>
      </c>
      <c r="K34" s="82">
        <f>MATCH(MIN($P34,$T34,$X34,$AB34), $M34:$AB34,0)</f>
        <v>8</v>
      </c>
      <c r="L34" s="84">
        <f>IF(MIN($P34,$T34,$X34,$AB34)&lt;&gt;0,MIN($P34,$T34,$X34,$AB34),"")</f>
        <v>5.98</v>
      </c>
      <c r="M34" s="29" t="s">
        <v>151</v>
      </c>
      <c r="N34" s="17" t="s">
        <v>169</v>
      </c>
      <c r="O34" s="27">
        <v>0.00397</v>
      </c>
      <c r="P34" s="27">
        <v>7.94</v>
      </c>
      <c r="Q34" s="31" t="s">
        <v>174</v>
      </c>
      <c r="R34" s="17" t="s">
        <v>196</v>
      </c>
      <c r="S34" s="27">
        <v>0.00299</v>
      </c>
      <c r="T34" s="27">
        <v>5.98</v>
      </c>
      <c r="U34" s="31" t="s">
        <v>177</v>
      </c>
      <c r="V34" s="17" t="s">
        <v>211</v>
      </c>
      <c r="W34" s="27">
        <v>0.003</v>
      </c>
      <c r="X34" s="27">
        <v>6</v>
      </c>
      <c r="Y34" s="31"/>
      <c r="Z34" s="17"/>
      <c r="AA34" s="27"/>
      <c r="AB34" s="65"/>
    </row>
    <row r="35" spans="1:28" s="2" customFormat="1" ht="16.5" customHeight="1">
      <c r="A35" s="54" t="s">
        <v>71</v>
      </c>
      <c r="B35" s="11" t="s">
        <v>87</v>
      </c>
      <c r="C35" s="94" t="s">
        <v>115</v>
      </c>
      <c r="D35" s="43" t="s">
        <v>143</v>
      </c>
      <c r="E35" s="11">
        <v>1</v>
      </c>
      <c r="F35" s="76">
        <f>E35*$B$10</f>
        <v>1000</v>
      </c>
      <c r="G35"/>
      <c r="H35" s="77" t="str">
        <f>IF(INDEX($M35:$AB35,$K35-3)&lt;&gt;0, INDEX($M35:$AB35,$K35-3), "")</f>
        <v>Mouser</v>
      </c>
      <c r="I35" s="78" t="str">
        <f>IF(INDEX($M35:$AB35,$K35-2)&lt;&gt;0, INDEX($M35:$AB35,$K35-2), "")</f>
        <v>603-RC0402FR-07220RL</v>
      </c>
      <c r="J35" s="80">
        <f>IF(INDEX($M35:$AB35,$K35-1)&lt;&gt;0, INDEX($M35:$AB35,$K35-1), "")</f>
        <v>0.00299</v>
      </c>
      <c r="K35" s="78">
        <f>MATCH(MIN($P35,$T35,$X35,$AB35), $M35:$AB35,0)</f>
        <v>8</v>
      </c>
      <c r="L35" s="79">
        <f>IF(MIN($P35,$T35,$X35,$AB35)&lt;&gt;0,MIN($P35,$T35,$X35,$AB35),"")</f>
        <v>2.99</v>
      </c>
      <c r="M35" s="30" t="s">
        <v>151</v>
      </c>
      <c r="N35" s="11" t="s">
        <v>170</v>
      </c>
      <c r="O35" s="28"/>
      <c r="P35" s="28"/>
      <c r="Q35" s="32" t="s">
        <v>174</v>
      </c>
      <c r="R35" s="11" t="s">
        <v>197</v>
      </c>
      <c r="S35" s="28">
        <v>0.00299</v>
      </c>
      <c r="T35" s="28">
        <v>2.99</v>
      </c>
      <c r="U35" s="32" t="s">
        <v>177</v>
      </c>
      <c r="V35" s="11" t="s">
        <v>212</v>
      </c>
      <c r="W35" s="28">
        <v>0.003</v>
      </c>
      <c r="X35" s="28">
        <v>3</v>
      </c>
      <c r="Y35" s="32"/>
      <c r="Z35" s="11"/>
      <c r="AA35" s="28"/>
      <c r="AB35" s="66"/>
    </row>
    <row r="36" spans="1:28" s="2" customFormat="1" ht="16.5" customHeight="1">
      <c r="A36" s="53" t="s">
        <v>72</v>
      </c>
      <c r="B36" s="17" t="s">
        <v>88</v>
      </c>
      <c r="C36" s="93" t="s">
        <v>116</v>
      </c>
      <c r="D36" s="42" t="s">
        <v>144</v>
      </c>
      <c r="E36" s="17">
        <v>2</v>
      </c>
      <c r="F36" s="75">
        <f>E36*$B$10</f>
        <v>2000</v>
      </c>
      <c r="G36"/>
      <c r="H36" s="81" t="str">
        <f>IF(INDEX($M36:$AB36,$K36-3)&lt;&gt;0, INDEX($M36:$AB36,$K36-3), "")</f>
        <v>#N/A</v>
      </c>
      <c r="I36" s="82" t="str">
        <f>IF(INDEX($M36:$AB36,$K36-2)&lt;&gt;0, INDEX($M36:$AB36,$K36-2), "")</f>
        <v>#N/A</v>
      </c>
      <c r="J36" s="83" t="str">
        <f>IF(INDEX($M36:$AB36,$K36-1)&lt;&gt;0, INDEX($M36:$AB36,$K36-1), "")</f>
        <v>#N/A</v>
      </c>
      <c r="K36" s="82" t="str">
        <f>MATCH(MIN($P36,$T36,$X36,$AB36), $M36:$AB36,0)</f>
        <v>#N/A</v>
      </c>
      <c r="L36" s="84" t="str">
        <f>IF(MIN($P36,$T36,$X36,$AB36)&lt;&gt;0,MIN($P36,$T36,$X36,$AB36),"")</f>
        <v/>
      </c>
      <c r="M36" s="29" t="s">
        <v>152</v>
      </c>
      <c r="N36" s="17"/>
      <c r="O36" s="27"/>
      <c r="P36" s="27"/>
      <c r="Q36" s="31"/>
      <c r="R36" s="17"/>
      <c r="S36" s="27"/>
      <c r="T36" s="27"/>
      <c r="U36" s="31"/>
      <c r="V36" s="17"/>
      <c r="W36" s="27"/>
      <c r="X36" s="27"/>
      <c r="Y36" s="31"/>
      <c r="Z36" s="17"/>
      <c r="AA36" s="27"/>
      <c r="AB36" s="65"/>
    </row>
    <row r="37" spans="1:28" s="2" customFormat="1" ht="16.5" customHeight="1">
      <c r="A37" s="54" t="s">
        <v>73</v>
      </c>
      <c r="B37" s="11" t="s">
        <v>89</v>
      </c>
      <c r="C37" s="94" t="s">
        <v>117</v>
      </c>
      <c r="D37" s="43" t="s">
        <v>145</v>
      </c>
      <c r="E37" s="11">
        <v>1</v>
      </c>
      <c r="F37" s="76">
        <f>E37*$B$10</f>
        <v>1000</v>
      </c>
      <c r="G37"/>
      <c r="H37" s="77" t="str">
        <f>IF(INDEX($M37:$AB37,$K37-3)&lt;&gt;0, INDEX($M37:$AB37,$K37-3), "")</f>
        <v>#N/A</v>
      </c>
      <c r="I37" s="78" t="str">
        <f>IF(INDEX($M37:$AB37,$K37-2)&lt;&gt;0, INDEX($M37:$AB37,$K37-2), "")</f>
        <v>#N/A</v>
      </c>
      <c r="J37" s="80" t="str">
        <f>IF(INDEX($M37:$AB37,$K37-1)&lt;&gt;0, INDEX($M37:$AB37,$K37-1), "")</f>
        <v>#N/A</v>
      </c>
      <c r="K37" s="78" t="str">
        <f>MATCH(MIN($P37,$T37,$X37,$AB37), $M37:$AB37,0)</f>
        <v>#N/A</v>
      </c>
      <c r="L37" s="79" t="str">
        <f>IF(MIN($P37,$T37,$X37,$AB37)&lt;&gt;0,MIN($P37,$T37,$X37,$AB37),"")</f>
        <v/>
      </c>
      <c r="M37" s="30" t="s">
        <v>152</v>
      </c>
      <c r="N37" s="11"/>
      <c r="O37" s="28"/>
      <c r="P37" s="28"/>
      <c r="Q37" s="32"/>
      <c r="R37" s="11"/>
      <c r="S37" s="28"/>
      <c r="T37" s="28"/>
      <c r="U37" s="32"/>
      <c r="V37" s="11"/>
      <c r="W37" s="28"/>
      <c r="X37" s="28"/>
      <c r="Y37" s="32"/>
      <c r="Z37" s="11"/>
      <c r="AA37" s="28"/>
      <c r="AB37" s="66"/>
    </row>
    <row r="38" spans="1:28" s="2" customFormat="1" ht="16.5" customHeight="1">
      <c r="A38" s="53" t="s">
        <v>74</v>
      </c>
      <c r="B38" s="17" t="s">
        <v>90</v>
      </c>
      <c r="C38" s="93" t="s">
        <v>118</v>
      </c>
      <c r="D38" s="42" t="s">
        <v>146</v>
      </c>
      <c r="E38" s="17">
        <v>1</v>
      </c>
      <c r="F38" s="75">
        <f>E38*$B$10</f>
        <v>1000</v>
      </c>
      <c r="G38"/>
      <c r="H38" s="81" t="str">
        <f>IF(INDEX($M38:$AB38,$K38-3)&lt;&gt;0, INDEX($M38:$AB38,$K38-3), "")</f>
        <v>Mouser</v>
      </c>
      <c r="I38" s="82" t="str">
        <f>IF(INDEX($M38:$AB38,$K38-2)&lt;&gt;0, INDEX($M38:$AB38,$K38-2), "")</f>
        <v>595-TPS2553DBVR</v>
      </c>
      <c r="J38" s="83">
        <f>IF(INDEX($M38:$AB38,$K38-1)&lt;&gt;0, INDEX($M38:$AB38,$K38-1), "")</f>
        <v>0.448</v>
      </c>
      <c r="K38" s="82">
        <f>MATCH(MIN($P38,$T38,$X38,$AB38), $M38:$AB38,0)</f>
        <v>12</v>
      </c>
      <c r="L38" s="84">
        <f>IF(MIN($P38,$T38,$X38,$AB38)&lt;&gt;0,MIN($P38,$T38,$X38,$AB38),"")</f>
        <v>448</v>
      </c>
      <c r="M38" s="29" t="s">
        <v>151</v>
      </c>
      <c r="N38" s="17" t="s">
        <v>171</v>
      </c>
      <c r="O38" s="27">
        <v>0.455</v>
      </c>
      <c r="P38" s="27">
        <v>455</v>
      </c>
      <c r="Q38" s="31" t="s">
        <v>177</v>
      </c>
      <c r="R38" s="17" t="s">
        <v>198</v>
      </c>
      <c r="S38" s="27">
        <v>0.57054</v>
      </c>
      <c r="T38" s="27">
        <v>570.54</v>
      </c>
      <c r="U38" s="31" t="s">
        <v>174</v>
      </c>
      <c r="V38" s="17" t="s">
        <v>213</v>
      </c>
      <c r="W38" s="27">
        <v>0.448</v>
      </c>
      <c r="X38" s="27">
        <v>448</v>
      </c>
      <c r="Y38" s="31"/>
      <c r="Z38" s="17"/>
      <c r="AA38" s="27"/>
      <c r="AB38" s="65"/>
    </row>
    <row r="39" spans="1:28" s="2" customFormat="1" ht="16.5" customHeight="1">
      <c r="A39" s="54" t="s">
        <v>75</v>
      </c>
      <c r="B39" s="11" t="s">
        <v>91</v>
      </c>
      <c r="C39" s="94" t="s">
        <v>119</v>
      </c>
      <c r="D39" s="43" t="s">
        <v>147</v>
      </c>
      <c r="E39" s="11">
        <v>1</v>
      </c>
      <c r="F39" s="76">
        <f>E39*$B$10</f>
        <v>1000</v>
      </c>
      <c r="G39"/>
      <c r="H39" s="77" t="str">
        <f>IF(INDEX($M39:$AB39,$K39-3)&lt;&gt;0, INDEX($M39:$AB39,$K39-3), "")</f>
        <v>#N/A</v>
      </c>
      <c r="I39" s="78" t="str">
        <f>IF(INDEX($M39:$AB39,$K39-2)&lt;&gt;0, INDEX($M39:$AB39,$K39-2), "")</f>
        <v>#N/A</v>
      </c>
      <c r="J39" s="80" t="str">
        <f>IF(INDEX($M39:$AB39,$K39-1)&lt;&gt;0, INDEX($M39:$AB39,$K39-1), "")</f>
        <v>#N/A</v>
      </c>
      <c r="K39" s="78" t="str">
        <f>MATCH(MIN($P39,$T39,$X39,$AB39), $M39:$AB39,0)</f>
        <v>#N/A</v>
      </c>
      <c r="L39" s="79" t="str">
        <f>IF(MIN($P39,$T39,$X39,$AB39)&lt;&gt;0,MIN($P39,$T39,$X39,$AB39),"")</f>
        <v/>
      </c>
      <c r="M39" s="30" t="s">
        <v>152</v>
      </c>
      <c r="N39" s="11"/>
      <c r="O39" s="28"/>
      <c r="P39" s="28"/>
      <c r="Q39" s="32"/>
      <c r="R39" s="11"/>
      <c r="S39" s="28"/>
      <c r="T39" s="28"/>
      <c r="U39" s="32"/>
      <c r="V39" s="11"/>
      <c r="W39" s="28"/>
      <c r="X39" s="28"/>
      <c r="Y39" s="32"/>
      <c r="Z39" s="11"/>
      <c r="AA39" s="28"/>
      <c r="AB39" s="66"/>
    </row>
    <row r="40" spans="1:28" s="2" customFormat="1" ht="16.5" customHeight="1">
      <c r="A40" s="53" t="s">
        <v>76</v>
      </c>
      <c r="B40" s="17" t="s">
        <v>92</v>
      </c>
      <c r="C40" s="93" t="s">
        <v>120</v>
      </c>
      <c r="D40" s="42" t="s">
        <v>148</v>
      </c>
      <c r="E40" s="17">
        <v>1</v>
      </c>
      <c r="F40" s="75">
        <f>E40*$B$10</f>
        <v>1000</v>
      </c>
      <c r="G40"/>
      <c r="H40" s="81" t="str">
        <f>IF(INDEX($M40:$AB40,$K40-3)&lt;&gt;0, INDEX($M40:$AB40,$K40-3), "")</f>
        <v>Digi-Key</v>
      </c>
      <c r="I40" s="82" t="str">
        <f>IF(INDEX($M40:$AB40,$K40-2)&lt;&gt;0, INDEX($M40:$AB40,$K40-2), "")</f>
        <v>W25Q32JVSSIQ-ND</v>
      </c>
      <c r="J40" s="83">
        <f>IF(INDEX($M40:$AB40,$K40-1)&lt;&gt;0, INDEX($M40:$AB40,$K40-1), "")</f>
        <v>0.67308</v>
      </c>
      <c r="K40" s="82">
        <f>MATCH(MIN($P40,$T40,$X40,$AB40), $M40:$AB40,0)</f>
        <v>4</v>
      </c>
      <c r="L40" s="84">
        <f>IF(MIN($P40,$T40,$X40,$AB40)&lt;&gt;0,MIN($P40,$T40,$X40,$AB40),"")</f>
        <v>673.08</v>
      </c>
      <c r="M40" s="29" t="s">
        <v>151</v>
      </c>
      <c r="N40" s="17" t="s">
        <v>172</v>
      </c>
      <c r="O40" s="27">
        <v>0.67308</v>
      </c>
      <c r="P40" s="27">
        <v>673.08</v>
      </c>
      <c r="Q40" s="31"/>
      <c r="R40" s="17"/>
      <c r="S40" s="27"/>
      <c r="T40" s="27"/>
      <c r="U40" s="31"/>
      <c r="V40" s="17"/>
      <c r="W40" s="27"/>
      <c r="X40" s="27"/>
      <c r="Y40" s="31"/>
      <c r="Z40" s="17"/>
      <c r="AA40" s="27"/>
      <c r="AB40" s="65"/>
    </row>
    <row r="41" spans="1:28" s="2" customFormat="1" ht="16.5" customHeight="1">
      <c r="A41" s="54" t="s">
        <v>77</v>
      </c>
      <c r="B41" s="11" t="s">
        <v>93</v>
      </c>
      <c r="C41" s="94" t="s">
        <v>121</v>
      </c>
      <c r="D41" s="43" t="s">
        <v>149</v>
      </c>
      <c r="E41" s="11">
        <v>1</v>
      </c>
      <c r="F41" s="76">
        <f>E41*$B$10</f>
        <v>1000</v>
      </c>
      <c r="G41"/>
      <c r="H41" s="77" t="str">
        <f>IF(INDEX($M41:$AB41,$K41-3)&lt;&gt;0, INDEX($M41:$AB41,$K41-3), "")</f>
        <v>#N/A</v>
      </c>
      <c r="I41" s="78" t="str">
        <f>IF(INDEX($M41:$AB41,$K41-2)&lt;&gt;0, INDEX($M41:$AB41,$K41-2), "")</f>
        <v>#N/A</v>
      </c>
      <c r="J41" s="80" t="str">
        <f>IF(INDEX($M41:$AB41,$K41-1)&lt;&gt;0, INDEX($M41:$AB41,$K41-1), "")</f>
        <v>#N/A</v>
      </c>
      <c r="K41" s="78" t="str">
        <f>MATCH(MIN($P41,$T41,$X41,$AB41), $M41:$AB41,0)</f>
        <v>#N/A</v>
      </c>
      <c r="L41" s="79" t="str">
        <f>IF(MIN($P41,$T41,$X41,$AB41)&lt;&gt;0,MIN($P41,$T41,$X41,$AB41),"")</f>
        <v/>
      </c>
      <c r="M41" s="30" t="s">
        <v>152</v>
      </c>
      <c r="N41" s="11" t="s">
        <v>173</v>
      </c>
      <c r="O41" s="28"/>
      <c r="P41" s="28"/>
      <c r="Q41" s="32"/>
      <c r="R41" s="11"/>
      <c r="S41" s="28"/>
      <c r="T41" s="28"/>
      <c r="U41" s="32"/>
      <c r="V41" s="11"/>
      <c r="W41" s="28"/>
      <c r="X41" s="28"/>
      <c r="Y41" s="32"/>
      <c r="Z41" s="11"/>
      <c r="AA41" s="28"/>
      <c r="AB41" s="66"/>
    </row>
    <row r="42" spans="1:28" ht="14.25">
      <c r="A42" s="56" t="s">
        <v>27</v>
      </c>
      <c r="B42" s="39">
        <f>ROW(A41)-ROW(A$13)</f>
        <v>28</v>
      </c>
      <c r="C42" s="34"/>
      <c r="D42" s="36" t="s">
        <v>16</v>
      </c>
      <c r="E42" s="37">
        <f>SUM(E14:E41)</f>
        <v>52</v>
      </c>
      <c r="F42" s="57">
        <f>SUM(F14:F41)</f>
        <v>52000</v>
      </c>
      <c r="H42" s="35"/>
      <c r="I42" s="40" t="s">
        <v>16</v>
      </c>
      <c r="J42" s="41"/>
      <c r="K42" s="41"/>
      <c r="L42" s="85">
        <f>SUM(L14:L41)</f>
        <v>3257.8199999999988</v>
      </c>
      <c r="M42" s="35"/>
      <c r="N42" s="34"/>
      <c r="O42" s="34"/>
      <c r="P42" s="86"/>
      <c r="Q42" s="34"/>
      <c r="R42" s="34"/>
      <c r="S42" s="34"/>
      <c r="T42" s="86"/>
      <c r="U42" s="34"/>
      <c r="V42" s="34"/>
      <c r="W42" s="34"/>
      <c r="X42" s="86"/>
      <c r="Y42" s="34"/>
      <c r="Z42" s="34"/>
      <c r="AA42" s="34"/>
      <c r="AB42" s="85"/>
    </row>
    <row r="43" spans="1:28" ht="15" thickBot="1">
      <c r="A43" s="58"/>
      <c r="B43" s="59"/>
      <c r="C43" s="59"/>
      <c r="D43" s="59"/>
      <c r="E43" s="59"/>
      <c r="F43" s="60"/>
      <c r="H43" s="58"/>
      <c r="I43" s="68" t="s">
        <v>17</v>
      </c>
      <c r="J43" s="74"/>
      <c r="K43" s="69"/>
      <c r="L43" s="70">
        <f>L42/$B$10</f>
        <v>3.25782</v>
      </c>
      <c r="M43" s="58"/>
      <c r="N43" s="59"/>
      <c r="O43" s="59"/>
      <c r="P43" s="87"/>
      <c r="Q43" s="59"/>
      <c r="R43" s="59"/>
      <c r="S43" s="59"/>
      <c r="T43" s="87"/>
      <c r="U43" s="59"/>
      <c r="V43" s="59"/>
      <c r="W43" s="59"/>
      <c r="X43" s="87"/>
      <c r="Y43" s="59"/>
      <c r="Z43" s="59"/>
      <c r="AA43" s="59"/>
      <c r="AB43" s="88"/>
    </row>
    <row r="44" spans="1:28" ht="6" customHeight="1" thickTop="1">
      <c r="A44" s="45"/>
      <c r="B44" s="46"/>
      <c r="C44" s="46"/>
      <c r="D44" s="47"/>
      <c r="E44" s="48"/>
      <c r="F44" s="47"/>
      <c r="H44" s="4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</row>
    <row r="46" spans="14:19">
      <c r="N46" s="2"/>
      <c r="O46" s="2"/>
      <c r="Q46" s="2"/>
      <c r="R46" s="2"/>
      <c r="S46" s="2"/>
    </row>
    <row r="47" spans="11:11">
      <c r="K47" s="1">
        <f>MIN($P46,$T46,$X46,$AB46)</f>
        <v>0</v>
      </c>
    </row>
    <row r="58" spans="1:2">
      <c r="A58" s="1"/>
      <c r="B58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