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<sst xmlns="http://schemas.openxmlformats.org/spreadsheetml/2006/main" uniqueCount="187">
  <si>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</si>
  <si>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</si>
  <si>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</si>
  <si>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</si>
  <si>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</si>
  <si>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</si>
  <si>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</si>
  <si>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</si>
  <si>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</si>
  <si>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</si>
  <si>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</si>
  <si>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</si>
  <si>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</si>
  <si>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</si>
  <si>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</si>
  <si>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</si>
  <si>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</si>
  <si>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</si>
  <si>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</si>
  <si>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</si>
  <si>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</si>
  <si>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</si>
  <si>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</si>
  <si>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</si>
  <si>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</si>
  <si>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</si>
  <si>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</si>
  <si>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</si>
  <si>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</si>
  <si>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</si>
  <si>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</si>
  <si>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</si>
  <si>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</si>
  <si>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</si>
  <si>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NRF52833 brain with high power</t>
  </si>
  <si>
    <t>JacdacNRF52833HighPower 32.PrjPCB</t>
  </si>
  <si>
    <t>Bill of Materials for Project [JacdacNRF52833HighPower 32.PrjPCB] (No PCB Document Selected)</t>
  </si>
  <si>
    <t>JacdacNRF52833HighPower</t>
  </si>
  <si>
    <t>32</t>
  </si>
  <si>
    <t>None</t>
  </si>
  <si>
    <t>0.2</t>
  </si>
  <si>
    <t>20/05/2021</t>
  </si>
  <si>
    <t>20:22</t>
  </si>
  <si>
    <t>1000</t>
  </si>
  <si>
    <t>USD</t>
  </si>
  <si>
    <t>Description</t>
  </si>
  <si>
    <t>CAP CER 1UF 10V X5R 0402</t>
  </si>
  <si>
    <t>CAP CER 4.7UF 10V X5R 0402</t>
  </si>
  <si>
    <t>CAP CER 33PF 50V NP0 0402</t>
  </si>
  <si>
    <t>CAP CER 0.1UF 10V X7R 0402</t>
  </si>
  <si>
    <t>DIODE SCHOTTKY 20V 1A SOD123FL</t>
  </si>
  <si>
    <t>WS2812B RGB LED (Neopixel) 2.0mm x 2.0mm</t>
  </si>
  <si>
    <t>USB TVS and ESD protection diodes</t>
  </si>
  <si>
    <t>LED ORANGE CLEAR SMD R/A</t>
  </si>
  <si>
    <t>DIODE ARRAY SCHOTTKY 30V SOT23</t>
  </si>
  <si>
    <t>TVS DIODE 5.5V 18V CLP0603</t>
  </si>
  <si>
    <t>0603 1k@100MHz 0.8A chip</t>
  </si>
  <si>
    <t>USB4085 Series 20 V PCB Top Mount USB 2.0 Type C Receptacle</t>
  </si>
  <si>
    <t>RES SMD 1M OHM 1% 1/16W 0402</t>
  </si>
  <si>
    <t>YAGEO - RC0402FR-0730KL - RES, 30K, 1%, 0.063W, 0402, THICK FILM</t>
  </si>
  <si>
    <t>RES SMD 5.1K OHM 5% 1/16W 0402</t>
  </si>
  <si>
    <t>RES SMD 1K OHM 1% 1/16W 0402</t>
  </si>
  <si>
    <t>RES SMD 220 OHM 1% 1/16W 0402</t>
  </si>
  <si>
    <t>Switch Tactile N.O. SPST Button J-Bend 0.02A 15VDC 1.6N SMD Embossed T/R</t>
  </si>
  <si>
    <t>ON SEMICONDUCTOR - NCP114ASN330T1G - LDO Voltage Regulator, Fixed, 1.7 V to 5.5 V in, 3.3 V/300 mA out, 150 mV drop, TSOP-5</t>
  </si>
  <si>
    <t>POWER LOAD SWITCH, HIGH SIDE, SOT-23-6; Power Load Switch Type:High Side; Input Voltage:6.5V; Current Limit:1.7A; On State Resistance:0.085ohm; Distribution Switch Case Style:SOT-23; No. of Pins:6; Thermal Protection:Yes; On / Enable;RoHS Compliant: Yes</t>
  </si>
  <si>
    <t>Fanstel Nordic nRF52833 module</t>
  </si>
  <si>
    <t>Samsung</t>
  </si>
  <si>
    <t>ON Semiconductor</t>
  </si>
  <si>
    <t>NXP Semiconductors</t>
  </si>
  <si>
    <t>Vishay Lite-On</t>
  </si>
  <si>
    <t>Nexperia</t>
  </si>
  <si>
    <t>Vishay Semiconductors</t>
  </si>
  <si>
    <t>TDK</t>
  </si>
  <si>
    <t>Global Connector Technology</t>
  </si>
  <si>
    <t>Yageo</t>
  </si>
  <si>
    <t>CL05A105KP5NNNC</t>
  </si>
  <si>
    <t>CL05A475MP5NRNC</t>
  </si>
  <si>
    <t>CL05C330JB51PNC</t>
  </si>
  <si>
    <t>CL05B104KP5NNNC</t>
  </si>
  <si>
    <t>MBR120VLSFT3G</t>
  </si>
  <si>
    <t>WS2812B-2020</t>
  </si>
  <si>
    <t>PRTR5V0U2X,215</t>
  </si>
  <si>
    <t>LTST-S220KFKT</t>
  </si>
  <si>
    <t>BAT54S,235</t>
  </si>
  <si>
    <t>VBUS05B1-SD0-G4-08</t>
  </si>
  <si>
    <t>MPZ1608S102ATA00</t>
  </si>
  <si>
    <t>USB4085-GF-A</t>
  </si>
  <si>
    <t>RC0402FR-071ML</t>
  </si>
  <si>
    <t>RC0402FR-0730KL</t>
  </si>
  <si>
    <t>RC0402JR-075K1L</t>
  </si>
  <si>
    <t>RC0402FR-071KL</t>
  </si>
  <si>
    <t>RC0402FR-07220RL</t>
  </si>
  <si>
    <t>EVQ-P42B3M</t>
  </si>
  <si>
    <t>NCP114ASN330T1G</t>
  </si>
  <si>
    <t>C1, C2</t>
  </si>
  <si>
    <t>C3, C4, C5, C7, C8, C13, C14, C15, C16, C17</t>
  </si>
  <si>
    <t>C6</t>
  </si>
  <si>
    <t>C9, C10, C11, C12</t>
  </si>
  <si>
    <t>D1, D2, D4</t>
  </si>
  <si>
    <t>D3, D11, D15, D16</t>
  </si>
  <si>
    <t>D5</t>
  </si>
  <si>
    <t>D6</t>
  </si>
  <si>
    <t>D7</t>
  </si>
  <si>
    <t>D8, D9, D10, D12, D13, D14</t>
  </si>
  <si>
    <t>FB1</t>
  </si>
  <si>
    <t>J2</t>
  </si>
  <si>
    <t>R1, R5, R6</t>
  </si>
  <si>
    <t>R2, R7, R8</t>
  </si>
  <si>
    <t>R3, R4</t>
  </si>
  <si>
    <t>R13</t>
  </si>
  <si>
    <t>R14</t>
  </si>
  <si>
    <t>SW1</t>
  </si>
  <si>
    <t>U1</t>
  </si>
  <si>
    <t>U2, U3, U5</t>
  </si>
  <si>
    <t>U4</t>
  </si>
  <si>
    <t>Supplier 1</t>
  </si>
  <si>
    <t>Digi-Key</t>
  </si>
  <si>
    <t>1276-1076-1-ND</t>
  </si>
  <si>
    <t>1276-1482-2-ND</t>
  </si>
  <si>
    <t>1276-6515-1-ND</t>
  </si>
  <si>
    <t>1276-1002-1-ND</t>
  </si>
  <si>
    <t>MBR120VLSFT3GOSCT-ND</t>
  </si>
  <si>
    <t>1727-3884-1-ND</t>
  </si>
  <si>
    <t>160-2031-1-ND</t>
  </si>
  <si>
    <t>1727-1868-1-ND</t>
  </si>
  <si>
    <t>VBUS05B1-SD0-G4-08GICT-ND</t>
  </si>
  <si>
    <t>445-8694-1-ND</t>
  </si>
  <si>
    <t>2073-USB4085-GF-ACT-ND</t>
  </si>
  <si>
    <t>311-1.00MLRCT-ND</t>
  </si>
  <si>
    <t>311-30.0KLRCT-ND</t>
  </si>
  <si>
    <t>311-5.1KJRCT-ND</t>
  </si>
  <si>
    <t>311-1.00KLRDKR-ND</t>
  </si>
  <si>
    <t>311-220LRCT-ND</t>
  </si>
  <si>
    <t>P15502CT-ND</t>
  </si>
  <si>
    <t>NCP114ASN330T1GOSCT-ND</t>
  </si>
  <si>
    <t>296-32464-1-ND</t>
  </si>
  <si>
    <t>1914-BM833CT-ND</t>
  </si>
  <si>
    <t>Supplier Subtotal 1</t>
  </si>
  <si>
    <t>Supplier 2</t>
  </si>
  <si>
    <t>Mouser</t>
  </si>
  <si>
    <t>Future Electronics</t>
  </si>
  <si>
    <t>Farnell</t>
  </si>
  <si>
    <t>RSComponents</t>
  </si>
  <si>
    <t>Newark</t>
  </si>
  <si>
    <t>187-CL05A105KP5NNNC</t>
  </si>
  <si>
    <t>2103694</t>
  </si>
  <si>
    <t>187-CL05C330JB51PNC</t>
  </si>
  <si>
    <t>187-CL05B104KP5NNNC</t>
  </si>
  <si>
    <t>863-MBR120VLSFT3G</t>
  </si>
  <si>
    <t>2371119</t>
  </si>
  <si>
    <t>6921186P</t>
  </si>
  <si>
    <t>771-BAT54S235</t>
  </si>
  <si>
    <t>2932858</t>
  </si>
  <si>
    <t>810-MPZ1608S102ATA00</t>
  </si>
  <si>
    <t>2924867</t>
  </si>
  <si>
    <t>603-RC0402FR-071ML</t>
  </si>
  <si>
    <t>1458778RL</t>
  </si>
  <si>
    <t>68R0016</t>
  </si>
  <si>
    <t>603-RC0402FR-071KL</t>
  </si>
  <si>
    <t>603-RC0402FR-07220RL</t>
  </si>
  <si>
    <t>667-EVQ-P42B3M</t>
  </si>
  <si>
    <t>1263178</t>
  </si>
  <si>
    <t>3124082</t>
  </si>
  <si>
    <t>308-BM833</t>
  </si>
  <si>
    <t>Supplier Subtotal 2</t>
  </si>
  <si>
    <t>Supplier 3</t>
  </si>
  <si>
    <t>3013329</t>
  </si>
  <si>
    <t>6022520</t>
  </si>
  <si>
    <t>3013351</t>
  </si>
  <si>
    <t>1867479</t>
  </si>
  <si>
    <t>725-8720</t>
  </si>
  <si>
    <t>859-LTST-S220KFKT</t>
  </si>
  <si>
    <t>1707990</t>
  </si>
  <si>
    <t>78-VBUS05B1SD0-G4-08</t>
  </si>
  <si>
    <t>2421892</t>
  </si>
  <si>
    <t>603-RC0402FR-0730KL</t>
  </si>
  <si>
    <t>603-RC0402JR-075K1L</t>
  </si>
  <si>
    <t>2132441</t>
  </si>
  <si>
    <t>2147864</t>
  </si>
  <si>
    <t>1250217</t>
  </si>
  <si>
    <t>863-NCP114ASN330T1G</t>
  </si>
  <si>
    <t>595-TPS2553DBVR</t>
  </si>
  <si>
    <t>Arrow Electronics</t>
  </si>
  <si>
    <t>82AC9219</t>
  </si>
  <si>
    <t>771-PRTR5V0U2X-T/R</t>
  </si>
  <si>
    <t>3495714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</si>
</sst>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51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33</v>
      </c>
      <c r="B2" s="21" t="s">
        <v>7</v>
      </c>
      <c r="C2" s="21"/>
      <c r="D2" s="96" t="s">
        <v>34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35</v>
      </c>
      <c r="C3" s="5"/>
      <c r="D3" s="96" t="s">
        <v>36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30</v>
      </c>
      <c r="B4" s="98" t="s">
        <v>35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31</v>
      </c>
      <c r="B5" s="98" t="s">
        <v>37</v>
      </c>
      <c r="C5" s="98" t="s">
        <v>38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32</v>
      </c>
      <c r="B6" s="99" t="s">
        <v>39</v>
      </c>
      <c r="C6" s="99" t="s">
        <v>40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41</v>
      </c>
      <c r="C7" s="98" t="s">
        <v>42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44336</v>
      </c>
      <c r="C8" s="25">
        <f ca="1">NOW()</f>
        <v>44336.84897777778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43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44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45</v>
      </c>
      <c r="B13" s="50" t="s">
        <v>22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28</v>
      </c>
      <c r="K13" s="73" t="s">
        <v>29</v>
      </c>
      <c r="L13" s="52" t="s">
        <v>10</v>
      </c>
      <c r="M13" s="63" t="s">
        <v>116</v>
      </c>
      <c r="N13" s="50" t="s">
        <v>8</v>
      </c>
      <c r="O13" s="50" t="s">
        <v>24</v>
      </c>
      <c r="P13" s="50" t="s">
        <v>138</v>
      </c>
      <c r="Q13" s="64" t="s">
        <v>139</v>
      </c>
      <c r="R13" s="50" t="s">
        <v>9</v>
      </c>
      <c r="S13" s="50" t="s">
        <v>25</v>
      </c>
      <c r="T13" s="50" t="s">
        <v>165</v>
      </c>
      <c r="U13" s="64" t="s">
        <v>166</v>
      </c>
      <c r="V13" s="50" t="s">
        <v>17</v>
      </c>
      <c r="W13" s="50" t="s">
        <v>26</v>
      </c>
      <c r="X13" s="50" t="s">
        <v>18</v>
      </c>
      <c r="Y13" s="64" t="s">
        <v>19</v>
      </c>
      <c r="Z13" s="50" t="s">
        <v>20</v>
      </c>
      <c r="AA13" s="50" t="s">
        <v>27</v>
      </c>
      <c r="AB13" s="52" t="s">
        <v>21</v>
      </c>
    </row>
    <row r="14" spans="1:28" s="2" customFormat="1" ht="16.5" customHeight="1">
      <c r="A14" s="53" t="s">
        <v>46</v>
      </c>
      <c r="B14" s="17" t="s">
        <v>67</v>
      </c>
      <c r="C14" s="93" t="s">
        <v>76</v>
      </c>
      <c r="D14" s="42" t="s">
        <v>95</v>
      </c>
      <c r="E14" s="17">
        <v>2</v>
      </c>
      <c r="F14" s="75">
        <f>E14*$B$10</f>
        <v>2000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1276-1076-1-ND</v>
      </c>
      <c r="J14" s="83">
        <f>IF(INDEX($M14:$AB14,$K14-1)&lt;&gt;0, INDEX($M14:$AB14,$K14-1), "")</f>
        <v>0.01025</v>
      </c>
      <c r="K14" s="82">
        <f>MATCH(MIN($P14,$T14,$X14,$AB14), $M14:$AB14,0)</f>
        <v>4</v>
      </c>
      <c r="L14" s="84">
        <f>IF(MIN($P14,$T14,$X14,$AB14)&lt;&gt;0,MIN($P14,$T14,$X14,$AB14),"")</f>
        <v>20.5</v>
      </c>
      <c r="M14" s="29" t="s">
        <v>117</v>
      </c>
      <c r="N14" s="17" t="s">
        <v>118</v>
      </c>
      <c r="O14" s="27">
        <v>0.01025</v>
      </c>
      <c r="P14" s="27">
        <v>20.5</v>
      </c>
      <c r="Q14" s="31" t="s">
        <v>140</v>
      </c>
      <c r="R14" s="17" t="s">
        <v>145</v>
      </c>
      <c r="S14" s="27">
        <v>0.012</v>
      </c>
      <c r="T14" s="27">
        <v>24</v>
      </c>
      <c r="U14" s="31" t="s">
        <v>142</v>
      </c>
      <c r="V14" s="17" t="s">
        <v>167</v>
      </c>
      <c r="W14" s="27">
        <v>0.0133</v>
      </c>
      <c r="X14" s="27">
        <v>26.61</v>
      </c>
      <c r="Y14" s="31"/>
      <c r="Z14" s="17"/>
      <c r="AA14" s="27"/>
      <c r="AB14" s="65"/>
    </row>
    <row r="15" spans="1:28" s="2" customFormat="1" ht="16.5" customHeight="1">
      <c r="A15" s="54" t="s">
        <v>47</v>
      </c>
      <c r="B15" s="11" t="s">
        <v>67</v>
      </c>
      <c r="C15" s="94" t="s">
        <v>77</v>
      </c>
      <c r="D15" s="43" t="s">
        <v>96</v>
      </c>
      <c r="E15" s="11">
        <v>10</v>
      </c>
      <c r="F15" s="76">
        <f t="shared" si="0" ref="F15:F34">E15*$B$10</f>
        <v>10000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1276-1482-2-ND</v>
      </c>
      <c r="J15" s="80">
        <f>IF(INDEX($M15:$AB15,$K15-1)&lt;&gt;0, INDEX($M15:$AB15,$K15-1), "")</f>
        <v>0.01468</v>
      </c>
      <c r="K15" s="78">
        <f>MATCH(MIN($P15,$T15,$X15,$AB15), $M15:$AB15,0)</f>
        <v>4</v>
      </c>
      <c r="L15" s="79">
        <f>IF(MIN($P15,$T15,$X15,$AB15)&lt;&gt;0,MIN($P15,$T15,$X15,$AB15),"")</f>
        <v>146.8</v>
      </c>
      <c r="M15" s="30" t="s">
        <v>117</v>
      </c>
      <c r="N15" s="11" t="s">
        <v>119</v>
      </c>
      <c r="O15" s="28">
        <v>0.01468</v>
      </c>
      <c r="P15" s="28">
        <v>146.8</v>
      </c>
      <c r="Q15" s="32" t="s">
        <v>141</v>
      </c>
      <c r="R15" s="11" t="s">
        <v>146</v>
      </c>
      <c r="S15" s="28">
        <v>0.0205</v>
      </c>
      <c r="T15" s="28">
        <v>205</v>
      </c>
      <c r="U15" s="32"/>
      <c r="V15" s="11"/>
      <c r="W15" s="28"/>
      <c r="X15" s="28"/>
      <c r="Y15" s="32"/>
      <c r="Z15" s="11"/>
      <c r="AA15" s="28"/>
      <c r="AB15" s="66"/>
    </row>
    <row r="16" spans="1:28" s="2" customFormat="1" ht="16.5" customHeight="1">
      <c r="A16" s="53" t="s">
        <v>48</v>
      </c>
      <c r="B16" s="17" t="s">
        <v>67</v>
      </c>
      <c r="C16" s="93" t="s">
        <v>78</v>
      </c>
      <c r="D16" s="42" t="s">
        <v>97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Digi-Key</v>
      </c>
      <c r="I16" s="82" t="str">
        <f>IF(INDEX($M16:$AB16,$K16-2)&lt;&gt;0, INDEX($M16:$AB16,$K16-2), "")</f>
        <v>1276-6515-1-ND</v>
      </c>
      <c r="J16" s="83">
        <f>IF(INDEX($M16:$AB16,$K16-1)&lt;&gt;0, INDEX($M16:$AB16,$K16-1), "")</f>
        <v>0.01137</v>
      </c>
      <c r="K16" s="82">
        <f>MATCH(MIN($P16,$T16,$X16,$AB16), $M16:$AB16,0)</f>
        <v>4</v>
      </c>
      <c r="L16" s="84">
        <f>IF(MIN($P16,$T16,$X16,$AB16)&lt;&gt;0,MIN($P16,$T16,$X16,$AB16),"")</f>
        <v>11.37</v>
      </c>
      <c r="M16" s="29" t="s">
        <v>117</v>
      </c>
      <c r="N16" s="17" t="s">
        <v>120</v>
      </c>
      <c r="O16" s="27">
        <v>0.01137</v>
      </c>
      <c r="P16" s="27">
        <v>11.37</v>
      </c>
      <c r="Q16" s="31" t="s">
        <v>140</v>
      </c>
      <c r="R16" s="17" t="s">
        <v>147</v>
      </c>
      <c r="S16" s="27">
        <v>0.018</v>
      </c>
      <c r="T16" s="27">
        <v>18</v>
      </c>
      <c r="U16" s="31" t="s">
        <v>141</v>
      </c>
      <c r="V16" s="17" t="s">
        <v>168</v>
      </c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49</v>
      </c>
      <c r="B17" s="11" t="s">
        <v>67</v>
      </c>
      <c r="C17" s="94" t="s">
        <v>79</v>
      </c>
      <c r="D17" s="43" t="s">
        <v>98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Digi-Key</v>
      </c>
      <c r="I17" s="78" t="str">
        <f>IF(INDEX($M17:$AB17,$K17-2)&lt;&gt;0, INDEX($M17:$AB17,$K17-2), "")</f>
        <v>1276-1002-1-ND</v>
      </c>
      <c r="J17" s="80">
        <f>IF(INDEX($M17:$AB17,$K17-1)&lt;&gt;0, INDEX($M17:$AB17,$K17-1), "")</f>
        <v>0.00549</v>
      </c>
      <c r="K17" s="78">
        <f>MATCH(MIN($P17,$T17,$X17,$AB17), $M17:$AB17,0)</f>
        <v>4</v>
      </c>
      <c r="L17" s="79">
        <f>IF(MIN($P17,$T17,$X17,$AB17)&lt;&gt;0,MIN($P17,$T17,$X17,$AB17),"")</f>
        <v>21.96</v>
      </c>
      <c r="M17" s="30" t="s">
        <v>117</v>
      </c>
      <c r="N17" s="11" t="s">
        <v>121</v>
      </c>
      <c r="O17" s="28">
        <v>0.00549</v>
      </c>
      <c r="P17" s="28">
        <v>21.96</v>
      </c>
      <c r="Q17" s="32" t="s">
        <v>140</v>
      </c>
      <c r="R17" s="11" t="s">
        <v>148</v>
      </c>
      <c r="S17" s="28">
        <v>0.006</v>
      </c>
      <c r="T17" s="28">
        <v>24</v>
      </c>
      <c r="U17" s="32" t="s">
        <v>142</v>
      </c>
      <c r="V17" s="11" t="s">
        <v>169</v>
      </c>
      <c r="W17" s="28">
        <v>0.00778</v>
      </c>
      <c r="X17" s="28">
        <v>31.13</v>
      </c>
      <c r="Y17" s="32" t="s">
        <v>144</v>
      </c>
      <c r="Z17" s="11" t="s">
        <v>184</v>
      </c>
      <c r="AA17" s="28">
        <v>0.008</v>
      </c>
      <c r="AB17" s="66">
        <v>32</v>
      </c>
    </row>
    <row r="18" spans="1:28" s="2" customFormat="1" ht="16.5" customHeight="1">
      <c r="A18" s="53" t="s">
        <v>50</v>
      </c>
      <c r="B18" s="17" t="s">
        <v>68</v>
      </c>
      <c r="C18" s="93" t="s">
        <v>80</v>
      </c>
      <c r="D18" s="42" t="s">
        <v>99</v>
      </c>
      <c r="E18" s="17">
        <v>3</v>
      </c>
      <c r="F18" s="75">
        <f>E18*$B$10</f>
        <v>3000</v>
      </c>
      <c r="G18"/>
      <c r="H18" s="81" t="str">
        <f>IF(INDEX($M18:$AB18,$K18-3)&lt;&gt;0, INDEX($M18:$AB18,$K18-3), "")</f>
        <v>RSComponents</v>
      </c>
      <c r="I18" s="82" t="str">
        <f>IF(INDEX($M18:$AB18,$K18-2)&lt;&gt;0, INDEX($M18:$AB18,$K18-2), "")</f>
        <v>1867479</v>
      </c>
      <c r="J18" s="83">
        <f>IF(INDEX($M18:$AB18,$K18-1)&lt;&gt;0, INDEX($M18:$AB18,$K18-1), "")</f>
        <v>0.13388</v>
      </c>
      <c r="K18" s="82">
        <f>MATCH(MIN($P18,$T18,$X18,$AB18), $M18:$AB18,0)</f>
        <v>12</v>
      </c>
      <c r="L18" s="84">
        <f>IF(MIN($P18,$T18,$X18,$AB18)&lt;&gt;0,MIN($P18,$T18,$X18,$AB18),"")</f>
        <v>401.64</v>
      </c>
      <c r="M18" s="29" t="s">
        <v>117</v>
      </c>
      <c r="N18" s="17" t="s">
        <v>122</v>
      </c>
      <c r="O18" s="27"/>
      <c r="P18" s="27"/>
      <c r="Q18" s="31" t="s">
        <v>140</v>
      </c>
      <c r="R18" s="17" t="s">
        <v>149</v>
      </c>
      <c r="S18" s="27">
        <v>0.152</v>
      </c>
      <c r="T18" s="27">
        <v>456</v>
      </c>
      <c r="U18" s="31" t="s">
        <v>143</v>
      </c>
      <c r="V18" s="17" t="s">
        <v>170</v>
      </c>
      <c r="W18" s="27">
        <v>0.13388</v>
      </c>
      <c r="X18" s="27">
        <v>401.64</v>
      </c>
      <c r="Y18" s="31"/>
      <c r="Z18" s="17"/>
      <c r="AA18" s="27"/>
      <c r="AB18" s="65"/>
    </row>
    <row r="19" spans="1:28" s="2" customFormat="1" ht="16.5" customHeight="1">
      <c r="A19" s="54" t="s">
        <v>51</v>
      </c>
      <c r="B19" s="11"/>
      <c r="C19" s="94" t="s">
        <v>81</v>
      </c>
      <c r="D19" s="43" t="s">
        <v>100</v>
      </c>
      <c r="E19" s="11">
        <v>4</v>
      </c>
      <c r="F19" s="76">
        <f>E19*$B$10</f>
        <v>4000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/>
      <c r="N19" s="11"/>
      <c r="O19" s="28"/>
      <c r="P19" s="28"/>
      <c r="Q19" s="32"/>
      <c r="R19" s="11"/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52</v>
      </c>
      <c r="B20" s="17" t="s">
        <v>69</v>
      </c>
      <c r="C20" s="93" t="s">
        <v>82</v>
      </c>
      <c r="D20" s="42" t="s">
        <v>101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RSComponents</v>
      </c>
      <c r="I20" s="82" t="str">
        <f>IF(INDEX($M20:$AB20,$K20-2)&lt;&gt;0, INDEX($M20:$AB20,$K20-2), "")</f>
        <v>725-8720</v>
      </c>
      <c r="J20" s="83">
        <f>IF(INDEX($M20:$AB20,$K20-1)&lt;&gt;0, INDEX($M20:$AB20,$K20-1), "")</f>
        <v>0.192</v>
      </c>
      <c r="K20" s="82">
        <f>MATCH(MIN($P20,$T20,$X20,$AB20), $M20:$AB20,0)</f>
        <v>12</v>
      </c>
      <c r="L20" s="84">
        <f>IF(MIN($P20,$T20,$X20,$AB20)&lt;&gt;0,MIN($P20,$T20,$X20,$AB20),"")</f>
        <v>192</v>
      </c>
      <c r="M20" s="29" t="s">
        <v>117</v>
      </c>
      <c r="N20" s="17" t="s">
        <v>123</v>
      </c>
      <c r="O20" s="27">
        <v>0.21655</v>
      </c>
      <c r="P20" s="27">
        <v>216.55</v>
      </c>
      <c r="Q20" s="31" t="s">
        <v>142</v>
      </c>
      <c r="R20" s="17" t="s">
        <v>150</v>
      </c>
      <c r="S20" s="27"/>
      <c r="T20" s="27"/>
      <c r="U20" s="31" t="s">
        <v>143</v>
      </c>
      <c r="V20" s="17" t="s">
        <v>171</v>
      </c>
      <c r="W20" s="27">
        <v>0.192</v>
      </c>
      <c r="X20" s="27">
        <v>192</v>
      </c>
      <c r="Y20" s="31" t="s">
        <v>140</v>
      </c>
      <c r="Z20" s="17" t="s">
        <v>185</v>
      </c>
      <c r="AA20" s="27"/>
      <c r="AB20" s="65"/>
    </row>
    <row r="21" spans="1:28" s="2" customFormat="1" ht="16.5" customHeight="1">
      <c r="A21" s="54" t="s">
        <v>53</v>
      </c>
      <c r="B21" s="11" t="s">
        <v>70</v>
      </c>
      <c r="C21" s="94" t="s">
        <v>83</v>
      </c>
      <c r="D21" s="43" t="s">
        <v>102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Digi-Key</v>
      </c>
      <c r="I21" s="78" t="str">
        <f>IF(INDEX($M21:$AB21,$K21-2)&lt;&gt;0, INDEX($M21:$AB21,$K21-2), "")</f>
        <v>160-2031-1-ND</v>
      </c>
      <c r="J21" s="80">
        <f>IF(INDEX($M21:$AB21,$K21-1)&lt;&gt;0, INDEX($M21:$AB21,$K21-1), "")</f>
        <v>0.0416</v>
      </c>
      <c r="K21" s="78">
        <f>MATCH(MIN($P21,$T21,$X21,$AB21), $M21:$AB21,0)</f>
        <v>4</v>
      </c>
      <c r="L21" s="79">
        <f>IF(MIN($P21,$T21,$X21,$AB21)&lt;&gt;0,MIN($P21,$T21,$X21,$AB21),"")</f>
        <v>41.6</v>
      </c>
      <c r="M21" s="30" t="s">
        <v>117</v>
      </c>
      <c r="N21" s="11" t="s">
        <v>124</v>
      </c>
      <c r="O21" s="28">
        <v>0.0416</v>
      </c>
      <c r="P21" s="28">
        <v>41.6</v>
      </c>
      <c r="Q21" s="32" t="s">
        <v>143</v>
      </c>
      <c r="R21" s="11" t="s">
        <v>151</v>
      </c>
      <c r="S21" s="28">
        <v>0.053</v>
      </c>
      <c r="T21" s="28">
        <v>53</v>
      </c>
      <c r="U21" s="32" t="s">
        <v>140</v>
      </c>
      <c r="V21" s="11" t="s">
        <v>172</v>
      </c>
      <c r="W21" s="28">
        <v>0.042</v>
      </c>
      <c r="X21" s="28">
        <v>42</v>
      </c>
      <c r="Y21" s="32"/>
      <c r="Z21" s="11"/>
      <c r="AA21" s="28"/>
      <c r="AB21" s="66"/>
    </row>
    <row r="22" spans="1:28" s="2" customFormat="1" ht="16.5" customHeight="1">
      <c r="A22" s="53" t="s">
        <v>54</v>
      </c>
      <c r="B22" s="17" t="s">
        <v>71</v>
      </c>
      <c r="C22" s="93" t="s">
        <v>84</v>
      </c>
      <c r="D22" s="42" t="s">
        <v>103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RSComponents</v>
      </c>
      <c r="I22" s="82" t="str">
        <f>IF(INDEX($M22:$AB22,$K22-2)&lt;&gt;0, INDEX($M22:$AB22,$K22-2), "")</f>
        <v>1707990</v>
      </c>
      <c r="J22" s="83">
        <f>IF(INDEX($M22:$AB22,$K22-1)&lt;&gt;0, INDEX($M22:$AB22,$K22-1), "")</f>
        <v>0.029</v>
      </c>
      <c r="K22" s="82">
        <f>MATCH(MIN($P22,$T22,$X22,$AB22), $M22:$AB22,0)</f>
        <v>12</v>
      </c>
      <c r="L22" s="84">
        <f>IF(MIN($P22,$T22,$X22,$AB22)&lt;&gt;0,MIN($P22,$T22,$X22,$AB22),"")</f>
        <v>29</v>
      </c>
      <c r="M22" s="29" t="s">
        <v>117</v>
      </c>
      <c r="N22" s="17" t="s">
        <v>125</v>
      </c>
      <c r="O22" s="27"/>
      <c r="P22" s="27"/>
      <c r="Q22" s="31" t="s">
        <v>140</v>
      </c>
      <c r="R22" s="17" t="s">
        <v>152</v>
      </c>
      <c r="S22" s="27">
        <v>0.03135</v>
      </c>
      <c r="T22" s="27">
        <v>31.35</v>
      </c>
      <c r="U22" s="31" t="s">
        <v>143</v>
      </c>
      <c r="V22" s="17" t="s">
        <v>173</v>
      </c>
      <c r="W22" s="27">
        <v>0.029</v>
      </c>
      <c r="X22" s="27">
        <v>29</v>
      </c>
      <c r="Y22" s="31"/>
      <c r="Z22" s="17"/>
      <c r="AA22" s="27"/>
      <c r="AB22" s="65"/>
    </row>
    <row r="23" spans="1:28" s="2" customFormat="1" ht="16.5" customHeight="1">
      <c r="A23" s="54" t="s">
        <v>55</v>
      </c>
      <c r="B23" s="11" t="s">
        <v>72</v>
      </c>
      <c r="C23" s="94" t="s">
        <v>85</v>
      </c>
      <c r="D23" s="43" t="s">
        <v>104</v>
      </c>
      <c r="E23" s="11">
        <v>6</v>
      </c>
      <c r="F23" s="76">
        <f>E23*$B$10</f>
        <v>6000</v>
      </c>
      <c r="G23"/>
      <c r="H23" s="77" t="str">
        <f>IF(INDEX($M23:$AB23,$K23-3)&lt;&gt;0, INDEX($M23:$AB23,$K23-3), "")</f>
        <v>Farnell</v>
      </c>
      <c r="I23" s="78" t="str">
        <f>IF(INDEX($M23:$AB23,$K23-2)&lt;&gt;0, INDEX($M23:$AB23,$K23-2), "")</f>
        <v>2932858</v>
      </c>
      <c r="J23" s="80">
        <f>IF(INDEX($M23:$AB23,$K23-1)&lt;&gt;0, INDEX($M23:$AB23,$K23-1), "")</f>
        <v>0.039</v>
      </c>
      <c r="K23" s="78">
        <f>MATCH(MIN($P23,$T23,$X23,$AB23), $M23:$AB23,0)</f>
        <v>8</v>
      </c>
      <c r="L23" s="79">
        <f>IF(MIN($P23,$T23,$X23,$AB23)&lt;&gt;0,MIN($P23,$T23,$X23,$AB23),"")</f>
        <v>234</v>
      </c>
      <c r="M23" s="30" t="s">
        <v>117</v>
      </c>
      <c r="N23" s="11" t="s">
        <v>126</v>
      </c>
      <c r="O23" s="28">
        <v>0.06198</v>
      </c>
      <c r="P23" s="28">
        <v>371.9</v>
      </c>
      <c r="Q23" s="32" t="s">
        <v>142</v>
      </c>
      <c r="R23" s="11" t="s">
        <v>153</v>
      </c>
      <c r="S23" s="28">
        <v>0.039</v>
      </c>
      <c r="T23" s="28">
        <v>234</v>
      </c>
      <c r="U23" s="32" t="s">
        <v>140</v>
      </c>
      <c r="V23" s="11" t="s">
        <v>174</v>
      </c>
      <c r="W23" s="28">
        <v>0.0419</v>
      </c>
      <c r="X23" s="28">
        <v>251.4</v>
      </c>
      <c r="Y23" s="32" t="s">
        <v>183</v>
      </c>
      <c r="Z23" s="11" t="s">
        <v>85</v>
      </c>
      <c r="AA23" s="28">
        <v>0.0451</v>
      </c>
      <c r="AB23" s="66">
        <v>270.6</v>
      </c>
    </row>
    <row r="24" spans="1:28" s="2" customFormat="1" ht="16.5" customHeight="1">
      <c r="A24" s="53" t="s">
        <v>56</v>
      </c>
      <c r="B24" s="17" t="s">
        <v>73</v>
      </c>
      <c r="C24" s="93" t="s">
        <v>86</v>
      </c>
      <c r="D24" s="42" t="s">
        <v>105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Digi-Key</v>
      </c>
      <c r="I24" s="82" t="str">
        <f>IF(INDEX($M24:$AB24,$K24-2)&lt;&gt;0, INDEX($M24:$AB24,$K24-2), "")</f>
        <v>445-8694-1-ND</v>
      </c>
      <c r="J24" s="83">
        <f>IF(INDEX($M24:$AB24,$K24-1)&lt;&gt;0, INDEX($M24:$AB24,$K24-1), "")</f>
        <v>0.0247</v>
      </c>
      <c r="K24" s="82">
        <f>MATCH(MIN($P24,$T24,$X24,$AB24), $M24:$AB24,0)</f>
        <v>4</v>
      </c>
      <c r="L24" s="84">
        <f>IF(MIN($P24,$T24,$X24,$AB24)&lt;&gt;0,MIN($P24,$T24,$X24,$AB24),"")</f>
        <v>24.7</v>
      </c>
      <c r="M24" s="29" t="s">
        <v>117</v>
      </c>
      <c r="N24" s="17" t="s">
        <v>127</v>
      </c>
      <c r="O24" s="27">
        <v>0.0247</v>
      </c>
      <c r="P24" s="27">
        <v>24.7</v>
      </c>
      <c r="Q24" s="31" t="s">
        <v>140</v>
      </c>
      <c r="R24" s="17" t="s">
        <v>154</v>
      </c>
      <c r="S24" s="27">
        <v>0.025</v>
      </c>
      <c r="T24" s="27">
        <v>25</v>
      </c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57</v>
      </c>
      <c r="B25" s="11" t="s">
        <v>74</v>
      </c>
      <c r="C25" s="94" t="s">
        <v>87</v>
      </c>
      <c r="D25" s="43" t="s">
        <v>106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Digi-Key</v>
      </c>
      <c r="I25" s="78" t="str">
        <f>IF(INDEX($M25:$AB25,$K25-2)&lt;&gt;0, INDEX($M25:$AB25,$K25-2), "")</f>
        <v>2073-USB4085-GF-ACT-ND</v>
      </c>
      <c r="J25" s="80">
        <f>IF(INDEX($M25:$AB25,$K25-1)&lt;&gt;0, INDEX($M25:$AB25,$K25-1), "")</f>
        <v>0.924</v>
      </c>
      <c r="K25" s="78">
        <f>MATCH(MIN($P25,$T25,$X25,$AB25), $M25:$AB25,0)</f>
        <v>4</v>
      </c>
      <c r="L25" s="79">
        <f>IF(MIN($P25,$T25,$X25,$AB25)&lt;&gt;0,MIN($P25,$T25,$X25,$AB25),"")</f>
        <v>924</v>
      </c>
      <c r="M25" s="30" t="s">
        <v>117</v>
      </c>
      <c r="N25" s="11" t="s">
        <v>128</v>
      </c>
      <c r="O25" s="28">
        <v>0.924</v>
      </c>
      <c r="P25" s="28">
        <v>924</v>
      </c>
      <c r="Q25" s="32" t="s">
        <v>142</v>
      </c>
      <c r="R25" s="11" t="s">
        <v>155</v>
      </c>
      <c r="S25" s="28">
        <v>1.09</v>
      </c>
      <c r="T25" s="28">
        <v>1085.43</v>
      </c>
      <c r="U25" s="32"/>
      <c r="V25" s="11"/>
      <c r="W25" s="28"/>
      <c r="X25" s="28"/>
      <c r="Y25" s="32"/>
      <c r="Z25" s="11"/>
      <c r="AA25" s="28"/>
      <c r="AB25" s="66"/>
    </row>
    <row r="26" spans="1:28" s="2" customFormat="1" ht="16.5" customHeight="1">
      <c r="A26" s="53" t="s">
        <v>58</v>
      </c>
      <c r="B26" s="17" t="s">
        <v>75</v>
      </c>
      <c r="C26" s="93" t="s">
        <v>88</v>
      </c>
      <c r="D26" s="42" t="s">
        <v>107</v>
      </c>
      <c r="E26" s="17">
        <v>3</v>
      </c>
      <c r="F26" s="75">
        <f>E26*$B$10</f>
        <v>3000</v>
      </c>
      <c r="G26"/>
      <c r="H26" s="81" t="str">
        <f>IF(INDEX($M26:$AB26,$K26-3)&lt;&gt;0, INDEX($M26:$AB26,$K26-3), "")</f>
        <v>Mouser</v>
      </c>
      <c r="I26" s="82" t="str">
        <f>IF(INDEX($M26:$AB26,$K26-2)&lt;&gt;0, INDEX($M26:$AB26,$K26-2), "")</f>
        <v>603-RC0402FR-071ML</v>
      </c>
      <c r="J26" s="83">
        <f>IF(INDEX($M26:$AB26,$K26-1)&lt;&gt;0, INDEX($M26:$AB26,$K26-1), "")</f>
        <v>0.00259</v>
      </c>
      <c r="K26" s="82">
        <f>MATCH(MIN($P26,$T26,$X26,$AB26), $M26:$AB26,0)</f>
        <v>8</v>
      </c>
      <c r="L26" s="84">
        <f>IF(MIN($P26,$T26,$X26,$AB26)&lt;&gt;0,MIN($P26,$T26,$X26,$AB26),"")</f>
        <v>7.77</v>
      </c>
      <c r="M26" s="29" t="s">
        <v>117</v>
      </c>
      <c r="N26" s="17" t="s">
        <v>129</v>
      </c>
      <c r="O26" s="27"/>
      <c r="P26" s="27"/>
      <c r="Q26" s="31" t="s">
        <v>140</v>
      </c>
      <c r="R26" s="17" t="s">
        <v>156</v>
      </c>
      <c r="S26" s="27">
        <v>0.00259</v>
      </c>
      <c r="T26" s="27">
        <v>7.77</v>
      </c>
      <c r="U26" s="31" t="s">
        <v>142</v>
      </c>
      <c r="V26" s="17" t="s">
        <v>175</v>
      </c>
      <c r="W26" s="27">
        <v>0.003</v>
      </c>
      <c r="X26" s="27">
        <v>9</v>
      </c>
      <c r="Y26" s="31"/>
      <c r="Z26" s="17"/>
      <c r="AA26" s="27"/>
      <c r="AB26" s="65"/>
    </row>
    <row r="27" spans="1:28" s="2" customFormat="1" ht="16.5" customHeight="1">
      <c r="A27" s="54" t="s">
        <v>59</v>
      </c>
      <c r="B27" s="11" t="s">
        <v>75</v>
      </c>
      <c r="C27" s="94" t="s">
        <v>89</v>
      </c>
      <c r="D27" s="43" t="s">
        <v>108</v>
      </c>
      <c r="E27" s="11">
        <v>3</v>
      </c>
      <c r="F27" s="76">
        <f>E27*$B$10</f>
        <v>3000</v>
      </c>
      <c r="G27"/>
      <c r="H27" s="77" t="str">
        <f>IF(INDEX($M27:$AB27,$K27-3)&lt;&gt;0, INDEX($M27:$AB27,$K27-3), "")</f>
        <v>Farnell</v>
      </c>
      <c r="I27" s="78" t="str">
        <f>IF(INDEX($M27:$AB27,$K27-2)&lt;&gt;0, INDEX($M27:$AB27,$K27-2), "")</f>
        <v>1458778RL</v>
      </c>
      <c r="J27" s="80">
        <f>IF(INDEX($M27:$AB27,$K27-1)&lt;&gt;0, INDEX($M27:$AB27,$K27-1), "")</f>
        <v>0.00259</v>
      </c>
      <c r="K27" s="78">
        <f>MATCH(MIN($P27,$T27,$X27,$AB27), $M27:$AB27,0)</f>
        <v>8</v>
      </c>
      <c r="L27" s="79">
        <f>IF(MIN($P27,$T27,$X27,$AB27)&lt;&gt;0,MIN($P27,$T27,$X27,$AB27),"")</f>
        <v>7.77</v>
      </c>
      <c r="M27" s="30" t="s">
        <v>117</v>
      </c>
      <c r="N27" s="11" t="s">
        <v>130</v>
      </c>
      <c r="O27" s="28">
        <v>0.00481</v>
      </c>
      <c r="P27" s="28">
        <v>14.43</v>
      </c>
      <c r="Q27" s="32" t="s">
        <v>142</v>
      </c>
      <c r="R27" s="11" t="s">
        <v>157</v>
      </c>
      <c r="S27" s="28">
        <v>0.00259</v>
      </c>
      <c r="T27" s="28">
        <v>7.77</v>
      </c>
      <c r="U27" s="32" t="s">
        <v>140</v>
      </c>
      <c r="V27" s="11" t="s">
        <v>176</v>
      </c>
      <c r="W27" s="28">
        <v>0.003</v>
      </c>
      <c r="X27" s="28">
        <v>9</v>
      </c>
      <c r="Y27" s="32"/>
      <c r="Z27" s="11"/>
      <c r="AA27" s="28"/>
      <c r="AB27" s="66"/>
    </row>
    <row r="28" spans="1:28" s="2" customFormat="1" ht="16.5" customHeight="1">
      <c r="A28" s="53" t="s">
        <v>60</v>
      </c>
      <c r="B28" s="17" t="s">
        <v>75</v>
      </c>
      <c r="C28" s="93" t="s">
        <v>90</v>
      </c>
      <c r="D28" s="42" t="s">
        <v>109</v>
      </c>
      <c r="E28" s="17">
        <v>2</v>
      </c>
      <c r="F28" s="75">
        <f>E28*$B$10</f>
        <v>2000</v>
      </c>
      <c r="G28"/>
      <c r="H28" s="81" t="str">
        <f>IF(INDEX($M28:$AB28,$K28-3)&lt;&gt;0, INDEX($M28:$AB28,$K28-3), "")</f>
        <v>Newark</v>
      </c>
      <c r="I28" s="82" t="str">
        <f>IF(INDEX($M28:$AB28,$K28-2)&lt;&gt;0, INDEX($M28:$AB28,$K28-2), "")</f>
        <v>68R0016</v>
      </c>
      <c r="J28" s="83">
        <f>IF(INDEX($M28:$AB28,$K28-1)&lt;&gt;0, INDEX($M28:$AB28,$K28-1), "")</f>
        <v>0.00244</v>
      </c>
      <c r="K28" s="82">
        <f>MATCH(MIN($P28,$T28,$X28,$AB28), $M28:$AB28,0)</f>
        <v>8</v>
      </c>
      <c r="L28" s="84">
        <f>IF(MIN($P28,$T28,$X28,$AB28)&lt;&gt;0,MIN($P28,$T28,$X28,$AB28),"")</f>
        <v>4.88</v>
      </c>
      <c r="M28" s="29" t="s">
        <v>117</v>
      </c>
      <c r="N28" s="17" t="s">
        <v>131</v>
      </c>
      <c r="O28" s="27">
        <v>0.00835</v>
      </c>
      <c r="P28" s="27">
        <v>16.7</v>
      </c>
      <c r="Q28" s="31" t="s">
        <v>144</v>
      </c>
      <c r="R28" s="17" t="s">
        <v>158</v>
      </c>
      <c r="S28" s="27">
        <v>0.00244</v>
      </c>
      <c r="T28" s="27">
        <v>4.88</v>
      </c>
      <c r="U28" s="31" t="s">
        <v>140</v>
      </c>
      <c r="V28" s="17" t="s">
        <v>177</v>
      </c>
      <c r="W28" s="27">
        <v>0.00453</v>
      </c>
      <c r="X28" s="27">
        <v>9.06</v>
      </c>
      <c r="Y28" s="31" t="s">
        <v>142</v>
      </c>
      <c r="Z28" s="17" t="s">
        <v>186</v>
      </c>
      <c r="AA28" s="27">
        <v>0.003</v>
      </c>
      <c r="AB28" s="65">
        <v>6</v>
      </c>
    </row>
    <row r="29" spans="1:28" s="2" customFormat="1" ht="16.5" customHeight="1">
      <c r="A29" s="54" t="s">
        <v>61</v>
      </c>
      <c r="B29" s="11" t="s">
        <v>75</v>
      </c>
      <c r="C29" s="94" t="s">
        <v>91</v>
      </c>
      <c r="D29" s="43" t="s">
        <v>110</v>
      </c>
      <c r="E29" s="11">
        <v>1</v>
      </c>
      <c r="F29" s="76">
        <f>E29*$B$10</f>
        <v>1000</v>
      </c>
      <c r="G29"/>
      <c r="H29" s="77" t="str">
        <f>IF(INDEX($M29:$AB29,$K29-3)&lt;&gt;0, INDEX($M29:$AB29,$K29-3), "")</f>
        <v>Mouser</v>
      </c>
      <c r="I29" s="78" t="str">
        <f>IF(INDEX($M29:$AB29,$K29-2)&lt;&gt;0, INDEX($M29:$AB29,$K29-2), "")</f>
        <v>603-RC0402FR-071KL</v>
      </c>
      <c r="J29" s="80">
        <f>IF(INDEX($M29:$AB29,$K29-1)&lt;&gt;0, INDEX($M29:$AB29,$K29-1), "")</f>
        <v>0.00299</v>
      </c>
      <c r="K29" s="78">
        <f>MATCH(MIN($P29,$T29,$X29,$AB29), $M29:$AB29,0)</f>
        <v>8</v>
      </c>
      <c r="L29" s="79">
        <f>IF(MIN($P29,$T29,$X29,$AB29)&lt;&gt;0,MIN($P29,$T29,$X29,$AB29),"")</f>
        <v>2.99</v>
      </c>
      <c r="M29" s="30" t="s">
        <v>117</v>
      </c>
      <c r="N29" s="11" t="s">
        <v>132</v>
      </c>
      <c r="O29" s="28">
        <v>0.01274</v>
      </c>
      <c r="P29" s="28">
        <v>12.74</v>
      </c>
      <c r="Q29" s="32" t="s">
        <v>140</v>
      </c>
      <c r="R29" s="11" t="s">
        <v>159</v>
      </c>
      <c r="S29" s="28">
        <v>0.00299</v>
      </c>
      <c r="T29" s="28">
        <v>2.99</v>
      </c>
      <c r="U29" s="32" t="s">
        <v>142</v>
      </c>
      <c r="V29" s="11" t="s">
        <v>178</v>
      </c>
      <c r="W29" s="28">
        <v>0.003</v>
      </c>
      <c r="X29" s="28">
        <v>3</v>
      </c>
      <c r="Y29" s="32"/>
      <c r="Z29" s="11"/>
      <c r="AA29" s="28"/>
      <c r="AB29" s="66"/>
    </row>
    <row r="30" spans="1:28" s="2" customFormat="1" ht="16.5" customHeight="1">
      <c r="A30" s="53" t="s">
        <v>62</v>
      </c>
      <c r="B30" s="17" t="s">
        <v>75</v>
      </c>
      <c r="C30" s="93" t="s">
        <v>92</v>
      </c>
      <c r="D30" s="42" t="s">
        <v>111</v>
      </c>
      <c r="E30" s="17">
        <v>1</v>
      </c>
      <c r="F30" s="75">
        <f>E30*$B$10</f>
        <v>1000</v>
      </c>
      <c r="G30"/>
      <c r="H30" s="81" t="str">
        <f>IF(INDEX($M30:$AB30,$K30-3)&lt;&gt;0, INDEX($M30:$AB30,$K30-3), "")</f>
        <v>Mouser</v>
      </c>
      <c r="I30" s="82" t="str">
        <f>IF(INDEX($M30:$AB30,$K30-2)&lt;&gt;0, INDEX($M30:$AB30,$K30-2), "")</f>
        <v>603-RC0402FR-07220RL</v>
      </c>
      <c r="J30" s="83">
        <f>IF(INDEX($M30:$AB30,$K30-1)&lt;&gt;0, INDEX($M30:$AB30,$K30-1), "")</f>
        <v>0.00299</v>
      </c>
      <c r="K30" s="82">
        <f>MATCH(MIN($P30,$T30,$X30,$AB30), $M30:$AB30,0)</f>
        <v>8</v>
      </c>
      <c r="L30" s="84">
        <f>IF(MIN($P30,$T30,$X30,$AB30)&lt;&gt;0,MIN($P30,$T30,$X30,$AB30),"")</f>
        <v>2.99</v>
      </c>
      <c r="M30" s="29" t="s">
        <v>117</v>
      </c>
      <c r="N30" s="17" t="s">
        <v>133</v>
      </c>
      <c r="O30" s="27"/>
      <c r="P30" s="27"/>
      <c r="Q30" s="31" t="s">
        <v>140</v>
      </c>
      <c r="R30" s="17" t="s">
        <v>160</v>
      </c>
      <c r="S30" s="27">
        <v>0.00299</v>
      </c>
      <c r="T30" s="27">
        <v>2.99</v>
      </c>
      <c r="U30" s="31" t="s">
        <v>142</v>
      </c>
      <c r="V30" s="17" t="s">
        <v>179</v>
      </c>
      <c r="W30" s="27">
        <v>0.004</v>
      </c>
      <c r="X30" s="27">
        <v>4</v>
      </c>
      <c r="Y30" s="31"/>
      <c r="Z30" s="17"/>
      <c r="AA30" s="27"/>
      <c r="AB30" s="65"/>
    </row>
    <row r="31" spans="1:28" s="2" customFormat="1" ht="16.5" customHeight="1">
      <c r="A31" s="54" t="s">
        <v>63</v>
      </c>
      <c r="B31" s="11"/>
      <c r="C31" s="94" t="s">
        <v>93</v>
      </c>
      <c r="D31" s="43" t="s">
        <v>112</v>
      </c>
      <c r="E31" s="11">
        <v>1</v>
      </c>
      <c r="F31" s="76">
        <f>E31*$B$10</f>
        <v>1000</v>
      </c>
      <c r="G31"/>
      <c r="H31" s="77" t="str">
        <f>IF(INDEX($M31:$AB31,$K31-3)&lt;&gt;0, INDEX($M31:$AB31,$K31-3), "")</f>
        <v>RSComponents</v>
      </c>
      <c r="I31" s="78" t="str">
        <f>IF(INDEX($M31:$AB31,$K31-2)&lt;&gt;0, INDEX($M31:$AB31,$K31-2), "")</f>
        <v>1250217</v>
      </c>
      <c r="J31" s="80">
        <f>IF(INDEX($M31:$AB31,$K31-1)&lt;&gt;0, INDEX($M31:$AB31,$K31-1), "")</f>
        <v>0.51995</v>
      </c>
      <c r="K31" s="78">
        <f>MATCH(MIN($P31,$T31,$X31,$AB31), $M31:$AB31,0)</f>
        <v>12</v>
      </c>
      <c r="L31" s="79">
        <f>IF(MIN($P31,$T31,$X31,$AB31)&lt;&gt;0,MIN($P31,$T31,$X31,$AB31),"")</f>
        <v>519.95</v>
      </c>
      <c r="M31" s="30" t="s">
        <v>117</v>
      </c>
      <c r="N31" s="11" t="s">
        <v>134</v>
      </c>
      <c r="O31" s="28">
        <v>0.804</v>
      </c>
      <c r="P31" s="28">
        <v>804</v>
      </c>
      <c r="Q31" s="32" t="s">
        <v>140</v>
      </c>
      <c r="R31" s="11" t="s">
        <v>161</v>
      </c>
      <c r="S31" s="28">
        <v>0.52</v>
      </c>
      <c r="T31" s="28">
        <v>520</v>
      </c>
      <c r="U31" s="32" t="s">
        <v>143</v>
      </c>
      <c r="V31" s="11" t="s">
        <v>180</v>
      </c>
      <c r="W31" s="28">
        <v>0.51995</v>
      </c>
      <c r="X31" s="28">
        <v>519.95</v>
      </c>
      <c r="Y31" s="32"/>
      <c r="Z31" s="11"/>
      <c r="AA31" s="28"/>
      <c r="AB31" s="66"/>
    </row>
    <row r="32" spans="1:28" s="2" customFormat="1" ht="16.5" customHeight="1">
      <c r="A32" s="53" t="s">
        <v>64</v>
      </c>
      <c r="B32" s="17" t="s">
        <v>68</v>
      </c>
      <c r="C32" s="93" t="s">
        <v>94</v>
      </c>
      <c r="D32" s="42" t="s">
        <v>113</v>
      </c>
      <c r="E32" s="17">
        <v>1</v>
      </c>
      <c r="F32" s="75">
        <f>E32*$B$10</f>
        <v>1000</v>
      </c>
      <c r="G32"/>
      <c r="H32" s="81" t="str">
        <f>IF(INDEX($M32:$AB32,$K32-3)&lt;&gt;0, INDEX($M32:$AB32,$K32-3), "")</f>
        <v>Mouser</v>
      </c>
      <c r="I32" s="82" t="str">
        <f>IF(INDEX($M32:$AB32,$K32-2)&lt;&gt;0, INDEX($M32:$AB32,$K32-2), "")</f>
        <v>863-NCP114ASN330T1G</v>
      </c>
      <c r="J32" s="83">
        <f>IF(INDEX($M32:$AB32,$K32-1)&lt;&gt;0, INDEX($M32:$AB32,$K32-1), "")</f>
        <v>0.08314</v>
      </c>
      <c r="K32" s="82">
        <f>MATCH(MIN($P32,$T32,$X32,$AB32), $M32:$AB32,0)</f>
        <v>12</v>
      </c>
      <c r="L32" s="84">
        <f>IF(MIN($P32,$T32,$X32,$AB32)&lt;&gt;0,MIN($P32,$T32,$X32,$AB32),"")</f>
        <v>83.14</v>
      </c>
      <c r="M32" s="29" t="s">
        <v>117</v>
      </c>
      <c r="N32" s="17" t="s">
        <v>135</v>
      </c>
      <c r="O32" s="27">
        <v>0.123</v>
      </c>
      <c r="P32" s="27">
        <v>123</v>
      </c>
      <c r="Q32" s="31" t="s">
        <v>143</v>
      </c>
      <c r="R32" s="17" t="s">
        <v>162</v>
      </c>
      <c r="S32" s="27">
        <v>0.084</v>
      </c>
      <c r="T32" s="27">
        <v>84</v>
      </c>
      <c r="U32" s="31" t="s">
        <v>140</v>
      </c>
      <c r="V32" s="17" t="s">
        <v>181</v>
      </c>
      <c r="W32" s="27">
        <v>0.08314</v>
      </c>
      <c r="X32" s="27">
        <v>83.14</v>
      </c>
      <c r="Y32" s="31"/>
      <c r="Z32" s="17"/>
      <c r="AA32" s="27"/>
      <c r="AB32" s="65"/>
    </row>
    <row r="33" spans="1:28" s="2" customFormat="1" ht="16.5" customHeight="1">
      <c r="A33" s="54" t="s">
        <v>65</v>
      </c>
      <c r="B33" s="11"/>
      <c r="C33" s="94"/>
      <c r="D33" s="43" t="s">
        <v>114</v>
      </c>
      <c r="E33" s="11">
        <v>3</v>
      </c>
      <c r="F33" s="76">
        <f>E33*$B$10</f>
        <v>3000</v>
      </c>
      <c r="G33"/>
      <c r="H33" s="77" t="str">
        <f>IF(INDEX($M33:$AB33,$K33-3)&lt;&gt;0, INDEX($M33:$AB33,$K33-3), "")</f>
        <v>Farnell</v>
      </c>
      <c r="I33" s="78" t="str">
        <f>IF(INDEX($M33:$AB33,$K33-2)&lt;&gt;0, INDEX($M33:$AB33,$K33-2), "")</f>
        <v>3124082</v>
      </c>
      <c r="J33" s="80">
        <f>IF(INDEX($M33:$AB33,$K33-1)&lt;&gt;0, INDEX($M33:$AB33,$K33-1), "")</f>
        <v>0.41464</v>
      </c>
      <c r="K33" s="78">
        <f>MATCH(MIN($P33,$T33,$X33,$AB33), $M33:$AB33,0)</f>
        <v>8</v>
      </c>
      <c r="L33" s="79">
        <f>IF(MIN($P33,$T33,$X33,$AB33)&lt;&gt;0,MIN($P33,$T33,$X33,$AB33),"")</f>
        <v>1243.93</v>
      </c>
      <c r="M33" s="30" t="s">
        <v>117</v>
      </c>
      <c r="N33" s="11" t="s">
        <v>136</v>
      </c>
      <c r="O33" s="28">
        <v>0.4342</v>
      </c>
      <c r="P33" s="28">
        <v>1302.6</v>
      </c>
      <c r="Q33" s="32" t="s">
        <v>142</v>
      </c>
      <c r="R33" s="11" t="s">
        <v>163</v>
      </c>
      <c r="S33" s="28">
        <v>0.41464</v>
      </c>
      <c r="T33" s="28">
        <v>1243.93</v>
      </c>
      <c r="U33" s="32" t="s">
        <v>140</v>
      </c>
      <c r="V33" s="11" t="s">
        <v>182</v>
      </c>
      <c r="W33" s="28">
        <v>0.448</v>
      </c>
      <c r="X33" s="28">
        <v>1344</v>
      </c>
      <c r="Y33" s="32"/>
      <c r="Z33" s="11"/>
      <c r="AA33" s="28"/>
      <c r="AB33" s="66"/>
    </row>
    <row r="34" spans="1:28" s="2" customFormat="1" ht="16.5" customHeight="1">
      <c r="A34" s="53" t="s">
        <v>66</v>
      </c>
      <c r="B34" s="17"/>
      <c r="C34" s="93"/>
      <c r="D34" s="42" t="s">
        <v>115</v>
      </c>
      <c r="E34" s="17">
        <v>1</v>
      </c>
      <c r="F34" s="75">
        <f>E34*$B$10</f>
        <v>1000</v>
      </c>
      <c r="G34"/>
      <c r="H34" s="81" t="str">
        <f>IF(INDEX($M34:$AB34,$K34-3)&lt;&gt;0, INDEX($M34:$AB34,$K34-3), "")</f>
        <v>Mouser</v>
      </c>
      <c r="I34" s="82" t="str">
        <f>IF(INDEX($M34:$AB34,$K34-2)&lt;&gt;0, INDEX($M34:$AB34,$K34-2), "")</f>
        <v>308-BM833</v>
      </c>
      <c r="J34" s="83">
        <f>IF(INDEX($M34:$AB34,$K34-1)&lt;&gt;0, INDEX($M34:$AB34,$K34-1), "")</f>
        <v>5.33</v>
      </c>
      <c r="K34" s="82">
        <f>MATCH(MIN($P34,$T34,$X34,$AB34), $M34:$AB34,0)</f>
        <v>8</v>
      </c>
      <c r="L34" s="84">
        <f>IF(MIN($P34,$T34,$X34,$AB34)&lt;&gt;0,MIN($P34,$T34,$X34,$AB34),"")</f>
        <v>5330</v>
      </c>
      <c r="M34" s="29" t="s">
        <v>117</v>
      </c>
      <c r="N34" s="17" t="s">
        <v>137</v>
      </c>
      <c r="O34" s="27">
        <v>6.52</v>
      </c>
      <c r="P34" s="27">
        <v>6517.5</v>
      </c>
      <c r="Q34" s="31" t="s">
        <v>140</v>
      </c>
      <c r="R34" s="17" t="s">
        <v>164</v>
      </c>
      <c r="S34" s="27">
        <v>5.33</v>
      </c>
      <c r="T34" s="27">
        <v>5330</v>
      </c>
      <c r="U34" s="31"/>
      <c r="V34" s="17"/>
      <c r="W34" s="27"/>
      <c r="X34" s="27"/>
      <c r="Y34" s="31"/>
      <c r="Z34" s="17"/>
      <c r="AA34" s="27"/>
      <c r="AB34" s="65"/>
    </row>
    <row r="35" spans="1:28" ht="14.25">
      <c r="A35" s="56" t="s">
        <v>23</v>
      </c>
      <c r="B35" s="39">
        <f>ROW(A34)-ROW(A$13)</f>
        <v>21</v>
      </c>
      <c r="C35" s="34"/>
      <c r="D35" s="36" t="s">
        <v>13</v>
      </c>
      <c r="E35" s="37">
        <f>SUM(E14:E34)</f>
        <v>51</v>
      </c>
      <c r="F35" s="57">
        <f>SUM(F14:F34)</f>
        <v>51000</v>
      </c>
      <c r="H35" s="35"/>
      <c r="I35" s="40" t="s">
        <v>13</v>
      </c>
      <c r="J35" s="41"/>
      <c r="K35" s="41"/>
      <c r="L35" s="85">
        <f>SUM(L14:L34)</f>
        <v>9250.99</v>
      </c>
      <c r="M35" s="35"/>
      <c r="N35" s="34"/>
      <c r="O35" s="34"/>
      <c r="P35" s="86"/>
      <c r="Q35" s="34"/>
      <c r="R35" s="34"/>
      <c r="S35" s="34"/>
      <c r="T35" s="86"/>
      <c r="U35" s="34"/>
      <c r="V35" s="34"/>
      <c r="W35" s="34"/>
      <c r="X35" s="86"/>
      <c r="Y35" s="34"/>
      <c r="Z35" s="34"/>
      <c r="AA35" s="34"/>
      <c r="AB35" s="85"/>
    </row>
    <row r="36" spans="1:28" ht="15" thickBot="1">
      <c r="A36" s="58"/>
      <c r="B36" s="59"/>
      <c r="C36" s="59"/>
      <c r="D36" s="59"/>
      <c r="E36" s="59"/>
      <c r="F36" s="60"/>
      <c r="H36" s="58"/>
      <c r="I36" s="68" t="s">
        <v>14</v>
      </c>
      <c r="J36" s="74"/>
      <c r="K36" s="69"/>
      <c r="L36" s="70">
        <f>L35/$B$10</f>
        <v>9.25099</v>
      </c>
      <c r="M36" s="58"/>
      <c r="N36" s="59"/>
      <c r="O36" s="59"/>
      <c r="P36" s="87"/>
      <c r="Q36" s="59"/>
      <c r="R36" s="59"/>
      <c r="S36" s="59"/>
      <c r="T36" s="87"/>
      <c r="U36" s="59"/>
      <c r="V36" s="59"/>
      <c r="W36" s="59"/>
      <c r="X36" s="87"/>
      <c r="Y36" s="59"/>
      <c r="Z36" s="59"/>
      <c r="AA36" s="59"/>
      <c r="AB36" s="88"/>
    </row>
    <row r="37" spans="1:28" ht="6" customHeight="1" thickTop="1">
      <c r="A37" s="45"/>
      <c r="B37" s="46"/>
      <c r="C37" s="46"/>
      <c r="D37" s="47"/>
      <c r="E37" s="48"/>
      <c r="F37" s="47"/>
      <c r="H37" s="4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</row>
    <row r="39" spans="14:19">
      <c r="N39" s="2"/>
      <c r="O39" s="2"/>
      <c r="Q39" s="2"/>
      <c r="R39" s="2"/>
      <c r="S39" s="2"/>
    </row>
    <row r="40" spans="11:11">
      <c r="K40" s="1">
        <f>MIN($P39,$T39,$X39,$AB39)</f>
        <v>0</v>
      </c>
    </row>
    <row r="51" spans="1:2">
      <c r="A51" s="1"/>
      <c r="B51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