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5" Type="http://schemas.openxmlformats.org/officeDocument/2006/relationships/custom-properties" Target="docProps/custom.xml" /><Relationship Id="rId2" Type="http://schemas.microsoft.com/office/2020/02/relationships/classificationlabels" Target="docMetadata/LabelInfo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4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3530"/>
  <workbookPr codeName="ThisWorkbook"/>
  <bookViews>
    <workbookView xmlns:d3p1="http://schemas.microsoft.com/office/spreadsheetml/2015/revision2" xWindow="3510" yWindow="945" windowWidth="21600" windowHeight="15300" d3p1:uid="{00000000-000D-0000-FFFF-FFFF00000000}"/>
  </bookViews>
  <sheets>
    <sheet name="Costing" sheetId="1" r:id="rId1"/>
  </sheets>
  <calcPr fullPrecision="1" calcMode="auto"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<sst xmlns="http://schemas.openxmlformats.org/spreadsheetml/2006/main" uniqueCount="142">
  <si>
    <t>Creation Date:</t>
  </si>
  <si>
    <t>Print Date:</t>
  </si>
  <si>
    <t>Source Data From:</t>
  </si>
  <si>
    <t>Designator</t>
  </si>
  <si>
    <t>Supplier Subtotal 1</t>
  </si>
  <si>
    <t>Currency</t>
  </si>
  <si>
    <t>Best Supplier</t>
  </si>
  <si>
    <t>Best Supplier PN</t>
  </si>
  <si>
    <t>Microsoft Research</t>
  </si>
  <si>
    <t>Supplier Part Number 1</t>
  </si>
  <si>
    <t>Supplier 2</t>
  </si>
  <si>
    <t>Supplier Part Number 2</t>
  </si>
  <si>
    <t>Supplier Subtotal 2</t>
  </si>
  <si>
    <t>Best Subtotal</t>
  </si>
  <si>
    <t>Order Quantity</t>
  </si>
  <si>
    <t>Quantity</t>
  </si>
  <si>
    <t>total</t>
  </si>
  <si>
    <t>unit price</t>
  </si>
  <si>
    <t>Pricing based on number of boards =</t>
  </si>
  <si>
    <t>Manufacturer Part Number</t>
  </si>
  <si>
    <t>Supplier 3</t>
  </si>
  <si>
    <t>Supplier Part Number 3</t>
  </si>
  <si>
    <t>Supplier Subtotal 3</t>
  </si>
  <si>
    <t>Supplier 4</t>
  </si>
  <si>
    <t>Supplier Part Number 4</t>
  </si>
  <si>
    <t>Supplier Subtotal 4</t>
  </si>
  <si>
    <t>Manufacturer</t>
  </si>
  <si>
    <t>number of line items</t>
  </si>
  <si>
    <t>Supplier Unit Price 1</t>
  </si>
  <si>
    <t>Supplier Unit Price 2</t>
  </si>
  <si>
    <t>Supplier Unit Price 3</t>
  </si>
  <si>
    <t>Supplier Unit Price 4</t>
  </si>
  <si>
    <t>Best Unit Price</t>
  </si>
  <si>
    <t>best subtotal index</t>
  </si>
  <si>
    <t>Project filename:</t>
  </si>
  <si>
    <t>Project codename/board ID:</t>
  </si>
  <si>
    <t>Variant/version:</t>
  </si>
  <si>
    <t>Bill of materials for costing</t>
  </si>
  <si>
    <t>Jacdac Padauk single Addressable RGB LED</t>
  </si>
  <si>
    <t>JacdacSingleRgbLed 42.PrjPCB</t>
  </si>
  <si>
    <t>Bill of Materials for Project [JacdacSingleRgbLed 42.PrjPCB] (No PCB Document Selected)</t>
  </si>
  <si>
    <t>JacdacSingleRgbLed</t>
  </si>
  <si>
    <t>42</t>
  </si>
  <si>
    <t>None</t>
  </si>
  <si>
    <t>0.3</t>
  </si>
  <si>
    <t>10/11/2021</t>
  </si>
  <si>
    <t>16:18</t>
  </si>
  <si>
    <t>1000</t>
  </si>
  <si>
    <t>USD</t>
  </si>
  <si>
    <t>Description</t>
  </si>
  <si>
    <t>CAP CER 33PF 50V NP0 0402</t>
  </si>
  <si>
    <t>CAP CER 1UF 10V X5R 0402</t>
  </si>
  <si>
    <t>DIODE ARRAY SCHOTTKY 30V SOT23</t>
  </si>
  <si>
    <t>TVS DIODE 5.5V 18V CLP0603</t>
  </si>
  <si>
    <t>1.6 x 0.8 x 0.55mm (0603) LED 605nm Orange</t>
  </si>
  <si>
    <t>WS2812B 5050 RGB LED WITH INTEGRATED DRIVER</t>
  </si>
  <si>
    <t>MOSFET Transistor, N Channel, 300 mA, 60 V, 2 ohm, 10 V, 2.5 V</t>
  </si>
  <si>
    <t>0603 1k@100MHz 0.8A chip</t>
  </si>
  <si>
    <t>RES SMD 220 OHM 1% 1/16W 0402</t>
  </si>
  <si>
    <t>RES SMD 1K OHM 1% 1/16W 0402</t>
  </si>
  <si>
    <t>RES SMD 10K OHM 1% 1/16W 0402</t>
  </si>
  <si>
    <t>ON SEMICONDUCTOR - NCP114ASN330T1G - LDO Voltage Regulator, Fixed, 1.7 V to 5.5 V in, 3.3 V/300 mA out, 150 mV drop, TSOP-5</t>
  </si>
  <si>
    <t>8bit OTP Type IO Controller</t>
  </si>
  <si>
    <t>Samsung</t>
  </si>
  <si>
    <t>Nexperia</t>
  </si>
  <si>
    <t>Vishay Semiconductors</t>
  </si>
  <si>
    <t>Rohm Semiconductor</t>
  </si>
  <si>
    <t>Shenzhen LED Color</t>
  </si>
  <si>
    <t>ON Semiconductor / Fairchild</t>
  </si>
  <si>
    <t>TDK</t>
  </si>
  <si>
    <t>Yageo</t>
  </si>
  <si>
    <t>ON Semiconductor</t>
  </si>
  <si>
    <t>PADAUK</t>
  </si>
  <si>
    <t>CL05C330JB51PNC</t>
  </si>
  <si>
    <t>CL05A105KP5NNNC</t>
  </si>
  <si>
    <t>BAT54S,235</t>
  </si>
  <si>
    <t>VBUS05B1-SD0-G4-08</t>
  </si>
  <si>
    <t>SML-D12D8WT86</t>
  </si>
  <si>
    <t>SK6812</t>
  </si>
  <si>
    <t>2N7002K</t>
  </si>
  <si>
    <t>MPZ1608S102ATA00</t>
  </si>
  <si>
    <t>RC0402FR-07220RL</t>
  </si>
  <si>
    <t>RC0402FR-071KL</t>
  </si>
  <si>
    <t>RC0402FR-0710KL</t>
  </si>
  <si>
    <t>NCP114ASN330T1G</t>
  </si>
  <si>
    <t>PMS150C-U6</t>
  </si>
  <si>
    <t>C1</t>
  </si>
  <si>
    <t>C2, C3, C4, C5</t>
  </si>
  <si>
    <t>D1</t>
  </si>
  <si>
    <t>D2, D3, D4, D5</t>
  </si>
  <si>
    <t>D6</t>
  </si>
  <si>
    <t>D7</t>
  </si>
  <si>
    <t>D8</t>
  </si>
  <si>
    <t>FB1</t>
  </si>
  <si>
    <t>R1</t>
  </si>
  <si>
    <t>R2</t>
  </si>
  <si>
    <t>R3, R4</t>
  </si>
  <si>
    <t>U1</t>
  </si>
  <si>
    <t>U2</t>
  </si>
  <si>
    <t>Supplier 1</t>
  </si>
  <si>
    <t>Digi-Key</t>
  </si>
  <si>
    <t>LCSC</t>
  </si>
  <si>
    <t>1276-6515-1-ND</t>
  </si>
  <si>
    <t>1276-1076-1-ND</t>
  </si>
  <si>
    <t>1727-1868-1-ND</t>
  </si>
  <si>
    <t>VBUS05B1-SD0-G4-08GICT-ND</t>
  </si>
  <si>
    <t>511-1577-1-ND</t>
  </si>
  <si>
    <t>1528-1104-ND</t>
  </si>
  <si>
    <t>2N7002KCT-ND</t>
  </si>
  <si>
    <t>445-8694-1-ND</t>
  </si>
  <si>
    <t>311-220LRCT-ND</t>
  </si>
  <si>
    <t>311-1.00KLRDKR-ND</t>
  </si>
  <si>
    <t>311-10.0KLRCT-ND</t>
  </si>
  <si>
    <t>NCP114ASN330T1GOSCT-ND</t>
  </si>
  <si>
    <t>C168658</t>
  </si>
  <si>
    <t>Mouser</t>
  </si>
  <si>
    <t>Farnell</t>
  </si>
  <si>
    <t>RSComponents</t>
  </si>
  <si>
    <t>187-CL05C330JB51PNC</t>
  </si>
  <si>
    <t>187-CL05A105KP5NNNC</t>
  </si>
  <si>
    <t>771-BAT54S235</t>
  </si>
  <si>
    <t>2932858</t>
  </si>
  <si>
    <t>485-1655</t>
  </si>
  <si>
    <t>512-2N7002K</t>
  </si>
  <si>
    <t>810-MPZ1608S102ATA00</t>
  </si>
  <si>
    <t>603-RC0402FR-07220RL</t>
  </si>
  <si>
    <t>603-RC0402FR-071KL</t>
  </si>
  <si>
    <t>603-RC0402FR-0710KL</t>
  </si>
  <si>
    <t>1263178</t>
  </si>
  <si>
    <t>Future Electronics</t>
  </si>
  <si>
    <t>Adafruit Industries</t>
  </si>
  <si>
    <t>6022520</t>
  </si>
  <si>
    <t>3013329</t>
  </si>
  <si>
    <t>1707990</t>
  </si>
  <si>
    <t>78-VBUS05B1SD0-G4-08</t>
  </si>
  <si>
    <t>1655</t>
  </si>
  <si>
    <t>2453382</t>
  </si>
  <si>
    <t>2147864</t>
  </si>
  <si>
    <t>2132441</t>
  </si>
  <si>
    <t>2363463</t>
  </si>
  <si>
    <t>863-NCP114ASN330T1G</t>
  </si>
  <si>
    <t>Arrow Electronics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</si>
</sst>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[$-C09]dd\-mmm\-yy;@"/>
    <numFmt numFmtId="165" formatCode="[$-409]h:mm:ss\ AM/PM;@"/>
    <numFmt numFmtId="166" formatCode="&quot;£&quot;#,##0.00"/>
  </numFmts>
  <fonts count="16">
    <font>
      <sz val="10"/>
      <name val="Arial"/>
      <charset val="0"/>
      <color theme="1"/>
    </font>
    <font>
      <sz val="10"/>
      <name val="Arial"/>
      <charset val="0"/>
      <color theme="1"/>
    </font>
    <font>
      <b/>
      <sz val="10"/>
      <name val="Arial"/>
      <charset val="0"/>
      <color theme="1"/>
    </font>
    <font>
      <sz val="10"/>
      <name val="Segoe UI"/>
      <charset val="0"/>
      <color theme="1"/>
    </font>
    <font>
      <sz val="10"/>
      <name val="Arial"/>
      <charset val="0"/>
      <color theme="1"/>
    </font>
    <font>
      <sz val="9"/>
      <name val="Segoe UI"/>
      <charset val="0"/>
      <color theme="1"/>
    </font>
    <font>
      <b/>
      <sz val="9"/>
      <name val="Segoe UI"/>
      <charset val="0"/>
      <color theme="1"/>
    </font>
    <font>
      <i/>
      <sz val="10"/>
      <name val="Segoe UI"/>
      <charset val="0"/>
      <color theme="1"/>
    </font>
    <font>
      <sz val="18"/>
      <name val="Segoe UI"/>
      <charset val="0"/>
      <color theme="1"/>
    </font>
    <font>
      <b/>
      <sz val="10"/>
      <name val="Segoe UI"/>
      <charset val="0"/>
      <color rgb="FFFF0000"/>
    </font>
    <font>
      <b/>
      <sz val="9"/>
      <name val="Segoe UI"/>
      <charset val="0"/>
      <color rgb="FFFF0000"/>
    </font>
    <font>
      <sz val="8"/>
      <name val="Segoe UI"/>
      <charset val="0"/>
      <color theme="1"/>
    </font>
    <font>
      <sz val="14"/>
      <name val="Segoe UI"/>
      <charset val="0"/>
      <color theme="1"/>
    </font>
    <font>
      <sz val="14"/>
      <name val="Arial"/>
      <charset val="0"/>
      <color theme="1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</fonts>
  <fills count="6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none">
        <fgColor indexed="64"/>
        <bgColor indexed="65"/>
      </patternFill>
    </fill>
  </fills>
  <borders count="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 style="thick">
        <color indexed="64"/>
      </bottom>
      <diagonal/>
    </border>
  </borders>
  <cellStyleXfs count="2">
    <xf xxid="0" numFmtId="0" fontId="0" fillId="0" borderId="0"/>
    <xf xxid="102" numFmtId="0" fontId="15" fillId="5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0" borderId="0" xfId="0" applyAlignment="1" applyBorder="1" applyFont="1" applyNumberFormat="1" applyFill="1" applyProtection="1">
      <alignment vertical="top"/>
    </xf>
    <xf xxid="3" numFmtId="0" fontId="1" fillId="0" borderId="0" xfId="0" applyAlignment="1" applyBorder="1" applyFont="1" applyNumberFormat="1" applyFill="1" applyProtection="1">
      <alignment vertical="top"/>
    </xf>
    <xf xxid="4" numFmtId="0" fontId="0" fillId="0" borderId="0" xfId="0" applyAlignment="1" applyBorder="1" applyFont="1" applyNumberFormat="1" applyFill="1" applyProtection="1">
      <alignment horizontal="left" vertical="top"/>
    </xf>
    <xf xxid="5" numFmtId="0" fontId="2" fillId="0" borderId="0" xfId="0" applyAlignment="1" applyBorder="1" applyFont="1" applyNumberFormat="1" applyFill="1" applyProtection="1">
      <alignment vertical="center"/>
    </xf>
    <xf xxid="6" numFmtId="0" fontId="3" fillId="0" borderId="0" xfId="0" applyAlignment="1" applyBorder="1" applyFont="1" applyNumberFormat="1" applyFill="1" applyProtection="1">
      <alignment horizontal="left"/>
    </xf>
    <xf xxid="7" numFmtId="0" fontId="3" fillId="0" borderId="0" xfId="0" applyAlignment="1" applyBorder="1" applyFont="1" applyNumberFormat="1" applyFill="1" applyProtection="1"/>
    <xf xxid="8" numFmtId="0" fontId="3" fillId="0" borderId="1" xfId="0" applyAlignment="1" applyBorder="1" applyFont="1" applyNumberFormat="1" applyFill="1" applyProtection="1">
      <alignment horizontal="left"/>
    </xf>
    <xf xxid="9" numFmtId="0" fontId="3" fillId="0" borderId="2" xfId="0" applyAlignment="1" applyBorder="1" applyFont="1" applyNumberFormat="1" applyFill="1" applyProtection="1"/>
    <xf xxid="10" numFmtId="164" fontId="3" fillId="0" borderId="3" xfId="0" applyAlignment="1" applyBorder="1" applyFont="1" applyNumberFormat="1" applyFill="1" applyProtection="1">
      <alignment horizontal="left"/>
    </xf>
    <xf xxid="11" numFmtId="49" fontId="3" fillId="0" borderId="3" xfId="0" applyAlignment="1" applyBorder="1" applyFont="1" applyNumberFormat="1" applyFill="1" applyProtection="1">
      <alignment horizontal="left"/>
    </xf>
    <xf xxid="12" numFmtId="0" fontId="3" fillId="0" borderId="2" xfId="0" applyAlignment="1" applyBorder="1" applyFont="1" applyNumberFormat="1" applyFill="1" applyProtection="1">
      <alignment vertical="top"/>
    </xf>
    <xf xxid="13" numFmtId="0" fontId="5" fillId="0" borderId="2" xfId="0" applyAlignment="1" applyBorder="1" applyFont="1" applyNumberFormat="1" applyFill="1" applyProtection="1">
      <alignment horizontal="right"/>
    </xf>
    <xf xxid="14" numFmtId="0" fontId="3" fillId="2" borderId="4" xfId="0" applyAlignment="1" applyBorder="1" applyFont="1" applyNumberFormat="1" applyFill="1" applyProtection="1"/>
    <xf xxid="15" numFmtId="0" fontId="3" fillId="2" borderId="5" xfId="0" applyAlignment="1" applyBorder="1" applyFont="1" applyNumberFormat="1" applyFill="1" applyProtection="1">
      <alignment horizontal="left"/>
    </xf>
    <xf xxid="16" numFmtId="0" fontId="3" fillId="2" borderId="5" xfId="0" applyAlignment="1" applyBorder="1" applyFont="1" applyNumberFormat="1" applyFill="1" applyProtection="1"/>
    <xf xxid="17" numFmtId="0" fontId="3" fillId="2" borderId="6" xfId="0" applyAlignment="1" applyBorder="1" applyFont="1" applyNumberFormat="1" applyFill="1" applyProtection="1"/>
    <xf xxid="18" numFmtId="0" fontId="3" fillId="3" borderId="2" xfId="0" applyAlignment="1" applyBorder="1" applyFont="1" applyNumberFormat="1" applyFill="1" applyProtection="1">
      <alignment vertical="top"/>
    </xf>
    <xf xxid="19" numFmtId="0" fontId="3" fillId="0" borderId="2" xfId="0" applyAlignment="1" applyBorder="1" applyFont="1" applyNumberFormat="1" applyFill="1" applyProtection="1">
      <alignment horizontal="right"/>
    </xf>
    <xf xxid="20" numFmtId="0" fontId="3" fillId="0" borderId="0" xfId="0" applyAlignment="1" applyBorder="1" applyFont="1" applyNumberFormat="1" applyFill="1" applyProtection="1">
      <alignment horizontal="right"/>
    </xf>
    <xf xxid="21" numFmtId="0" fontId="8" fillId="0" borderId="2" xfId="0" applyAlignment="1" applyBorder="1" applyFont="1" applyNumberFormat="1" applyFill="1" applyProtection="1">
      <alignment vertical="center"/>
    </xf>
    <xf xxid="22" numFmtId="0" fontId="8" fillId="0" borderId="0" xfId="0" applyAlignment="1" applyBorder="1" applyFont="1" applyNumberFormat="1" applyFill="1" applyProtection="1">
      <alignment horizontal="left" vertical="center"/>
    </xf>
    <xf xxid="23" numFmtId="49" fontId="3" fillId="0" borderId="7" xfId="0" applyAlignment="1" applyBorder="1" applyFont="1" applyNumberFormat="1" applyFill="1" applyProtection="1">
      <alignment horizontal="left"/>
    </xf>
    <xf xxid="24" numFmtId="49" fontId="3" fillId="0" borderId="0" xfId="0" applyAlignment="1" applyBorder="1" applyFont="1" applyNumberFormat="1" applyFill="1" applyProtection="1">
      <alignment horizontal="left"/>
    </xf>
    <xf xxid="25" numFmtId="49" fontId="3" fillId="0" borderId="0" xfId="0" applyAlignment="1" applyBorder="1" applyFont="1" applyNumberFormat="1" applyFill="1" applyProtection="1">
      <alignment horizontal="right"/>
    </xf>
    <xf xxid="26" numFmtId="165" fontId="3" fillId="0" borderId="3" xfId="0" applyAlignment="1" applyBorder="1" applyFont="1" applyNumberFormat="1" applyFill="1" applyProtection="1">
      <alignment horizontal="left"/>
    </xf>
    <xf xxid="27" numFmtId="0" fontId="3" fillId="0" borderId="3" xfId="0" applyAlignment="1" applyBorder="1" applyFont="1" applyNumberFormat="1" applyFill="1" applyProtection="1">
      <alignment horizontal="left"/>
    </xf>
    <xf xxid="28" numFmtId="4" fontId="3" fillId="3" borderId="2" xfId="0" applyAlignment="1" applyBorder="1" applyFont="1" applyNumberFormat="1" applyFill="1" applyProtection="1">
      <alignment vertical="top"/>
    </xf>
    <xf xxid="29" numFmtId="4" fontId="3" fillId="0" borderId="2" xfId="0" applyAlignment="1" applyBorder="1" applyFont="1" applyNumberFormat="1" applyFill="1" applyProtection="1">
      <alignment vertical="top"/>
    </xf>
    <xf xxid="30" numFmtId="0" fontId="3" fillId="3" borderId="8" xfId="0" applyAlignment="1" applyBorder="1" applyFont="1" applyNumberFormat="1" applyFill="1" applyProtection="1">
      <alignment vertical="top"/>
    </xf>
    <xf xxid="31" numFmtId="0" fontId="3" fillId="0" borderId="8" xfId="0" applyAlignment="1" applyBorder="1" applyFont="1" applyNumberFormat="1" applyFill="1" applyProtection="1">
      <alignment vertical="top"/>
    </xf>
    <xf xxid="32" numFmtId="0" fontId="3" fillId="3" borderId="9" xfId="0" applyAlignment="1" applyBorder="1" applyFont="1" applyNumberFormat="1" applyFill="1" applyProtection="1">
      <alignment vertical="top"/>
    </xf>
    <xf xxid="33" numFmtId="0" fontId="3" fillId="0" borderId="9" xfId="0" applyAlignment="1" applyBorder="1" applyFont="1" applyNumberFormat="1" applyFill="1" applyProtection="1">
      <alignment vertical="top"/>
    </xf>
    <xf xxid="34" numFmtId="0" fontId="3" fillId="3" borderId="10" xfId="0" applyAlignment="1" applyBorder="1" applyFont="1" applyNumberFormat="1" applyFill="1" applyProtection="1">
      <alignment vertical="top"/>
    </xf>
    <xf xxid="35" numFmtId="0" fontId="3" fillId="0" borderId="7" xfId="0" applyAlignment="1" applyBorder="1" applyFont="1" applyNumberFormat="1" applyFill="1" applyProtection="1">
      <alignment vertical="top"/>
    </xf>
    <xf xxid="36" numFmtId="0" fontId="3" fillId="0" borderId="11" xfId="0" applyAlignment="1" applyBorder="1" applyFont="1" applyNumberFormat="1" applyFill="1" applyProtection="1">
      <alignment vertical="top"/>
    </xf>
    <xf xxid="37" numFmtId="0" fontId="3" fillId="0" borderId="7" xfId="0" applyAlignment="1" applyBorder="1" applyFont="1" applyNumberFormat="1" applyFill="1" applyProtection="1">
      <alignment horizontal="right" vertical="top"/>
    </xf>
    <xf xxid="38" numFmtId="0" fontId="3" fillId="0" borderId="12" xfId="0" applyAlignment="1" applyBorder="1" applyFont="1" applyNumberFormat="1" applyFill="1" applyProtection="1">
      <alignment vertical="top"/>
    </xf>
    <xf xxid="39" numFmtId="4" fontId="3" fillId="0" borderId="0" xfId="0" applyAlignment="1" applyBorder="1" applyFont="1" applyNumberFormat="1" applyFill="1" applyProtection="1"/>
    <xf xxid="40" numFmtId="0" fontId="3" fillId="0" borderId="7" xfId="0" applyAlignment="1" applyBorder="1" applyFont="1" applyNumberFormat="1" applyFill="1" applyProtection="1">
      <alignment horizontal="left" vertical="top"/>
    </xf>
    <xf xxid="41" numFmtId="166" fontId="3" fillId="0" borderId="13" xfId="0" applyAlignment="1" applyBorder="1" applyFont="1" applyNumberFormat="1" applyFill="1" applyProtection="1">
      <alignment horizontal="right" vertical="top"/>
    </xf>
    <xf xxid="42" numFmtId="4" fontId="3" fillId="0" borderId="12" xfId="0" applyAlignment="1" applyBorder="1" applyFont="1" applyNumberFormat="1" applyFill="1" applyProtection="1">
      <alignment horizontal="right" vertical="top"/>
    </xf>
    <xf xxid="43" numFmtId="0" fontId="3" fillId="3" borderId="2" xfId="0" applyAlignment="1" applyBorder="1" applyFont="1" applyNumberFormat="1" applyFill="1" applyProtection="1">
      <alignment vertical="top" shrinkToFit="1"/>
    </xf>
    <xf xxid="44" numFmtId="0" fontId="3" fillId="0" borderId="2" xfId="0" applyAlignment="1" applyBorder="1" applyFont="1" applyNumberFormat="1" applyFill="1" applyProtection="1">
      <alignment vertical="top" shrinkToFit="1"/>
    </xf>
    <xf xxid="45" numFmtId="0" fontId="3" fillId="0" borderId="0" xfId="0" applyAlignment="1" applyBorder="1" applyFont="1" applyNumberFormat="1" applyFill="1" applyProtection="1">
      <alignment vertical="top"/>
    </xf>
    <xf xxid="46" numFmtId="0" fontId="3" fillId="2" borderId="2" xfId="0" applyAlignment="1" applyBorder="1" applyFont="1" applyNumberFormat="1" applyFill="1" applyProtection="1">
      <alignment vertical="top" wrapText="1"/>
      <protection locked="0"/>
    </xf>
    <xf xxid="47" numFmtId="0" fontId="3" fillId="2" borderId="0" xfId="0" applyAlignment="1" applyBorder="1" applyFont="1" applyNumberFormat="1" applyFill="1" applyProtection="1">
      <alignment vertical="top" wrapText="1"/>
      <protection locked="0"/>
    </xf>
    <xf xxid="48" numFmtId="0" fontId="3" fillId="2" borderId="0" xfId="0" applyAlignment="1" applyBorder="1" applyFont="1" applyNumberFormat="1" applyFill="1" applyProtection="1">
      <alignment horizontal="left" vertical="top" wrapText="1"/>
      <protection locked="0"/>
    </xf>
    <xf xxid="49" numFmtId="0" fontId="7" fillId="2" borderId="0" xfId="0" applyAlignment="1" applyBorder="1" applyFont="1" applyNumberFormat="1" applyFill="1" applyProtection="1">
      <alignment vertical="top" wrapText="1"/>
      <protection locked="0"/>
    </xf>
    <xf xxid="50" numFmtId="0" fontId="6" fillId="2" borderId="14" xfId="0" applyAlignment="1" applyBorder="1" applyFont="1" applyNumberFormat="1" applyFill="1" applyProtection="1">
      <alignment vertical="center" wrapText="1"/>
    </xf>
    <xf xxid="51" numFmtId="0" fontId="6" fillId="2" borderId="15" xfId="0" applyAlignment="1" applyBorder="1" applyFont="1" applyNumberFormat="1" applyFill="1" applyProtection="1">
      <alignment vertical="center" wrapText="1"/>
    </xf>
    <xf xxid="52" numFmtId="0" fontId="6" fillId="2" borderId="16" xfId="0" applyAlignment="1" applyBorder="1" applyFont="1" applyNumberFormat="1" applyFill="1" applyProtection="1">
      <alignment vertical="center" wrapText="1"/>
    </xf>
    <xf xxid="53" numFmtId="0" fontId="6" fillId="2" borderId="17" xfId="0" applyAlignment="1" applyBorder="1" applyFont="1" applyNumberFormat="1" applyFill="1" applyProtection="1">
      <alignment vertical="center" wrapText="1"/>
    </xf>
    <xf xxid="54" numFmtId="0" fontId="3" fillId="3" borderId="18" xfId="0" applyAlignment="1" applyBorder="1" applyFont="1" applyNumberFormat="1" applyFill="1" applyProtection="1">
      <alignment vertical="top"/>
    </xf>
    <xf xxid="55" numFmtId="0" fontId="3" fillId="0" borderId="18" xfId="0" applyAlignment="1" applyBorder="1" applyFont="1" applyNumberFormat="1" applyFill="1" applyProtection="1">
      <alignment vertical="top"/>
    </xf>
    <xf xxid="56" numFmtId="0" fontId="3" fillId="3" borderId="19" xfId="0" applyAlignment="1" applyBorder="1" applyFont="1" applyNumberFormat="1" applyFill="1" applyProtection="1">
      <alignment vertical="top"/>
    </xf>
    <xf xxid="57" numFmtId="0" fontId="3" fillId="0" borderId="11" xfId="0" applyAlignment="1" applyBorder="1" applyFont="1" applyNumberFormat="1" applyFill="1" applyProtection="1">
      <alignment horizontal="right" vertical="top"/>
    </xf>
    <xf xxid="58" numFmtId="0" fontId="3" fillId="0" borderId="20" xfId="0" applyAlignment="1" applyBorder="1" applyFont="1" applyNumberFormat="1" applyFill="1" applyProtection="1">
      <alignment vertical="top"/>
    </xf>
    <xf xxid="59" numFmtId="0" fontId="3" fillId="0" borderId="21" xfId="0" applyAlignment="1" applyBorder="1" applyFont="1" applyNumberFormat="1" applyFill="1" applyProtection="1">
      <alignment vertical="top"/>
    </xf>
    <xf xxid="60" numFmtId="0" fontId="3" fillId="0" borderId="22" xfId="0" applyAlignment="1" applyBorder="1" applyFont="1" applyNumberFormat="1" applyFill="1" applyProtection="1">
      <alignment vertical="top"/>
    </xf>
    <xf xxid="61" numFmtId="0" fontId="3" fillId="0" borderId="23" xfId="0" applyAlignment="1" applyBorder="1" applyFont="1" applyNumberFormat="1" applyFill="1" applyProtection="1">
      <alignment vertical="top"/>
    </xf>
    <xf xxid="62" numFmtId="166" fontId="3" fillId="0" borderId="0" xfId="0" applyAlignment="1" applyBorder="1" applyFont="1" applyNumberFormat="1" applyFill="1" applyProtection="1">
      <alignment horizontal="right" vertical="top"/>
    </xf>
    <xf xxid="63" numFmtId="4" fontId="3" fillId="0" borderId="0" xfId="0" applyAlignment="1" applyBorder="1" applyFont="1" applyNumberFormat="1" applyFill="1" applyProtection="1">
      <alignment vertical="top"/>
    </xf>
    <xf xxid="64" numFmtId="0" fontId="6" fillId="2" borderId="24" xfId="0" applyAlignment="1" applyBorder="1" applyFont="1" applyNumberFormat="1" applyFill="1" applyProtection="1">
      <alignment vertical="center" wrapText="1"/>
    </xf>
    <xf xxid="65" numFmtId="0" fontId="6" fillId="2" borderId="25" xfId="0" applyAlignment="1" applyBorder="1" applyFont="1" applyNumberFormat="1" applyFill="1" applyProtection="1">
      <alignment vertical="center" wrapText="1"/>
    </xf>
    <xf xxid="66" numFmtId="4" fontId="3" fillId="3" borderId="26" xfId="0" applyAlignment="1" applyBorder="1" applyFont="1" applyNumberFormat="1" applyFill="1" applyProtection="1">
      <alignment vertical="top"/>
    </xf>
    <xf xxid="67" numFmtId="4" fontId="3" fillId="0" borderId="26" xfId="0" applyAlignment="1" applyBorder="1" applyFont="1" applyNumberFormat="1" applyFill="1" applyProtection="1">
      <alignment vertical="top"/>
    </xf>
    <xf xxid="68" numFmtId="4" fontId="3" fillId="3" borderId="27" xfId="0" applyAlignment="1" applyBorder="1" applyFont="1" applyNumberFormat="1" applyFill="1" applyProtection="1">
      <alignment vertical="top"/>
    </xf>
    <xf xxid="69" numFmtId="166" fontId="9" fillId="0" borderId="28" xfId="0" applyAlignment="1" applyBorder="1" applyFont="1" applyNumberFormat="1" applyFill="1" applyProtection="1">
      <alignment horizontal="right" vertical="top"/>
    </xf>
    <xf xxid="70" numFmtId="4" fontId="9" fillId="0" borderId="22" xfId="0" applyAlignment="1" applyBorder="1" applyFont="1" applyNumberFormat="1" applyFill="1" applyProtection="1">
      <alignment horizontal="right" vertical="top"/>
    </xf>
    <xf xxid="71" numFmtId="4" fontId="9" fillId="0" borderId="29" xfId="0" applyAlignment="1" applyBorder="1" applyFont="1" applyNumberFormat="1" applyFill="1" applyProtection="1">
      <alignment vertical="top"/>
    </xf>
    <xf xxid="72" numFmtId="0" fontId="10" fillId="0" borderId="2" xfId="0" applyAlignment="1" applyBorder="1" applyFont="1" applyNumberFormat="1" applyFill="1" applyProtection="1">
      <alignment horizontal="right"/>
    </xf>
    <xf xxid="73" numFmtId="49" fontId="9" fillId="0" borderId="3" xfId="0" applyAlignment="1" applyBorder="1" applyFont="1" applyNumberFormat="1" applyFill="1" applyProtection="1">
      <alignment horizontal="left"/>
    </xf>
    <xf xxid="74" numFmtId="0" fontId="11" fillId="2" borderId="15" xfId="0" applyAlignment="1" applyBorder="1" applyFont="1" applyNumberFormat="1" applyFill="1" applyProtection="1">
      <alignment vertical="center" wrapText="1"/>
    </xf>
    <xf xxid="75" numFmtId="4" fontId="9" fillId="0" borderId="30" xfId="0" applyAlignment="1" applyBorder="1" applyFont="1" applyNumberFormat="1" applyFill="1" applyProtection="1">
      <alignment horizontal="right" vertical="top"/>
    </xf>
    <xf xxid="76" numFmtId="0" fontId="3" fillId="3" borderId="26" xfId="0" applyAlignment="1" applyBorder="1" applyFont="1" applyNumberFormat="1" applyFill="1" applyProtection="1">
      <alignment vertical="top"/>
    </xf>
    <xf xxid="77" numFmtId="0" fontId="3" fillId="4" borderId="26" xfId="0" applyAlignment="1" applyBorder="1" applyFont="1" applyNumberFormat="1" applyFill="1" applyProtection="1">
      <alignment vertical="top"/>
    </xf>
    <xf xxid="78" numFmtId="0" fontId="0" fillId="0" borderId="18" xfId="0" applyAlignment="1" applyBorder="1" applyFont="1" applyNumberFormat="1" applyFill="1" applyProtection="1">
      <alignment vertical="top"/>
    </xf>
    <xf xxid="79" numFmtId="0" fontId="0" fillId="0" borderId="31" xfId="0" applyAlignment="1" applyBorder="1" applyFont="1" applyNumberFormat="1" applyFill="1" applyProtection="1">
      <alignment vertical="top"/>
    </xf>
    <xf xxid="80" numFmtId="4" fontId="0" fillId="0" borderId="26" xfId="0" applyAlignment="1" applyBorder="1" applyFont="1" applyNumberFormat="1" applyFill="1" applyProtection="1">
      <alignment vertical="top"/>
    </xf>
    <xf xxid="81" numFmtId="4" fontId="0" fillId="0" borderId="31" xfId="0" applyAlignment="1" applyBorder="1" applyFont="1" applyNumberFormat="1" applyFill="1" applyProtection="1">
      <alignment vertical="top"/>
    </xf>
    <xf xxid="82" numFmtId="0" fontId="0" fillId="3" borderId="18" xfId="0" applyAlignment="1" applyBorder="1" applyFont="1" applyNumberFormat="1" applyFill="1" applyProtection="1">
      <alignment vertical="top"/>
    </xf>
    <xf xxid="83" numFmtId="0" fontId="0" fillId="3" borderId="31" xfId="0" applyAlignment="1" applyBorder="1" applyFont="1" applyNumberFormat="1" applyFill="1" applyProtection="1">
      <alignment vertical="top"/>
    </xf>
    <xf xxid="84" numFmtId="4" fontId="0" fillId="3" borderId="31" xfId="0" applyAlignment="1" applyBorder="1" applyFont="1" applyNumberFormat="1" applyFill="1" applyProtection="1">
      <alignment vertical="top"/>
    </xf>
    <xf xxid="85" numFmtId="4" fontId="0" fillId="3" borderId="26" xfId="0" applyAlignment="1" applyBorder="1" applyFont="1" applyNumberFormat="1" applyFill="1" applyProtection="1">
      <alignment vertical="top"/>
    </xf>
    <xf xxid="86" numFmtId="4" fontId="3" fillId="0" borderId="20" xfId="0" applyAlignment="1" applyBorder="1" applyFont="1" applyNumberFormat="1" applyFill="1" applyProtection="1">
      <alignment vertical="top"/>
    </xf>
    <xf xxid="87" numFmtId="4" fontId="3" fillId="0" borderId="32" xfId="0" applyAlignment="1" applyBorder="1" applyFont="1" applyNumberFormat="1" applyFill="1" applyProtection="1">
      <alignment vertical="top"/>
    </xf>
    <xf xxid="88" numFmtId="4" fontId="3" fillId="0" borderId="33" xfId="0" applyAlignment="1" applyBorder="1" applyFont="1" applyNumberFormat="1" applyFill="1" applyProtection="1">
      <alignment vertical="top"/>
    </xf>
    <xf xxid="89" numFmtId="4" fontId="3" fillId="0" borderId="23" xfId="0" applyAlignment="1" applyBorder="1" applyFont="1" applyNumberFormat="1" applyFill="1" applyProtection="1">
      <alignment vertical="top"/>
    </xf>
    <xf xxid="90" numFmtId="0" fontId="12" fillId="0" borderId="0" xfId="0" applyAlignment="1" applyBorder="1" applyFont="1" applyNumberFormat="1" applyFill="1" applyProtection="1">
      <alignment vertical="center"/>
    </xf>
    <xf xxid="91" numFmtId="0" fontId="13" fillId="0" borderId="0" xfId="0" applyAlignment="1" applyBorder="1" applyFont="1" applyNumberFormat="1" applyFill="1" applyProtection="1">
      <alignment vertical="top"/>
    </xf>
    <xf xxid="92" numFmtId="0" fontId="12" fillId="0" borderId="0" xfId="0" applyAlignment="1" applyBorder="1" applyFont="1" applyNumberFormat="1" applyFill="1" applyProtection="1"/>
    <xf xxid="93" numFmtId="0" fontId="13" fillId="0" borderId="0" xfId="0" applyAlignment="1" applyBorder="1" applyFont="1" applyNumberFormat="1" applyFill="1" applyProtection="1"/>
    <xf xxid="94" numFmtId="49" fontId="3" fillId="3" borderId="2" xfId="0" applyAlignment="1" applyBorder="1" applyFont="1" applyNumberFormat="1" applyFill="1" applyProtection="1">
      <alignment vertical="top"/>
    </xf>
    <xf xxid="95" numFmtId="49" fontId="3" fillId="0" borderId="2" xfId="0" applyAlignment="1" applyBorder="1" applyFont="1" applyNumberFormat="1" applyFill="1" applyProtection="1">
      <alignment vertical="top"/>
    </xf>
    <xf xxid="96" numFmtId="0" fontId="0" fillId="0" borderId="0" xfId="0"/>
    <xf xxid="97" numFmtId="0" fontId="12" fillId="0" borderId="0" xfId="0" applyAlignment="1" applyBorder="1" applyFont="1" applyNumberFormat="1" applyFill="1" applyProtection="1" quotePrefix="1">
      <alignment vertical="center"/>
    </xf>
    <xf xxid="98" numFmtId="0" fontId="3" fillId="0" borderId="0" xfId="0" applyAlignment="1" applyBorder="1" applyFont="1" applyNumberFormat="1" applyFill="1" applyProtection="1" quotePrefix="1">
      <alignment horizontal="left"/>
    </xf>
    <xf xxid="99" numFmtId="0" fontId="3" fillId="0" borderId="3" xfId="0" applyAlignment="1" applyBorder="1" applyFont="1" applyNumberFormat="1" applyFill="1" applyProtection="1" quotePrefix="1">
      <alignment horizontal="left"/>
    </xf>
    <xf xxid="100" numFmtId="0" fontId="3" fillId="0" borderId="1" xfId="0" applyAlignment="1" applyBorder="1" applyFont="1" applyNumberFormat="1" applyFill="1" applyProtection="1" quotePrefix="1">
      <alignment horizontal="left"/>
    </xf>
    <xf xxid="101" numFmtId="49" fontId="9" fillId="0" borderId="3" xfId="0" applyAlignment="1" applyBorder="1" applyFont="1" applyNumberFormat="1" applyFill="1" applyProtection="1" quotePrefix="1">
      <alignment horizontal="left"/>
    </xf>
  </cellXfs>
  <cellStyles count="2">
    <cellStyle name="Normal" xfId="0" builtinId="0"/>
    <cellStyle name="Hyperlink" xfId="1" builtinId="8"/>
  </cellStyles>
  <dxfs count="0"/>
  <tableStyles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AB43"/>
  <sheetViews>
    <sheetView showGridLines="0" zoomScale="85" zoomScaleNormal="85" view="normal" workbookViewId="0">
      <selection pane="topLeft" activeCell="A2" sqref="A2"/>
    </sheetView>
  </sheetViews>
  <sheetFormatPr defaultColWidth="9.13671875" defaultRowHeight="12.75" baseColWidth="0"/>
  <cols>
    <col min="1" max="1" width="51.7109375" style="1" customWidth="1"/>
    <col min="2" max="2" width="29.8515625" style="1" customWidth="1"/>
    <col min="3" max="3" width="24.8515625" style="3" customWidth="1"/>
    <col min="4" max="4" width="26.8515625" style="3" customWidth="1"/>
    <col min="5" max="6" width="9.421875" style="1" customWidth="1"/>
    <col min="7" max="7" width="9.8515625" customWidth="1"/>
    <col min="8" max="8" width="12.8515625" style="1" customWidth="1"/>
    <col min="9" max="9" width="18.421875" style="1" customWidth="1"/>
    <col min="10" max="10" width="7.8515625" style="1" customWidth="1"/>
    <col min="11" max="11" width="6.421875" style="1" hidden="1" customWidth="1"/>
    <col min="12" max="12" width="9.7109375" style="1" customWidth="1"/>
    <col min="13" max="13" width="9.56640625" style="1" customWidth="1"/>
    <col min="14" max="14" width="16.7109375" style="1" customWidth="1"/>
    <col min="15" max="15" width="7.7109375" style="1" customWidth="1"/>
    <col min="16" max="16" width="8.8515625" style="1" customWidth="1"/>
    <col min="17" max="17" width="9.56640625" style="1" customWidth="1"/>
    <col min="18" max="18" width="16.7109375" style="1" customWidth="1"/>
    <col min="19" max="19" width="7.7109375" style="1" customWidth="1"/>
    <col min="20" max="20" width="8.8515625" style="1" customWidth="1"/>
    <col min="21" max="21" width="9.56640625" style="1" customWidth="1"/>
    <col min="22" max="22" width="16.7109375" style="1" customWidth="1"/>
    <col min="23" max="23" width="7.7109375" style="1" customWidth="1"/>
    <col min="24" max="24" width="8.8515625" style="1" customWidth="1"/>
    <col min="25" max="25" width="9.56640625" style="1" customWidth="1"/>
    <col min="26" max="26" width="16.7109375" style="1" customWidth="1"/>
    <col min="27" max="27" width="7.7109375" style="1" customWidth="1"/>
    <col min="28" max="28" width="8.8515625" style="1" customWidth="1"/>
    <col min="29" max="16384" width="9.13671875" style="1" customWidth="1"/>
  </cols>
  <sheetData>
    <row r="1" spans="1:28" ht="6" customHeight="1" thickBot="1">
      <c r="A1" s="13"/>
      <c r="B1" s="15"/>
      <c r="C1" s="14"/>
      <c r="D1" s="14"/>
      <c r="E1" s="14"/>
      <c r="F1" s="15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</row>
    <row r="2" spans="1:27" ht="37.5" customHeight="1">
      <c r="A2" s="20" t="s">
        <v>37</v>
      </c>
      <c r="B2" s="21" t="s">
        <v>8</v>
      </c>
      <c r="C2" s="21"/>
      <c r="D2" s="96" t="s">
        <v>38</v>
      </c>
      <c r="E2" s="90"/>
      <c r="F2" s="91"/>
      <c r="G2" s="92"/>
      <c r="H2" s="91"/>
      <c r="J2" s="6"/>
      <c r="K2" s="6"/>
      <c r="L2" s="6"/>
      <c r="M2" s="6"/>
      <c r="N2" s="6"/>
      <c r="O2" s="6"/>
      <c r="P2" s="6"/>
      <c r="Q2" s="6"/>
      <c r="R2" s="6"/>
      <c r="S2" s="6"/>
      <c r="U2" s="6"/>
      <c r="V2" s="6"/>
      <c r="W2" s="6"/>
      <c r="Y2" s="6"/>
      <c r="Z2" s="6"/>
      <c r="AA2" s="6"/>
    </row>
    <row r="3" spans="1:27" ht="23.25" customHeight="1">
      <c r="A3" s="19" t="s">
        <v>2</v>
      </c>
      <c r="B3" s="97" t="s">
        <v>39</v>
      </c>
      <c r="C3" s="5"/>
      <c r="D3" s="96" t="s">
        <v>40</v>
      </c>
      <c r="E3" s="6"/>
      <c r="F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U3" s="6"/>
      <c r="V3" s="6"/>
      <c r="W3" s="6"/>
      <c r="Y3" s="6"/>
      <c r="Z3" s="6"/>
      <c r="AA3" s="6"/>
    </row>
    <row r="4" spans="1:27" ht="17.25" customHeight="1">
      <c r="A4" s="19" t="s">
        <v>34</v>
      </c>
      <c r="B4" s="98" t="s">
        <v>39</v>
      </c>
      <c r="C4" s="26"/>
      <c r="D4"/>
      <c r="E4" s="6"/>
      <c r="F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U4" s="6"/>
      <c r="V4" s="6"/>
      <c r="W4" s="6"/>
      <c r="Y4" s="6"/>
      <c r="Z4" s="6"/>
      <c r="AA4" s="6"/>
    </row>
    <row r="5" spans="1:27" ht="17.25" customHeight="1">
      <c r="A5" s="19" t="s">
        <v>35</v>
      </c>
      <c r="B5" s="98" t="s">
        <v>41</v>
      </c>
      <c r="C5" s="98" t="s">
        <v>42</v>
      </c>
      <c r="D5"/>
      <c r="E5" s="6"/>
      <c r="F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U5" s="6"/>
      <c r="V5" s="6"/>
      <c r="W5" s="6"/>
      <c r="Y5" s="6"/>
      <c r="Z5" s="6"/>
      <c r="AA5" s="6"/>
    </row>
    <row r="6" spans="1:27" ht="17.25" customHeight="1">
      <c r="A6" s="19" t="s">
        <v>36</v>
      </c>
      <c r="B6" s="99" t="s">
        <v>43</v>
      </c>
      <c r="C6" s="99" t="s">
        <v>44</v>
      </c>
      <c r="D6"/>
      <c r="E6" s="6"/>
      <c r="F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U6" s="6"/>
      <c r="V6" s="6"/>
      <c r="W6" s="6"/>
      <c r="Y6" s="6"/>
      <c r="Z6" s="6"/>
      <c r="AA6" s="6"/>
    </row>
    <row r="7" spans="1:27" ht="15.75" customHeight="1">
      <c r="A7" s="12" t="s">
        <v>0</v>
      </c>
      <c r="B7" s="99" t="s">
        <v>45</v>
      </c>
      <c r="C7" s="98" t="s">
        <v>46</v>
      </c>
      <c r="D7"/>
      <c r="E7" s="6"/>
      <c r="F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U7" s="6"/>
      <c r="V7" s="6"/>
      <c r="W7" s="6"/>
      <c r="Y7" s="6"/>
      <c r="Z7" s="6"/>
      <c r="AA7" s="6"/>
    </row>
    <row r="8" spans="1:27" ht="15.75" customHeight="1">
      <c r="A8" s="18" t="s">
        <v>1</v>
      </c>
      <c r="B8" s="9">
        <f ca="1">TODAY()</f>
        <v>44510</v>
      </c>
      <c r="C8" s="25">
        <f ca="1">NOW()</f>
        <v>44510.679551365742</v>
      </c>
      <c r="D8"/>
      <c r="E8" s="6"/>
      <c r="F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U8" s="6"/>
      <c r="V8" s="6"/>
      <c r="W8" s="6"/>
      <c r="Y8" s="6"/>
      <c r="Z8" s="6"/>
      <c r="AA8" s="6"/>
    </row>
    <row r="9" spans="1:27" ht="15.75" customHeight="1">
      <c r="A9" s="12"/>
      <c r="B9" s="10"/>
      <c r="C9" s="10"/>
      <c r="D9"/>
      <c r="E9" s="6"/>
      <c r="F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U9" s="6"/>
      <c r="V9" s="6"/>
      <c r="W9" s="6"/>
      <c r="Y9" s="6"/>
      <c r="Z9" s="6"/>
      <c r="AA9" s="6"/>
    </row>
    <row r="10" spans="1:27" ht="15.75" customHeight="1">
      <c r="A10" s="71" t="s">
        <v>18</v>
      </c>
      <c r="B10" s="100" t="s">
        <v>47</v>
      </c>
      <c r="C10" s="22"/>
      <c r="D10"/>
      <c r="E10" s="6"/>
      <c r="F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U10" s="6"/>
      <c r="V10" s="6"/>
      <c r="W10" s="6"/>
      <c r="Y10" s="6"/>
      <c r="Z10" s="6"/>
      <c r="AA10" s="6"/>
    </row>
    <row r="11" spans="1:27" ht="15.75" customHeight="1">
      <c r="A11" s="71" t="s">
        <v>5</v>
      </c>
      <c r="B11" s="100" t="s">
        <v>48</v>
      </c>
      <c r="C11" s="24"/>
      <c r="D11" s="23"/>
      <c r="H11" s="19"/>
      <c r="I11" s="38"/>
      <c r="J11" s="38"/>
      <c r="K11" s="38"/>
      <c r="L11" s="6"/>
      <c r="M11" s="6"/>
      <c r="N11" s="6"/>
      <c r="O11" s="6"/>
      <c r="P11" s="6"/>
      <c r="Q11" s="6"/>
      <c r="R11" s="6"/>
      <c r="S11" s="6"/>
      <c r="U11" s="6"/>
      <c r="V11" s="6"/>
      <c r="W11" s="6"/>
      <c r="Y11" s="6"/>
      <c r="Z11" s="6"/>
      <c r="AA11" s="6"/>
    </row>
    <row r="12" spans="1:27" ht="15.75" customHeight="1" thickBot="1">
      <c r="A12" s="8"/>
      <c r="B12" s="6"/>
      <c r="C12" s="6"/>
      <c r="D12" s="19"/>
      <c r="E12" s="44"/>
      <c r="F12" s="44"/>
      <c r="I12" s="61"/>
      <c r="J12" s="61"/>
      <c r="K12" s="61"/>
      <c r="L12" s="62"/>
      <c r="M12" s="6"/>
      <c r="N12" s="6"/>
      <c r="O12" s="6"/>
      <c r="P12" s="6"/>
      <c r="Q12" s="6"/>
      <c r="R12" s="6"/>
      <c r="S12" s="6"/>
      <c r="U12" s="6"/>
      <c r="V12" s="6"/>
      <c r="W12" s="6"/>
      <c r="Y12" s="6"/>
      <c r="Z12" s="6"/>
      <c r="AA12" s="6"/>
    </row>
    <row r="13" spans="1:28" s="4" customFormat="1" ht="39" customHeight="1" thickTop="1">
      <c r="A13" s="49" t="s">
        <v>49</v>
      </c>
      <c r="B13" s="50" t="s">
        <v>26</v>
      </c>
      <c r="C13" s="50" t="s">
        <v>19</v>
      </c>
      <c r="D13" s="50" t="s">
        <v>3</v>
      </c>
      <c r="E13" s="51" t="s">
        <v>15</v>
      </c>
      <c r="F13" s="52" t="s">
        <v>14</v>
      </c>
      <c r="G13"/>
      <c r="H13" s="63" t="s">
        <v>6</v>
      </c>
      <c r="I13" s="50" t="s">
        <v>7</v>
      </c>
      <c r="J13" s="50" t="s">
        <v>32</v>
      </c>
      <c r="K13" s="73" t="s">
        <v>33</v>
      </c>
      <c r="L13" s="52" t="s">
        <v>13</v>
      </c>
      <c r="M13" s="63" t="s">
        <v>99</v>
      </c>
      <c r="N13" s="50" t="s">
        <v>9</v>
      </c>
      <c r="O13" s="50" t="s">
        <v>28</v>
      </c>
      <c r="P13" s="50" t="s">
        <v>4</v>
      </c>
      <c r="Q13" s="64" t="s">
        <v>10</v>
      </c>
      <c r="R13" s="50" t="s">
        <v>11</v>
      </c>
      <c r="S13" s="50" t="s">
        <v>29</v>
      </c>
      <c r="T13" s="50" t="s">
        <v>12</v>
      </c>
      <c r="U13" s="64" t="s">
        <v>20</v>
      </c>
      <c r="V13" s="50" t="s">
        <v>21</v>
      </c>
      <c r="W13" s="50" t="s">
        <v>30</v>
      </c>
      <c r="X13" s="50" t="s">
        <v>22</v>
      </c>
      <c r="Y13" s="64" t="s">
        <v>23</v>
      </c>
      <c r="Z13" s="50" t="s">
        <v>24</v>
      </c>
      <c r="AA13" s="50" t="s">
        <v>31</v>
      </c>
      <c r="AB13" s="52" t="s">
        <v>25</v>
      </c>
    </row>
    <row r="14" spans="1:28" s="2" customFormat="1" ht="16.5" customHeight="1">
      <c r="A14" s="53" t="s">
        <v>50</v>
      </c>
      <c r="B14" s="17" t="s">
        <v>63</v>
      </c>
      <c r="C14" s="93" t="s">
        <v>73</v>
      </c>
      <c r="D14" s="42" t="s">
        <v>86</v>
      </c>
      <c r="E14" s="17">
        <v>1</v>
      </c>
      <c r="F14" s="75">
        <f>E14*$B$10</f>
        <v>1000</v>
      </c>
      <c r="G14"/>
      <c r="H14" s="81" t="str">
        <f>IF(INDEX($M14:$AB14,$K14-3)&lt;&gt;0, INDEX($M14:$AB14,$K14-3), "")</f>
        <v>Digi-Key</v>
      </c>
      <c r="I14" s="82" t="str">
        <f>IF(INDEX($M14:$AB14,$K14-2)&lt;&gt;0, INDEX($M14:$AB14,$K14-2), "")</f>
        <v>1276-6515-1-ND</v>
      </c>
      <c r="J14" s="83">
        <f>IF(INDEX($M14:$AB14,$K14-1)&lt;&gt;0, INDEX($M14:$AB14,$K14-1), "")</f>
        <v>0.01122</v>
      </c>
      <c r="K14" s="82">
        <f>MATCH(MIN($P14,$T14,$X14,$AB14), $M14:$AB14,0)</f>
        <v>4</v>
      </c>
      <c r="L14" s="84">
        <f>IF(MIN($P14,$T14,$X14,$AB14)&lt;&gt;0,MIN($P14,$T14,$X14,$AB14),"")</f>
        <v>11.22</v>
      </c>
      <c r="M14" s="29" t="s">
        <v>100</v>
      </c>
      <c r="N14" s="17" t="s">
        <v>102</v>
      </c>
      <c r="O14" s="27">
        <v>0.01122</v>
      </c>
      <c r="P14" s="27">
        <v>11.22</v>
      </c>
      <c r="Q14" s="31" t="s">
        <v>115</v>
      </c>
      <c r="R14" s="17" t="s">
        <v>118</v>
      </c>
      <c r="S14" s="27">
        <v>0.013</v>
      </c>
      <c r="T14" s="27">
        <v>13</v>
      </c>
      <c r="U14" s="31" t="s">
        <v>129</v>
      </c>
      <c r="V14" s="17" t="s">
        <v>131</v>
      </c>
      <c r="W14" s="27"/>
      <c r="X14" s="27"/>
      <c r="Y14" s="31"/>
      <c r="Z14" s="17"/>
      <c r="AA14" s="27"/>
      <c r="AB14" s="65"/>
    </row>
    <row r="15" spans="1:28" s="2" customFormat="1" ht="16.5" customHeight="1">
      <c r="A15" s="54" t="s">
        <v>51</v>
      </c>
      <c r="B15" s="11" t="s">
        <v>63</v>
      </c>
      <c r="C15" s="94" t="s">
        <v>74</v>
      </c>
      <c r="D15" s="43" t="s">
        <v>87</v>
      </c>
      <c r="E15" s="11">
        <v>4</v>
      </c>
      <c r="F15" s="76">
        <f t="shared" si="0" ref="F15:F26">E15*$B$10</f>
        <v>4000</v>
      </c>
      <c r="G15"/>
      <c r="H15" s="77" t="str">
        <f>IF(INDEX($M15:$AB15,$K15-3)&lt;&gt;0, INDEX($M15:$AB15,$K15-3), "")</f>
        <v>Digi-Key</v>
      </c>
      <c r="I15" s="78" t="str">
        <f>IF(INDEX($M15:$AB15,$K15-2)&lt;&gt;0, INDEX($M15:$AB15,$K15-2), "")</f>
        <v>1276-1076-1-ND</v>
      </c>
      <c r="J15" s="80">
        <f>IF(INDEX($M15:$AB15,$K15-1)&lt;&gt;0, INDEX($M15:$AB15,$K15-1), "")</f>
        <v>0.00934</v>
      </c>
      <c r="K15" s="78">
        <f>MATCH(MIN($P15,$T15,$X15,$AB15), $M15:$AB15,0)</f>
        <v>4</v>
      </c>
      <c r="L15" s="79">
        <f>IF(MIN($P15,$T15,$X15,$AB15)&lt;&gt;0,MIN($P15,$T15,$X15,$AB15),"")</f>
        <v>37.36</v>
      </c>
      <c r="M15" s="30" t="s">
        <v>100</v>
      </c>
      <c r="N15" s="11" t="s">
        <v>103</v>
      </c>
      <c r="O15" s="28">
        <v>0.00934</v>
      </c>
      <c r="P15" s="28">
        <v>37.36</v>
      </c>
      <c r="Q15" s="32" t="s">
        <v>115</v>
      </c>
      <c r="R15" s="11" t="s">
        <v>119</v>
      </c>
      <c r="S15" s="28">
        <v>0.011</v>
      </c>
      <c r="T15" s="28">
        <v>44</v>
      </c>
      <c r="U15" s="32" t="s">
        <v>116</v>
      </c>
      <c r="V15" s="11" t="s">
        <v>132</v>
      </c>
      <c r="W15" s="28">
        <v>0.0122</v>
      </c>
      <c r="X15" s="28">
        <v>48.8</v>
      </c>
      <c r="Y15" s="32"/>
      <c r="Z15" s="11"/>
      <c r="AA15" s="28"/>
      <c r="AB15" s="66"/>
    </row>
    <row r="16" spans="1:28" s="2" customFormat="1" ht="16.5" customHeight="1">
      <c r="A16" s="53" t="s">
        <v>52</v>
      </c>
      <c r="B16" s="17" t="s">
        <v>64</v>
      </c>
      <c r="C16" s="93" t="s">
        <v>75</v>
      </c>
      <c r="D16" s="42" t="s">
        <v>88</v>
      </c>
      <c r="E16" s="17">
        <v>1</v>
      </c>
      <c r="F16" s="75">
        <f>E16*$B$10</f>
        <v>1000</v>
      </c>
      <c r="G16"/>
      <c r="H16" s="81" t="str">
        <f>IF(INDEX($M16:$AB16,$K16-3)&lt;&gt;0, INDEX($M16:$AB16,$K16-3), "")</f>
        <v>Mouser</v>
      </c>
      <c r="I16" s="82" t="str">
        <f>IF(INDEX($M16:$AB16,$K16-2)&lt;&gt;0, INDEX($M16:$AB16,$K16-2), "")</f>
        <v>771-BAT54S235</v>
      </c>
      <c r="J16" s="83">
        <f>IF(INDEX($M16:$AB16,$K16-1)&lt;&gt;0, INDEX($M16:$AB16,$K16-1), "")</f>
        <v>0.03135</v>
      </c>
      <c r="K16" s="82">
        <f>MATCH(MIN($P16,$T16,$X16,$AB16), $M16:$AB16,0)</f>
        <v>8</v>
      </c>
      <c r="L16" s="84">
        <f>IF(MIN($P16,$T16,$X16,$AB16)&lt;&gt;0,MIN($P16,$T16,$X16,$AB16),"")</f>
        <v>31.35</v>
      </c>
      <c r="M16" s="29" t="s">
        <v>100</v>
      </c>
      <c r="N16" s="17" t="s">
        <v>104</v>
      </c>
      <c r="O16" s="27"/>
      <c r="P16" s="27"/>
      <c r="Q16" s="31" t="s">
        <v>115</v>
      </c>
      <c r="R16" s="17" t="s">
        <v>120</v>
      </c>
      <c r="S16" s="27">
        <v>0.03135</v>
      </c>
      <c r="T16" s="27">
        <v>31.35</v>
      </c>
      <c r="U16" s="31" t="s">
        <v>117</v>
      </c>
      <c r="V16" s="17" t="s">
        <v>133</v>
      </c>
      <c r="W16" s="27">
        <v>0.037</v>
      </c>
      <c r="X16" s="27">
        <v>37</v>
      </c>
      <c r="Y16" s="31"/>
      <c r="Z16" s="17"/>
      <c r="AA16" s="27"/>
      <c r="AB16" s="65"/>
    </row>
    <row r="17" spans="1:28" s="2" customFormat="1" ht="16.5" customHeight="1">
      <c r="A17" s="54" t="s">
        <v>53</v>
      </c>
      <c r="B17" s="11" t="s">
        <v>65</v>
      </c>
      <c r="C17" s="94" t="s">
        <v>76</v>
      </c>
      <c r="D17" s="43" t="s">
        <v>89</v>
      </c>
      <c r="E17" s="11">
        <v>4</v>
      </c>
      <c r="F17" s="76">
        <f>E17*$B$10</f>
        <v>4000</v>
      </c>
      <c r="G17"/>
      <c r="H17" s="77" t="str">
        <f>IF(INDEX($M17:$AB17,$K17-3)&lt;&gt;0, INDEX($M17:$AB17,$K17-3), "")</f>
        <v>Arrow Electronics</v>
      </c>
      <c r="I17" s="78" t="str">
        <f>IF(INDEX($M17:$AB17,$K17-2)&lt;&gt;0, INDEX($M17:$AB17,$K17-2), "")</f>
        <v>VBUS05B1-SD0-G4-08</v>
      </c>
      <c r="J17" s="80">
        <f>IF(INDEX($M17:$AB17,$K17-1)&lt;&gt;0, INDEX($M17:$AB17,$K17-1), "")</f>
        <v>0.05187</v>
      </c>
      <c r="K17" s="78">
        <f>MATCH(MIN($P17,$T17,$X17,$AB17), $M17:$AB17,0)</f>
        <v>16</v>
      </c>
      <c r="L17" s="79">
        <f>IF(MIN($P17,$T17,$X17,$AB17)&lt;&gt;0,MIN($P17,$T17,$X17,$AB17),"")</f>
        <v>207.48</v>
      </c>
      <c r="M17" s="30" t="s">
        <v>100</v>
      </c>
      <c r="N17" s="11" t="s">
        <v>105</v>
      </c>
      <c r="O17" s="28">
        <v>0.11021</v>
      </c>
      <c r="P17" s="28">
        <v>440.84</v>
      </c>
      <c r="Q17" s="32" t="s">
        <v>116</v>
      </c>
      <c r="R17" s="11" t="s">
        <v>121</v>
      </c>
      <c r="S17" s="28">
        <v>0.058</v>
      </c>
      <c r="T17" s="28">
        <v>232</v>
      </c>
      <c r="U17" s="32" t="s">
        <v>115</v>
      </c>
      <c r="V17" s="11" t="s">
        <v>134</v>
      </c>
      <c r="W17" s="28"/>
      <c r="X17" s="28"/>
      <c r="Y17" s="32" t="s">
        <v>141</v>
      </c>
      <c r="Z17" s="11" t="s">
        <v>76</v>
      </c>
      <c r="AA17" s="28">
        <v>0.05187</v>
      </c>
      <c r="AB17" s="66">
        <v>207.48</v>
      </c>
    </row>
    <row r="18" spans="1:28" s="2" customFormat="1" ht="16.5" customHeight="1">
      <c r="A18" s="53" t="s">
        <v>54</v>
      </c>
      <c r="B18" s="17" t="s">
        <v>66</v>
      </c>
      <c r="C18" s="93" t="s">
        <v>77</v>
      </c>
      <c r="D18" s="42" t="s">
        <v>90</v>
      </c>
      <c r="E18" s="17">
        <v>1</v>
      </c>
      <c r="F18" s="75">
        <f>E18*$B$10</f>
        <v>1000</v>
      </c>
      <c r="G18"/>
      <c r="H18" s="81" t="str">
        <f>IF(INDEX($M18:$AB18,$K18-3)&lt;&gt;0, INDEX($M18:$AB18,$K18-3), "")</f>
        <v>Digi-Key</v>
      </c>
      <c r="I18" s="82" t="str">
        <f>IF(INDEX($M18:$AB18,$K18-2)&lt;&gt;0, INDEX($M18:$AB18,$K18-2), "")</f>
        <v>511-1577-1-ND</v>
      </c>
      <c r="J18" s="83">
        <f>IF(INDEX($M18:$AB18,$K18-1)&lt;&gt;0, INDEX($M18:$AB18,$K18-1), "")</f>
        <v>0.05978</v>
      </c>
      <c r="K18" s="82">
        <f>MATCH(MIN($P18,$T18,$X18,$AB18), $M18:$AB18,0)</f>
        <v>4</v>
      </c>
      <c r="L18" s="84">
        <f>IF(MIN($P18,$T18,$X18,$AB18)&lt;&gt;0,MIN($P18,$T18,$X18,$AB18),"")</f>
        <v>59.78</v>
      </c>
      <c r="M18" s="29" t="s">
        <v>100</v>
      </c>
      <c r="N18" s="17" t="s">
        <v>106</v>
      </c>
      <c r="O18" s="27">
        <v>0.05978</v>
      </c>
      <c r="P18" s="27">
        <v>59.78</v>
      </c>
      <c r="Q18" s="31"/>
      <c r="R18" s="17"/>
      <c r="S18" s="27"/>
      <c r="T18" s="27"/>
      <c r="U18" s="31"/>
      <c r="V18" s="17"/>
      <c r="W18" s="27"/>
      <c r="X18" s="27"/>
      <c r="Y18" s="31"/>
      <c r="Z18" s="17"/>
      <c r="AA18" s="27"/>
      <c r="AB18" s="65"/>
    </row>
    <row r="19" spans="1:28" s="2" customFormat="1" ht="16.5" customHeight="1">
      <c r="A19" s="54" t="s">
        <v>55</v>
      </c>
      <c r="B19" s="11" t="s">
        <v>67</v>
      </c>
      <c r="C19" s="94" t="s">
        <v>78</v>
      </c>
      <c r="D19" s="43" t="s">
        <v>91</v>
      </c>
      <c r="E19" s="11">
        <v>1</v>
      </c>
      <c r="F19" s="76">
        <f>E19*$B$10</f>
        <v>1000</v>
      </c>
      <c r="G19"/>
      <c r="H19" s="77" t="str">
        <f>IF(INDEX($M19:$AB19,$K19-3)&lt;&gt;0, INDEX($M19:$AB19,$K19-3), "")</f>
        <v>Digi-Key</v>
      </c>
      <c r="I19" s="78" t="str">
        <f>IF(INDEX($M19:$AB19,$K19-2)&lt;&gt;0, INDEX($M19:$AB19,$K19-2), "")</f>
        <v>1528-1104-ND</v>
      </c>
      <c r="J19" s="80">
        <f>IF(INDEX($M19:$AB19,$K19-1)&lt;&gt;0, INDEX($M19:$AB19,$K19-1), "")</f>
        <v>4.5</v>
      </c>
      <c r="K19" s="78">
        <f>MATCH(MIN($P19,$T19,$X19,$AB19), $M19:$AB19,0)</f>
        <v>4</v>
      </c>
      <c r="L19" s="79">
        <f>IF(MIN($P19,$T19,$X19,$AB19)&lt;&gt;0,MIN($P19,$T19,$X19,$AB19),"")</f>
        <v>4500</v>
      </c>
      <c r="M19" s="30" t="s">
        <v>100</v>
      </c>
      <c r="N19" s="11" t="s">
        <v>107</v>
      </c>
      <c r="O19" s="28">
        <v>4.5</v>
      </c>
      <c r="P19" s="28">
        <v>4500</v>
      </c>
      <c r="Q19" s="32" t="s">
        <v>115</v>
      </c>
      <c r="R19" s="11" t="s">
        <v>122</v>
      </c>
      <c r="S19" s="28">
        <v>4.5</v>
      </c>
      <c r="T19" s="28">
        <v>4500</v>
      </c>
      <c r="U19" s="32" t="s">
        <v>130</v>
      </c>
      <c r="V19" s="11" t="s">
        <v>135</v>
      </c>
      <c r="W19" s="28"/>
      <c r="X19" s="28"/>
      <c r="Y19" s="32"/>
      <c r="Z19" s="11"/>
      <c r="AA19" s="28"/>
      <c r="AB19" s="66"/>
    </row>
    <row r="20" spans="1:28" s="2" customFormat="1" ht="16.5" customHeight="1">
      <c r="A20" s="53" t="s">
        <v>56</v>
      </c>
      <c r="B20" s="17" t="s">
        <v>68</v>
      </c>
      <c r="C20" s="93" t="s">
        <v>79</v>
      </c>
      <c r="D20" s="42" t="s">
        <v>92</v>
      </c>
      <c r="E20" s="17">
        <v>1</v>
      </c>
      <c r="F20" s="75">
        <f>E20*$B$10</f>
        <v>1000</v>
      </c>
      <c r="G20"/>
      <c r="H20" s="81" t="str">
        <f>IF(INDEX($M20:$AB20,$K20-3)&lt;&gt;0, INDEX($M20:$AB20,$K20-3), "")</f>
        <v>Mouser</v>
      </c>
      <c r="I20" s="82" t="str">
        <f>IF(INDEX($M20:$AB20,$K20-2)&lt;&gt;0, INDEX($M20:$AB20,$K20-2), "")</f>
        <v>512-2N7002K</v>
      </c>
      <c r="J20" s="83">
        <f>IF(INDEX($M20:$AB20,$K20-1)&lt;&gt;0, INDEX($M20:$AB20,$K20-1), "")</f>
        <v>0.07714</v>
      </c>
      <c r="K20" s="82">
        <f>MATCH(MIN($P20,$T20,$X20,$AB20), $M20:$AB20,0)</f>
        <v>8</v>
      </c>
      <c r="L20" s="84">
        <f>IF(MIN($P20,$T20,$X20,$AB20)&lt;&gt;0,MIN($P20,$T20,$X20,$AB20),"")</f>
        <v>77.14</v>
      </c>
      <c r="M20" s="29" t="s">
        <v>100</v>
      </c>
      <c r="N20" s="17" t="s">
        <v>108</v>
      </c>
      <c r="O20" s="27">
        <v>0.10804</v>
      </c>
      <c r="P20" s="27">
        <v>108.04</v>
      </c>
      <c r="Q20" s="31" t="s">
        <v>115</v>
      </c>
      <c r="R20" s="17" t="s">
        <v>123</v>
      </c>
      <c r="S20" s="27">
        <v>0.07714</v>
      </c>
      <c r="T20" s="27">
        <v>77.14</v>
      </c>
      <c r="U20" s="31" t="s">
        <v>116</v>
      </c>
      <c r="V20" s="17" t="s">
        <v>136</v>
      </c>
      <c r="W20" s="27">
        <v>0.089</v>
      </c>
      <c r="X20" s="27">
        <v>89</v>
      </c>
      <c r="Y20" s="31"/>
      <c r="Z20" s="17"/>
      <c r="AA20" s="27"/>
      <c r="AB20" s="65"/>
    </row>
    <row r="21" spans="1:28" s="2" customFormat="1" ht="16.5" customHeight="1">
      <c r="A21" s="54" t="s">
        <v>57</v>
      </c>
      <c r="B21" s="11" t="s">
        <v>69</v>
      </c>
      <c r="C21" s="94" t="s">
        <v>80</v>
      </c>
      <c r="D21" s="43" t="s">
        <v>93</v>
      </c>
      <c r="E21" s="11">
        <v>1</v>
      </c>
      <c r="F21" s="76">
        <f>E21*$B$10</f>
        <v>1000</v>
      </c>
      <c r="G21"/>
      <c r="H21" s="77" t="str">
        <f>IF(INDEX($M21:$AB21,$K21-3)&lt;&gt;0, INDEX($M21:$AB21,$K21-3), "")</f>
        <v>Mouser</v>
      </c>
      <c r="I21" s="78" t="str">
        <f>IF(INDEX($M21:$AB21,$K21-2)&lt;&gt;0, INDEX($M21:$AB21,$K21-2), "")</f>
        <v>810-MPZ1608S102ATA00</v>
      </c>
      <c r="J21" s="80">
        <f>IF(INDEX($M21:$AB21,$K21-1)&lt;&gt;0, INDEX($M21:$AB21,$K21-1), "")</f>
        <v>0.027</v>
      </c>
      <c r="K21" s="78">
        <f>MATCH(MIN($P21,$T21,$X21,$AB21), $M21:$AB21,0)</f>
        <v>8</v>
      </c>
      <c r="L21" s="79">
        <f>IF(MIN($P21,$T21,$X21,$AB21)&lt;&gt;0,MIN($P21,$T21,$X21,$AB21),"")</f>
        <v>27</v>
      </c>
      <c r="M21" s="30" t="s">
        <v>100</v>
      </c>
      <c r="N21" s="11" t="s">
        <v>109</v>
      </c>
      <c r="O21" s="28">
        <v>0.02717</v>
      </c>
      <c r="P21" s="28">
        <v>27.17</v>
      </c>
      <c r="Q21" s="32" t="s">
        <v>115</v>
      </c>
      <c r="R21" s="11" t="s">
        <v>124</v>
      </c>
      <c r="S21" s="28">
        <v>0.027</v>
      </c>
      <c r="T21" s="28">
        <v>27</v>
      </c>
      <c r="U21" s="32"/>
      <c r="V21" s="11"/>
      <c r="W21" s="28"/>
      <c r="X21" s="28"/>
      <c r="Y21" s="32"/>
      <c r="Z21" s="11"/>
      <c r="AA21" s="28"/>
      <c r="AB21" s="66"/>
    </row>
    <row r="22" spans="1:28" s="2" customFormat="1" ht="16.5" customHeight="1">
      <c r="A22" s="53" t="s">
        <v>58</v>
      </c>
      <c r="B22" s="17" t="s">
        <v>70</v>
      </c>
      <c r="C22" s="93" t="s">
        <v>81</v>
      </c>
      <c r="D22" s="42" t="s">
        <v>94</v>
      </c>
      <c r="E22" s="17">
        <v>1</v>
      </c>
      <c r="F22" s="75">
        <f>E22*$B$10</f>
        <v>1000</v>
      </c>
      <c r="G22"/>
      <c r="H22" s="81" t="str">
        <f>IF(INDEX($M22:$AB22,$K22-3)&lt;&gt;0, INDEX($M22:$AB22,$K22-3), "")</f>
        <v>Mouser</v>
      </c>
      <c r="I22" s="82" t="str">
        <f>IF(INDEX($M22:$AB22,$K22-2)&lt;&gt;0, INDEX($M22:$AB22,$K22-2), "")</f>
        <v>603-RC0402FR-07220RL</v>
      </c>
      <c r="J22" s="83">
        <f>IF(INDEX($M22:$AB22,$K22-1)&lt;&gt;0, INDEX($M22:$AB22,$K22-1), "")</f>
        <v>0.00299</v>
      </c>
      <c r="K22" s="82">
        <f>MATCH(MIN($P22,$T22,$X22,$AB22), $M22:$AB22,0)</f>
        <v>8</v>
      </c>
      <c r="L22" s="84">
        <f>IF(MIN($P22,$T22,$X22,$AB22)&lt;&gt;0,MIN($P22,$T22,$X22,$AB22),"")</f>
        <v>2.99</v>
      </c>
      <c r="M22" s="29" t="s">
        <v>100</v>
      </c>
      <c r="N22" s="17" t="s">
        <v>110</v>
      </c>
      <c r="O22" s="27"/>
      <c r="P22" s="27"/>
      <c r="Q22" s="31" t="s">
        <v>115</v>
      </c>
      <c r="R22" s="17" t="s">
        <v>125</v>
      </c>
      <c r="S22" s="27">
        <v>0.00299</v>
      </c>
      <c r="T22" s="27">
        <v>2.99</v>
      </c>
      <c r="U22" s="31" t="s">
        <v>116</v>
      </c>
      <c r="V22" s="17" t="s">
        <v>137</v>
      </c>
      <c r="W22" s="27">
        <v>0.003</v>
      </c>
      <c r="X22" s="27">
        <v>3</v>
      </c>
      <c r="Y22" s="31"/>
      <c r="Z22" s="17"/>
      <c r="AA22" s="27"/>
      <c r="AB22" s="65"/>
    </row>
    <row r="23" spans="1:28" s="2" customFormat="1" ht="16.5" customHeight="1">
      <c r="A23" s="54" t="s">
        <v>59</v>
      </c>
      <c r="B23" s="11" t="s">
        <v>70</v>
      </c>
      <c r="C23" s="94" t="s">
        <v>82</v>
      </c>
      <c r="D23" s="43" t="s">
        <v>95</v>
      </c>
      <c r="E23" s="11">
        <v>1</v>
      </c>
      <c r="F23" s="76">
        <f>E23*$B$10</f>
        <v>1000</v>
      </c>
      <c r="G23"/>
      <c r="H23" s="77" t="str">
        <f>IF(INDEX($M23:$AB23,$K23-3)&lt;&gt;0, INDEX($M23:$AB23,$K23-3), "")</f>
        <v>Mouser</v>
      </c>
      <c r="I23" s="78" t="str">
        <f>IF(INDEX($M23:$AB23,$K23-2)&lt;&gt;0, INDEX($M23:$AB23,$K23-2), "")</f>
        <v>603-RC0402FR-071KL</v>
      </c>
      <c r="J23" s="80">
        <f>IF(INDEX($M23:$AB23,$K23-1)&lt;&gt;0, INDEX($M23:$AB23,$K23-1), "")</f>
        <v>0.00299</v>
      </c>
      <c r="K23" s="78">
        <f>MATCH(MIN($P23,$T23,$X23,$AB23), $M23:$AB23,0)</f>
        <v>8</v>
      </c>
      <c r="L23" s="79">
        <f>IF(MIN($P23,$T23,$X23,$AB23)&lt;&gt;0,MIN($P23,$T23,$X23,$AB23),"")</f>
        <v>2.99</v>
      </c>
      <c r="M23" s="30" t="s">
        <v>100</v>
      </c>
      <c r="N23" s="11" t="s">
        <v>111</v>
      </c>
      <c r="O23" s="28"/>
      <c r="P23" s="28"/>
      <c r="Q23" s="32" t="s">
        <v>115</v>
      </c>
      <c r="R23" s="11" t="s">
        <v>126</v>
      </c>
      <c r="S23" s="28">
        <v>0.00299</v>
      </c>
      <c r="T23" s="28">
        <v>2.99</v>
      </c>
      <c r="U23" s="32" t="s">
        <v>116</v>
      </c>
      <c r="V23" s="11" t="s">
        <v>138</v>
      </c>
      <c r="W23" s="28">
        <v>0.003</v>
      </c>
      <c r="X23" s="28">
        <v>3</v>
      </c>
      <c r="Y23" s="32"/>
      <c r="Z23" s="11"/>
      <c r="AA23" s="28"/>
      <c r="AB23" s="66"/>
    </row>
    <row r="24" spans="1:28" s="2" customFormat="1" ht="16.5" customHeight="1">
      <c r="A24" s="53" t="s">
        <v>60</v>
      </c>
      <c r="B24" s="17" t="s">
        <v>70</v>
      </c>
      <c r="C24" s="93" t="s">
        <v>83</v>
      </c>
      <c r="D24" s="42" t="s">
        <v>96</v>
      </c>
      <c r="E24" s="17">
        <v>2</v>
      </c>
      <c r="F24" s="75">
        <f>E24*$B$10</f>
        <v>2000</v>
      </c>
      <c r="G24"/>
      <c r="H24" s="81" t="str">
        <f>IF(INDEX($M24:$AB24,$K24-3)&lt;&gt;0, INDEX($M24:$AB24,$K24-3), "")</f>
        <v>Mouser</v>
      </c>
      <c r="I24" s="82" t="str">
        <f>IF(INDEX($M24:$AB24,$K24-2)&lt;&gt;0, INDEX($M24:$AB24,$K24-2), "")</f>
        <v>603-RC0402FR-0710KL</v>
      </c>
      <c r="J24" s="83">
        <f>IF(INDEX($M24:$AB24,$K24-1)&lt;&gt;0, INDEX($M24:$AB24,$K24-1), "")</f>
        <v>0.00299</v>
      </c>
      <c r="K24" s="82">
        <f>MATCH(MIN($P24,$T24,$X24,$AB24), $M24:$AB24,0)</f>
        <v>8</v>
      </c>
      <c r="L24" s="84">
        <f>IF(MIN($P24,$T24,$X24,$AB24)&lt;&gt;0,MIN($P24,$T24,$X24,$AB24),"")</f>
        <v>5.98</v>
      </c>
      <c r="M24" s="29" t="s">
        <v>100</v>
      </c>
      <c r="N24" s="17" t="s">
        <v>112</v>
      </c>
      <c r="O24" s="27"/>
      <c r="P24" s="27"/>
      <c r="Q24" s="31" t="s">
        <v>115</v>
      </c>
      <c r="R24" s="17" t="s">
        <v>127</v>
      </c>
      <c r="S24" s="27">
        <v>0.00299</v>
      </c>
      <c r="T24" s="27">
        <v>5.98</v>
      </c>
      <c r="U24" s="31" t="s">
        <v>116</v>
      </c>
      <c r="V24" s="17" t="s">
        <v>139</v>
      </c>
      <c r="W24" s="27">
        <v>0.003</v>
      </c>
      <c r="X24" s="27">
        <v>6</v>
      </c>
      <c r="Y24" s="31"/>
      <c r="Z24" s="17"/>
      <c r="AA24" s="27"/>
      <c r="AB24" s="65"/>
    </row>
    <row r="25" spans="1:28" s="2" customFormat="1" ht="16.5" customHeight="1">
      <c r="A25" s="54" t="s">
        <v>61</v>
      </c>
      <c r="B25" s="11" t="s">
        <v>71</v>
      </c>
      <c r="C25" s="94" t="s">
        <v>84</v>
      </c>
      <c r="D25" s="43" t="s">
        <v>97</v>
      </c>
      <c r="E25" s="11">
        <v>1</v>
      </c>
      <c r="F25" s="76">
        <f>E25*$B$10</f>
        <v>1000</v>
      </c>
      <c r="G25"/>
      <c r="H25" s="77" t="str">
        <f>IF(INDEX($M25:$AB25,$K25-3)&lt;&gt;0, INDEX($M25:$AB25,$K25-3), "")</f>
        <v>Mouser</v>
      </c>
      <c r="I25" s="78" t="str">
        <f>IF(INDEX($M25:$AB25,$K25-2)&lt;&gt;0, INDEX($M25:$AB25,$K25-2), "")</f>
        <v>863-NCP114ASN330T1G</v>
      </c>
      <c r="J25" s="80">
        <f>IF(INDEX($M25:$AB25,$K25-1)&lt;&gt;0, INDEX($M25:$AB25,$K25-1), "")</f>
        <v>0.09646</v>
      </c>
      <c r="K25" s="78">
        <f>MATCH(MIN($P25,$T25,$X25,$AB25), $M25:$AB25,0)</f>
        <v>12</v>
      </c>
      <c r="L25" s="79">
        <f>IF(MIN($P25,$T25,$X25,$AB25)&lt;&gt;0,MIN($P25,$T25,$X25,$AB25),"")</f>
        <v>96.46</v>
      </c>
      <c r="M25" s="30" t="s">
        <v>100</v>
      </c>
      <c r="N25" s="11" t="s">
        <v>113</v>
      </c>
      <c r="O25" s="28">
        <v>0.116</v>
      </c>
      <c r="P25" s="28">
        <v>116</v>
      </c>
      <c r="Q25" s="32" t="s">
        <v>117</v>
      </c>
      <c r="R25" s="11" t="s">
        <v>128</v>
      </c>
      <c r="S25" s="28">
        <v>0.111</v>
      </c>
      <c r="T25" s="28">
        <v>111</v>
      </c>
      <c r="U25" s="32" t="s">
        <v>115</v>
      </c>
      <c r="V25" s="11" t="s">
        <v>140</v>
      </c>
      <c r="W25" s="28">
        <v>0.09646</v>
      </c>
      <c r="X25" s="28">
        <v>96.46</v>
      </c>
      <c r="Y25" s="32"/>
      <c r="Z25" s="11"/>
      <c r="AA25" s="28"/>
      <c r="AB25" s="66"/>
    </row>
    <row r="26" spans="1:28" s="2" customFormat="1" ht="16.5" customHeight="1">
      <c r="A26" s="53" t="s">
        <v>62</v>
      </c>
      <c r="B26" s="17" t="s">
        <v>72</v>
      </c>
      <c r="C26" s="93" t="s">
        <v>85</v>
      </c>
      <c r="D26" s="42" t="s">
        <v>98</v>
      </c>
      <c r="E26" s="17">
        <v>1</v>
      </c>
      <c r="F26" s="75">
        <f>E26*$B$10</f>
        <v>1000</v>
      </c>
      <c r="G26"/>
      <c r="H26" s="81" t="str">
        <f>IF(INDEX($M26:$AB26,$K26-3)&lt;&gt;0, INDEX($M26:$AB26,$K26-3), "")</f>
        <v>#N/A</v>
      </c>
      <c r="I26" s="82" t="str">
        <f>IF(INDEX($M26:$AB26,$K26-2)&lt;&gt;0, INDEX($M26:$AB26,$K26-2), "")</f>
        <v>#N/A</v>
      </c>
      <c r="J26" s="83" t="str">
        <f>IF(INDEX($M26:$AB26,$K26-1)&lt;&gt;0, INDEX($M26:$AB26,$K26-1), "")</f>
        <v>#N/A</v>
      </c>
      <c r="K26" s="82" t="str">
        <f>MATCH(MIN($P26,$T26,$X26,$AB26), $M26:$AB26,0)</f>
        <v>#N/A</v>
      </c>
      <c r="L26" s="84" t="str">
        <f>IF(MIN($P26,$T26,$X26,$AB26)&lt;&gt;0,MIN($P26,$T26,$X26,$AB26),"")</f>
        <v/>
      </c>
      <c r="M26" s="29" t="s">
        <v>101</v>
      </c>
      <c r="N26" s="17" t="s">
        <v>114</v>
      </c>
      <c r="O26" s="27"/>
      <c r="P26" s="27"/>
      <c r="Q26" s="31"/>
      <c r="R26" s="17"/>
      <c r="S26" s="27"/>
      <c r="T26" s="27"/>
      <c r="U26" s="31"/>
      <c r="V26" s="17"/>
      <c r="W26" s="27"/>
      <c r="X26" s="27"/>
      <c r="Y26" s="31"/>
      <c r="Z26" s="17"/>
      <c r="AA26" s="27"/>
      <c r="AB26" s="65"/>
    </row>
    <row r="27" spans="1:28" ht="14.25">
      <c r="A27" s="56" t="s">
        <v>27</v>
      </c>
      <c r="B27" s="39">
        <f>ROW(A26)-ROW(A$13)</f>
        <v>13</v>
      </c>
      <c r="C27" s="34"/>
      <c r="D27" s="36" t="s">
        <v>16</v>
      </c>
      <c r="E27" s="37">
        <f>SUM(E14:E26)</f>
        <v>20</v>
      </c>
      <c r="F27" s="57">
        <f>SUM(F14:F26)</f>
        <v>20000</v>
      </c>
      <c r="H27" s="35"/>
      <c r="I27" s="40" t="s">
        <v>16</v>
      </c>
      <c r="J27" s="41"/>
      <c r="K27" s="41"/>
      <c r="L27" s="85">
        <f>SUM(L14:L26)</f>
        <v>5059.7499999999991</v>
      </c>
      <c r="M27" s="35"/>
      <c r="N27" s="34"/>
      <c r="O27" s="34"/>
      <c r="P27" s="86"/>
      <c r="Q27" s="34"/>
      <c r="R27" s="34"/>
      <c r="S27" s="34"/>
      <c r="T27" s="86"/>
      <c r="U27" s="34"/>
      <c r="V27" s="34"/>
      <c r="W27" s="34"/>
      <c r="X27" s="86"/>
      <c r="Y27" s="34"/>
      <c r="Z27" s="34"/>
      <c r="AA27" s="34"/>
      <c r="AB27" s="85"/>
    </row>
    <row r="28" spans="1:28" ht="15" thickBot="1">
      <c r="A28" s="58"/>
      <c r="B28" s="59"/>
      <c r="C28" s="59"/>
      <c r="D28" s="59"/>
      <c r="E28" s="59"/>
      <c r="F28" s="60"/>
      <c r="H28" s="58"/>
      <c r="I28" s="68" t="s">
        <v>17</v>
      </c>
      <c r="J28" s="74"/>
      <c r="K28" s="69"/>
      <c r="L28" s="70">
        <f>L27/$B$10</f>
        <v>5.05975</v>
      </c>
      <c r="M28" s="58"/>
      <c r="N28" s="59"/>
      <c r="O28" s="59"/>
      <c r="P28" s="87"/>
      <c r="Q28" s="59"/>
      <c r="R28" s="59"/>
      <c r="S28" s="59"/>
      <c r="T28" s="87"/>
      <c r="U28" s="59"/>
      <c r="V28" s="59"/>
      <c r="W28" s="59"/>
      <c r="X28" s="87"/>
      <c r="Y28" s="59"/>
      <c r="Z28" s="59"/>
      <c r="AA28" s="59"/>
      <c r="AB28" s="88"/>
    </row>
    <row r="29" spans="1:28" ht="6" customHeight="1" thickTop="1">
      <c r="A29" s="45"/>
      <c r="B29" s="46"/>
      <c r="C29" s="46"/>
      <c r="D29" s="47"/>
      <c r="E29" s="48"/>
      <c r="F29" s="47"/>
      <c r="H29" s="47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</row>
    <row r="31" spans="14:19">
      <c r="N31" s="2"/>
      <c r="O31" s="2"/>
      <c r="Q31" s="2"/>
      <c r="R31" s="2"/>
      <c r="S31" s="2"/>
    </row>
    <row r="32" spans="11:11">
      <c r="K32" s="1">
        <f>MIN($P31,$T31,$X31,$AB31)</f>
        <v>0</v>
      </c>
    </row>
    <row r="43" spans="1:2">
      <c r="A43" s="1"/>
      <c r="B43" s="1"/>
    </row>
  </sheetData>
  <pageMargins left="0.39370078740157483" right="0.39370078740157483" top="0.39370078740157483" bottom="0" header="0.11811023622047245" footer="0.19685039370078741"/>
  <pageSetup paperSize="9" scale="48" orientation="landscape" horizontalDpi="200" verticalDpi="200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>
  <Application>Microsoft Excel</Application>
  <Company>Microsoft Corporation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Daniel Cletheroe</dc:creator>
  <cp:lastModifiedBy>Steve Hodges</cp:lastModifiedBy>
  <dcterms:created xsi:type="dcterms:W3CDTF">2000-10-27T00:30:29Z</dcterms:created>
  <dcterms:modified xsi:type="dcterms:W3CDTF">2020-12-22T16:04:36Z</dcterms:modified>
  <cp:lastPrinted>2016-07-13T07:52:47Z</cp:lastPrinted>
  <dc:title/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daclethe@microsoft.com</vt:lpwstr>
  </property>
  <property fmtid="{D5CDD505-2E9C-101B-9397-08002B2CF9AE}" pid="5" name="MSIP_Label_f42aa342-8706-4288-bd11-ebb85995028c_SetDate">
    <vt:lpwstr>2018-12-17T11:44:23.0713137Z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