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<sst xmlns="http://schemas.openxmlformats.org/spreadsheetml/2006/main" uniqueCount="126">
  <si>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</si>
  <si>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</si>
  <si>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</si>
  <si>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</si>
  <si>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</si>
  <si>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</si>
  <si>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</si>
  <si>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</si>
  <si>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</si>
  <si>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</si>
  <si>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</si>
  <si>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</si>
  <si>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</si>
  <si>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</si>
  <si>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</si>
  <si>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</si>
  <si>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</si>
  <si>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</si>
  <si>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</si>
  <si>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</si>
  <si>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</si>
  <si>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</si>
  <si>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</si>
  <si>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</si>
  <si>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</si>
  <si>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</si>
  <si>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</si>
  <si>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</si>
  <si>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</si>
  <si>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</si>
  <si>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</si>
  <si>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</si>
  <si>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</si>
  <si>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</si>
  <si>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</si>
  <si>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</si>
  <si>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</si>
  <si>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</si>
  <si>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Motion detection based on low-cost OTP PADAUK MCU</t>
  </si>
  <si>
    <t>JacdacMotionDetection 54.PrjPCB</t>
  </si>
  <si>
    <t>Bill of Materials for Project [JacdacMotionDetection 54.PrjPCB] (No PCB Document Selected)</t>
  </si>
  <si>
    <t>JacdacmotionDetection</t>
  </si>
  <si>
    <t>54</t>
  </si>
  <si>
    <t>None</t>
  </si>
  <si>
    <t>0.2</t>
  </si>
  <si>
    <t>10/11/2021</t>
  </si>
  <si>
    <t>15:59</t>
  </si>
  <si>
    <t>1000</t>
  </si>
  <si>
    <t>USD</t>
  </si>
  <si>
    <t>Description</t>
  </si>
  <si>
    <t>Low Power Ultra-Miniature PIR Sensor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</si>
  <si>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</si>
  <si>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</si>
  <si>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</si>
  <si>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</si>
  <si>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1608 SMD</t>
  </si>
  <si>
    <t>0603 1k@100MHz 0.8A chip</t>
  </si>
  <si>
    <t>RES SMD 220 OHM 1% 1/16W 0402</t>
  </si>
  <si>
    <t>RES SMD 1K OHM 1% 1/16W 0402</t>
  </si>
  <si>
    <t>ON SEMICONDUCTOR - NCP114ASN330T1G - LDO Voltage Regulator, Fixed, 1.7 V to 5.5 V in, 3.3 V/300 mA out, 150 mV drop, TSOP-5</t>
  </si>
  <si>
    <t>8bit OTP Type IO Controller</t>
  </si>
  <si>
    <t>Samsung</t>
  </si>
  <si>
    <t>Nexperia</t>
  </si>
  <si>
    <t>Born Semiconductor</t>
  </si>
  <si>
    <t>Everlight Elec</t>
  </si>
  <si>
    <t>TDK</t>
  </si>
  <si>
    <t>Yageo</t>
  </si>
  <si>
    <t>ON Semiconductor</t>
  </si>
  <si>
    <t>PADAUK</t>
  </si>
  <si>
    <t>AM312</t>
  </si>
  <si>
    <t>CL05C330JB5NNNC</t>
  </si>
  <si>
    <t>CL05A105KP5NNNC</t>
  </si>
  <si>
    <t>BAT54S,235</t>
  </si>
  <si>
    <t>RCLAMP0521P-N</t>
  </si>
  <si>
    <t>19-217/S2C-AQ1R1B/3T</t>
  </si>
  <si>
    <t>MPZ1608S102ATA00</t>
  </si>
  <si>
    <t>RC0402FR-07220RL</t>
  </si>
  <si>
    <t>RC0402FR-071KL</t>
  </si>
  <si>
    <t>NCP114ASN330T1G</t>
  </si>
  <si>
    <t>PMS150C-U6</t>
  </si>
  <si>
    <t>A1</t>
  </si>
  <si>
    <t>C1</t>
  </si>
  <si>
    <t>C2, C3, C4</t>
  </si>
  <si>
    <t>D1</t>
  </si>
  <si>
    <t>D2, D3, D4, D5</t>
  </si>
  <si>
    <t>D6</t>
  </si>
  <si>
    <t>FB1</t>
  </si>
  <si>
    <t>R1</t>
  </si>
  <si>
    <t>R2</t>
  </si>
  <si>
    <t>U1</t>
  </si>
  <si>
    <t>U2</t>
  </si>
  <si>
    <t>Supplier 1</t>
  </si>
  <si>
    <t>Digi-Key</t>
  </si>
  <si>
    <t>LCSC</t>
  </si>
  <si>
    <t>1528-1991-ND</t>
  </si>
  <si>
    <t>1276-1272-1-ND</t>
  </si>
  <si>
    <t>1276-1076-1-ND</t>
  </si>
  <si>
    <t>1727-1868-1-ND</t>
  </si>
  <si>
    <t>445-8694-1-ND</t>
  </si>
  <si>
    <t>311-220LRCT-ND</t>
  </si>
  <si>
    <t>311-1.00KLRDKR-ND</t>
  </si>
  <si>
    <t>NCP114ASN330T1GOSCT-ND</t>
  </si>
  <si>
    <t>C168658</t>
  </si>
  <si>
    <t>Mouser</t>
  </si>
  <si>
    <t>Newark</t>
  </si>
  <si>
    <t>RSComponents</t>
  </si>
  <si>
    <t>485-189</t>
  </si>
  <si>
    <t>82AC9259</t>
  </si>
  <si>
    <t>187-CL05A105KP5NNNC</t>
  </si>
  <si>
    <t>771-BAT54S235</t>
  </si>
  <si>
    <t>810-MPZ1608S102ATA00</t>
  </si>
  <si>
    <t>603-RC0402FR-07220RL</t>
  </si>
  <si>
    <t>603-RC0402FR-071KL</t>
  </si>
  <si>
    <t>1263178</t>
  </si>
  <si>
    <t>Arrow Electronics</t>
  </si>
  <si>
    <t>Farnell</t>
  </si>
  <si>
    <t>189</t>
  </si>
  <si>
    <t>187-CL05C330JB5NNNC</t>
  </si>
  <si>
    <t>3013329</t>
  </si>
  <si>
    <t>1707990</t>
  </si>
  <si>
    <t>2147864</t>
  </si>
  <si>
    <t>2132441</t>
  </si>
  <si>
    <t>863-NCP114ASN330T1G</t>
  </si>
  <si>
    <t>Allied Electronics</t>
  </si>
  <si>
    <t>70928194</t>
  </si>
  <si>
    <t>3013373RL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</si>
</sst>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44510</v>
      </c>
      <c r="C8" s="25">
        <f ca="1">NOW()</f>
        <v>44510.6664371875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91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/>
      <c r="C14" s="93" t="s">
        <v>69</v>
      </c>
      <c r="D14" s="42" t="s">
        <v>80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#N/A</v>
      </c>
      <c r="I14" s="82" t="str">
        <f>IF(INDEX($M14:$AB14,$K14-2)&lt;&gt;0, INDEX($M14:$AB14,$K14-2), "")</f>
        <v>#N/A</v>
      </c>
      <c r="J14" s="83" t="str">
        <f>IF(INDEX($M14:$AB14,$K14-1)&lt;&gt;0, INDEX($M14:$AB14,$K14-1), "")</f>
        <v>#N/A</v>
      </c>
      <c r="K14" s="82" t="str">
        <f>MATCH(MIN($P14,$T14,$X14,$AB14), $M14:$AB14,0)</f>
        <v>#N/A</v>
      </c>
      <c r="L14" s="84" t="str">
        <f>IF(MIN($P14,$T14,$X14,$AB14)&lt;&gt;0,MIN($P14,$T14,$X14,$AB14),"")</f>
        <v/>
      </c>
      <c r="M14" s="29"/>
      <c r="N14" s="17" t="s">
        <v>94</v>
      </c>
      <c r="O14" s="27"/>
      <c r="P14" s="27"/>
      <c r="Q14" s="31" t="s">
        <v>103</v>
      </c>
      <c r="R14" s="17" t="s">
        <v>106</v>
      </c>
      <c r="S14" s="27"/>
      <c r="T14" s="27"/>
      <c r="U14" s="31" t="s">
        <v>114</v>
      </c>
      <c r="V14" s="17" t="s">
        <v>116</v>
      </c>
      <c r="W14" s="27"/>
      <c r="X14" s="27"/>
      <c r="Y14" s="31" t="s">
        <v>123</v>
      </c>
      <c r="Z14" s="17" t="s">
        <v>124</v>
      </c>
      <c r="AA14" s="27"/>
      <c r="AB14" s="65"/>
    </row>
    <row r="15" spans="1:28" s="2" customFormat="1" ht="16.5" customHeight="1">
      <c r="A15" s="54" t="s">
        <v>51</v>
      </c>
      <c r="B15" s="11" t="s">
        <v>61</v>
      </c>
      <c r="C15" s="94" t="s">
        <v>70</v>
      </c>
      <c r="D15" s="43" t="s">
        <v>81</v>
      </c>
      <c r="E15" s="11">
        <v>1</v>
      </c>
      <c r="F15" s="76">
        <f t="shared" si="0" ref="F15:F24">E15*$B$10</f>
        <v>1000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1276-1272-1-ND</v>
      </c>
      <c r="J15" s="80">
        <f>IF(INDEX($M15:$AB15,$K15-1)&lt;&gt;0, INDEX($M15:$AB15,$K15-1), "")</f>
        <v>0.00582</v>
      </c>
      <c r="K15" s="78">
        <f>MATCH(MIN($P15,$T15,$X15,$AB15), $M15:$AB15,0)</f>
        <v>4</v>
      </c>
      <c r="L15" s="79">
        <f>IF(MIN($P15,$T15,$X15,$AB15)&lt;&gt;0,MIN($P15,$T15,$X15,$AB15),"")</f>
        <v>5.82</v>
      </c>
      <c r="M15" s="30" t="s">
        <v>92</v>
      </c>
      <c r="N15" s="11" t="s">
        <v>95</v>
      </c>
      <c r="O15" s="28">
        <v>0.00582</v>
      </c>
      <c r="P15" s="28">
        <v>5.82</v>
      </c>
      <c r="Q15" s="32" t="s">
        <v>104</v>
      </c>
      <c r="R15" s="11" t="s">
        <v>107</v>
      </c>
      <c r="S15" s="28">
        <v>0.006</v>
      </c>
      <c r="T15" s="28">
        <v>6</v>
      </c>
      <c r="U15" s="32" t="s">
        <v>103</v>
      </c>
      <c r="V15" s="11" t="s">
        <v>117</v>
      </c>
      <c r="W15" s="28">
        <v>0.0099</v>
      </c>
      <c r="X15" s="28">
        <v>9.9</v>
      </c>
      <c r="Y15" s="32" t="s">
        <v>115</v>
      </c>
      <c r="Z15" s="11" t="s">
        <v>125</v>
      </c>
      <c r="AA15" s="28">
        <v>0.006</v>
      </c>
      <c r="AB15" s="66">
        <v>6</v>
      </c>
    </row>
    <row r="16" spans="1:28" s="2" customFormat="1" ht="16.5" customHeight="1">
      <c r="A16" s="53" t="s">
        <v>52</v>
      </c>
      <c r="B16" s="17" t="s">
        <v>61</v>
      </c>
      <c r="C16" s="93" t="s">
        <v>71</v>
      </c>
      <c r="D16" s="42" t="s">
        <v>82</v>
      </c>
      <c r="E16" s="17">
        <v>3</v>
      </c>
      <c r="F16" s="75">
        <f>E16*$B$10</f>
        <v>3000</v>
      </c>
      <c r="G16"/>
      <c r="H16" s="81" t="str">
        <f>IF(INDEX($M16:$AB16,$K16-3)&lt;&gt;0, INDEX($M16:$AB16,$K16-3), "")</f>
        <v>Digi-Key</v>
      </c>
      <c r="I16" s="82" t="str">
        <f>IF(INDEX($M16:$AB16,$K16-2)&lt;&gt;0, INDEX($M16:$AB16,$K16-2), "")</f>
        <v>1276-1076-1-ND</v>
      </c>
      <c r="J16" s="83">
        <f>IF(INDEX($M16:$AB16,$K16-1)&lt;&gt;0, INDEX($M16:$AB16,$K16-1), "")</f>
        <v>0.00934</v>
      </c>
      <c r="K16" s="82">
        <f>MATCH(MIN($P16,$T16,$X16,$AB16), $M16:$AB16,0)</f>
        <v>4</v>
      </c>
      <c r="L16" s="84">
        <f>IF(MIN($P16,$T16,$X16,$AB16)&lt;&gt;0,MIN($P16,$T16,$X16,$AB16),"")</f>
        <v>28.02</v>
      </c>
      <c r="M16" s="29" t="s">
        <v>92</v>
      </c>
      <c r="N16" s="17" t="s">
        <v>96</v>
      </c>
      <c r="O16" s="27">
        <v>0.00934</v>
      </c>
      <c r="P16" s="27">
        <v>28.02</v>
      </c>
      <c r="Q16" s="31" t="s">
        <v>103</v>
      </c>
      <c r="R16" s="17" t="s">
        <v>108</v>
      </c>
      <c r="S16" s="27">
        <v>0.011</v>
      </c>
      <c r="T16" s="27">
        <v>33</v>
      </c>
      <c r="U16" s="31" t="s">
        <v>115</v>
      </c>
      <c r="V16" s="17" t="s">
        <v>118</v>
      </c>
      <c r="W16" s="27">
        <v>0.0122</v>
      </c>
      <c r="X16" s="27">
        <v>36.6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62</v>
      </c>
      <c r="C17" s="94" t="s">
        <v>72</v>
      </c>
      <c r="D17" s="43" t="s">
        <v>83</v>
      </c>
      <c r="E17" s="11">
        <v>1</v>
      </c>
      <c r="F17" s="76">
        <f>E17*$B$10</f>
        <v>1000</v>
      </c>
      <c r="G17"/>
      <c r="H17" s="77" t="str">
        <f>IF(INDEX($M17:$AB17,$K17-3)&lt;&gt;0, INDEX($M17:$AB17,$K17-3), "")</f>
        <v>Mouser</v>
      </c>
      <c r="I17" s="78" t="str">
        <f>IF(INDEX($M17:$AB17,$K17-2)&lt;&gt;0, INDEX($M17:$AB17,$K17-2), "")</f>
        <v>771-BAT54S235</v>
      </c>
      <c r="J17" s="80">
        <f>IF(INDEX($M17:$AB17,$K17-1)&lt;&gt;0, INDEX($M17:$AB17,$K17-1), "")</f>
        <v>0.03135</v>
      </c>
      <c r="K17" s="78">
        <f>MATCH(MIN($P17,$T17,$X17,$AB17), $M17:$AB17,0)</f>
        <v>8</v>
      </c>
      <c r="L17" s="79">
        <f>IF(MIN($P17,$T17,$X17,$AB17)&lt;&gt;0,MIN($P17,$T17,$X17,$AB17),"")</f>
        <v>31.35</v>
      </c>
      <c r="M17" s="30" t="s">
        <v>92</v>
      </c>
      <c r="N17" s="11" t="s">
        <v>97</v>
      </c>
      <c r="O17" s="28"/>
      <c r="P17" s="28"/>
      <c r="Q17" s="32" t="s">
        <v>103</v>
      </c>
      <c r="R17" s="11" t="s">
        <v>109</v>
      </c>
      <c r="S17" s="28">
        <v>0.03135</v>
      </c>
      <c r="T17" s="28">
        <v>31.35</v>
      </c>
      <c r="U17" s="32" t="s">
        <v>105</v>
      </c>
      <c r="V17" s="11" t="s">
        <v>119</v>
      </c>
      <c r="W17" s="28">
        <v>0.037</v>
      </c>
      <c r="X17" s="28">
        <v>37</v>
      </c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63</v>
      </c>
      <c r="C18" s="93" t="s">
        <v>73</v>
      </c>
      <c r="D18" s="42" t="s">
        <v>84</v>
      </c>
      <c r="E18" s="17">
        <v>4</v>
      </c>
      <c r="F18" s="75">
        <f>E18*$B$10</f>
        <v>4000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/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64</v>
      </c>
      <c r="C19" s="94" t="s">
        <v>74</v>
      </c>
      <c r="D19" s="43" t="s">
        <v>85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93</v>
      </c>
      <c r="N19" s="11"/>
      <c r="O19" s="28"/>
      <c r="P19" s="28"/>
      <c r="Q19" s="32"/>
      <c r="R19" s="11"/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65</v>
      </c>
      <c r="C20" s="93" t="s">
        <v>75</v>
      </c>
      <c r="D20" s="42" t="s">
        <v>86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810-MPZ1608S102ATA00</v>
      </c>
      <c r="J20" s="83">
        <f>IF(INDEX($M20:$AB20,$K20-1)&lt;&gt;0, INDEX($M20:$AB20,$K20-1), "")</f>
        <v>0.027</v>
      </c>
      <c r="K20" s="82">
        <f>MATCH(MIN($P20,$T20,$X20,$AB20), $M20:$AB20,0)</f>
        <v>8</v>
      </c>
      <c r="L20" s="84">
        <f>IF(MIN($P20,$T20,$X20,$AB20)&lt;&gt;0,MIN($P20,$T20,$X20,$AB20),"")</f>
        <v>27</v>
      </c>
      <c r="M20" s="29" t="s">
        <v>92</v>
      </c>
      <c r="N20" s="17" t="s">
        <v>98</v>
      </c>
      <c r="O20" s="27">
        <v>0.02717</v>
      </c>
      <c r="P20" s="27">
        <v>27.17</v>
      </c>
      <c r="Q20" s="31" t="s">
        <v>103</v>
      </c>
      <c r="R20" s="17" t="s">
        <v>110</v>
      </c>
      <c r="S20" s="27">
        <v>0.027</v>
      </c>
      <c r="T20" s="27">
        <v>27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66</v>
      </c>
      <c r="C21" s="94" t="s">
        <v>76</v>
      </c>
      <c r="D21" s="43" t="s">
        <v>87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603-RC0402FR-07220RL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92</v>
      </c>
      <c r="N21" s="11" t="s">
        <v>99</v>
      </c>
      <c r="O21" s="28"/>
      <c r="P21" s="28"/>
      <c r="Q21" s="32" t="s">
        <v>103</v>
      </c>
      <c r="R21" s="11" t="s">
        <v>111</v>
      </c>
      <c r="S21" s="28">
        <v>0.00299</v>
      </c>
      <c r="T21" s="28">
        <v>2.99</v>
      </c>
      <c r="U21" s="32" t="s">
        <v>115</v>
      </c>
      <c r="V21" s="11" t="s">
        <v>120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66</v>
      </c>
      <c r="C22" s="93" t="s">
        <v>77</v>
      </c>
      <c r="D22" s="42" t="s">
        <v>88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603-RC0402FR-071KL</v>
      </c>
      <c r="J22" s="83">
        <f>IF(INDEX($M22:$AB22,$K22-1)&lt;&gt;0, INDEX($M22:$AB22,$K22-1), "")</f>
        <v>0.00299</v>
      </c>
      <c r="K22" s="82">
        <f>MATCH(MIN($P22,$T22,$X22,$AB22), $M22:$AB22,0)</f>
        <v>8</v>
      </c>
      <c r="L22" s="84">
        <f>IF(MIN($P22,$T22,$X22,$AB22)&lt;&gt;0,MIN($P22,$T22,$X22,$AB22),"")</f>
        <v>2.99</v>
      </c>
      <c r="M22" s="29" t="s">
        <v>92</v>
      </c>
      <c r="N22" s="17" t="s">
        <v>100</v>
      </c>
      <c r="O22" s="27"/>
      <c r="P22" s="27"/>
      <c r="Q22" s="31" t="s">
        <v>103</v>
      </c>
      <c r="R22" s="17" t="s">
        <v>112</v>
      </c>
      <c r="S22" s="27">
        <v>0.00299</v>
      </c>
      <c r="T22" s="27">
        <v>2.99</v>
      </c>
      <c r="U22" s="31" t="s">
        <v>115</v>
      </c>
      <c r="V22" s="17" t="s">
        <v>121</v>
      </c>
      <c r="W22" s="27">
        <v>0.003</v>
      </c>
      <c r="X22" s="27">
        <v>3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67</v>
      </c>
      <c r="C23" s="94" t="s">
        <v>78</v>
      </c>
      <c r="D23" s="43" t="s">
        <v>89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863-NCP114ASN330T1G</v>
      </c>
      <c r="J23" s="80">
        <f>IF(INDEX($M23:$AB23,$K23-1)&lt;&gt;0, INDEX($M23:$AB23,$K23-1), "")</f>
        <v>0.09646</v>
      </c>
      <c r="K23" s="78">
        <f>MATCH(MIN($P23,$T23,$X23,$AB23), $M23:$AB23,0)</f>
        <v>12</v>
      </c>
      <c r="L23" s="79">
        <f>IF(MIN($P23,$T23,$X23,$AB23)&lt;&gt;0,MIN($P23,$T23,$X23,$AB23),"")</f>
        <v>96.46</v>
      </c>
      <c r="M23" s="30" t="s">
        <v>92</v>
      </c>
      <c r="N23" s="11" t="s">
        <v>101</v>
      </c>
      <c r="O23" s="28">
        <v>0.116</v>
      </c>
      <c r="P23" s="28">
        <v>116</v>
      </c>
      <c r="Q23" s="32" t="s">
        <v>105</v>
      </c>
      <c r="R23" s="11" t="s">
        <v>113</v>
      </c>
      <c r="S23" s="28">
        <v>0.111</v>
      </c>
      <c r="T23" s="28">
        <v>111</v>
      </c>
      <c r="U23" s="32" t="s">
        <v>103</v>
      </c>
      <c r="V23" s="11" t="s">
        <v>122</v>
      </c>
      <c r="W23" s="28">
        <v>0.09646</v>
      </c>
      <c r="X23" s="28">
        <v>96.46</v>
      </c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68</v>
      </c>
      <c r="C24" s="93" t="s">
        <v>79</v>
      </c>
      <c r="D24" s="42" t="s">
        <v>90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93</v>
      </c>
      <c r="N24" s="17" t="s">
        <v>102</v>
      </c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ht="14.25">
      <c r="A25" s="56" t="s">
        <v>27</v>
      </c>
      <c r="B25" s="39">
        <f>ROW(A24)-ROW(A$13)</f>
        <v>11</v>
      </c>
      <c r="C25" s="34"/>
      <c r="D25" s="36" t="s">
        <v>16</v>
      </c>
      <c r="E25" s="37">
        <f>SUM(E14:E24)</f>
        <v>16</v>
      </c>
      <c r="F25" s="57">
        <f>SUM(F14:F24)</f>
        <v>16000</v>
      </c>
      <c r="H25" s="35"/>
      <c r="I25" s="40" t="s">
        <v>16</v>
      </c>
      <c r="J25" s="41"/>
      <c r="K25" s="41"/>
      <c r="L25" s="85">
        <f>SUM(L14:L24)</f>
        <v>194.63</v>
      </c>
      <c r="M25" s="35"/>
      <c r="N25" s="34"/>
      <c r="O25" s="34"/>
      <c r="P25" s="86"/>
      <c r="Q25" s="34"/>
      <c r="R25" s="34"/>
      <c r="S25" s="34"/>
      <c r="T25" s="86"/>
      <c r="U25" s="34"/>
      <c r="V25" s="34"/>
      <c r="W25" s="34"/>
      <c r="X25" s="86"/>
      <c r="Y25" s="34"/>
      <c r="Z25" s="34"/>
      <c r="AA25" s="34"/>
      <c r="AB25" s="85"/>
    </row>
    <row r="26" spans="1:28" ht="15" thickBot="1">
      <c r="A26" s="58"/>
      <c r="B26" s="59"/>
      <c r="C26" s="59"/>
      <c r="D26" s="59"/>
      <c r="E26" s="59"/>
      <c r="F26" s="60"/>
      <c r="H26" s="58"/>
      <c r="I26" s="68" t="s">
        <v>17</v>
      </c>
      <c r="J26" s="74"/>
      <c r="K26" s="69"/>
      <c r="L26" s="70">
        <f>L25/$B$10</f>
        <v>0.19463</v>
      </c>
      <c r="M26" s="58"/>
      <c r="N26" s="59"/>
      <c r="O26" s="59"/>
      <c r="P26" s="87"/>
      <c r="Q26" s="59"/>
      <c r="R26" s="59"/>
      <c r="S26" s="59"/>
      <c r="T26" s="87"/>
      <c r="U26" s="59"/>
      <c r="V26" s="59"/>
      <c r="W26" s="59"/>
      <c r="X26" s="87"/>
      <c r="Y26" s="59"/>
      <c r="Z26" s="59"/>
      <c r="AA26" s="59"/>
      <c r="AB26" s="88"/>
    </row>
    <row r="27" spans="1:28" ht="6" customHeight="1" thickTop="1">
      <c r="A27" s="45"/>
      <c r="B27" s="46"/>
      <c r="C27" s="46"/>
      <c r="D27" s="47"/>
      <c r="E27" s="48"/>
      <c r="F27" s="47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9" spans="14:19">
      <c r="N29" s="2"/>
      <c r="O29" s="2"/>
      <c r="Q29" s="2"/>
      <c r="R29" s="2"/>
      <c r="S29" s="2"/>
    </row>
    <row r="30" spans="11:11">
      <c r="K30" s="1">
        <f>MIN($P29,$T29,$X29,$AB29)</f>
        <v>0</v>
      </c>
    </row>
    <row r="41" spans="1:2">
      <c r="A41" s="1"/>
      <c r="B4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