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2325"/>
  <workbookPr codeName="ThisWorkbook"/>
  <bookViews>
    <workbookView xmlns:d3p1="http://schemas.microsoft.com/office/spreadsheetml/2015/revision2" xWindow="19380" yWindow="3984" windowWidth="23976" windowHeight="19332" d3p1:uid="{00000000-000D-0000-FFFF-FFFF00000000}"/>
  </bookViews>
  <sheets>
    <sheet name="Costing" sheetId="1" r:id="rId1"/>
    <sheet name="Build" sheetId="4" r:id="rId2"/>
    <sheet name="Project Information" sheetId="2" r:id="rId3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<sst xmlns="http://schemas.openxmlformats.org/spreadsheetml/2006/main" uniqueCount="350">
  <si>
    <t>Creation Date:</t>
  </si>
  <si>
    <t>Print Date:</t>
  </si>
  <si>
    <t>Source Data From:</t>
  </si>
  <si>
    <t>Designator</t>
  </si>
  <si>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</si>
  <si>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</si>
  <si>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</si>
  <si>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</si>
  <si>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</si>
  <si>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</si>
  <si>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</si>
  <si>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</si>
  <si>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</si>
  <si>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</si>
  <si>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</si>
  <si>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</si>
  <si>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</si>
  <si>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</si>
  <si>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Currency</t>
  </si>
  <si>
    <t>Bill of Materials for Costing</t>
  </si>
  <si>
    <t>Best Supplier</t>
  </si>
  <si>
    <t>Best Supplier PN</t>
  </si>
  <si>
    <t>#Column Name Error:' link</t>
  </si>
  <si>
    <t>C:\Dev\MSR\SenDev\Projects\EduBoards - MS\ProductionTest\Altium\ArcadeTestHAT 05-1.1\ArcadeTestHAT 05-1.1.PrjPCB</t>
  </si>
  <si>
    <t>#</t>
  </si>
  <si>
    <t>Microsoft Research</t>
  </si>
  <si>
    <t>Supplier Part Number 1</t>
  </si>
  <si>
    <t>Supplier Part Number 2</t>
  </si>
  <si>
    <t>Supplier Subtotal 2</t>
  </si>
  <si>
    <t>Bill of Materials for Build       Microsoft Research</t>
  </si>
  <si>
    <t>Best Subtotal</t>
  </si>
  <si>
    <t>Order Quantity</t>
  </si>
  <si>
    <t>Quantity</t>
  </si>
  <si>
    <t>total</t>
  </si>
  <si>
    <t>unit price</t>
  </si>
  <si>
    <t>Pricing based on number of boards =</t>
  </si>
  <si>
    <t>#Column Name Error:' Fitted</t>
  </si>
  <si>
    <t>#Column Name Error:' PCB Feature</t>
  </si>
  <si>
    <t>Manufacturer Part Number</t>
  </si>
  <si>
    <t>Bin</t>
  </si>
  <si>
    <t>Footprint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</si>
  <si>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</si>
  <si>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</si>
  <si>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</si>
  <si>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</si>
  <si>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</si>
  <si>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</si>
  <si>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</si>
  <si>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</si>
  <si>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</si>
  <si>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</si>
  <si>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</si>
  <si>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</si>
  <si>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</si>
  <si>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</si>
  <si>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</si>
  <si>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</si>
  <si>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</si>
  <si>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MakeCode Arcade R Pi testing HAT</t>
  </si>
  <si>
    <t>ArcadeTestHAT 05-1.1.PrjPCB</t>
  </si>
  <si>
    <t>Bill of Materials for Project [ArcadeTestHAT 05-1.1.PrjPCB] (No PCB Document Selected)</t>
  </si>
  <si>
    <t>ArcadeTestHAT</t>
  </si>
  <si>
    <t>05</t>
  </si>
  <si>
    <t>None</t>
  </si>
  <si>
    <t>1.1</t>
  </si>
  <si>
    <t>12/22/2020</t>
  </si>
  <si>
    <t>8:19 PM</t>
  </si>
  <si>
    <t>1000</t>
  </si>
  <si>
    <t>USD</t>
  </si>
  <si>
    <t>Description</t>
  </si>
  <si>
    <t>Generic 0603 capacitor 4.7uF 10V, e.g. Samsung CL10A475KP8NNNC</t>
  </si>
  <si>
    <t>Generic 0402 capacitor 12pF</t>
  </si>
  <si>
    <t>Generic 0402 capacitor 100nF 16V, e.g. AVX 0402YG104ZAT2A</t>
  </si>
  <si>
    <t>Generic 0402 capacitor 33pF</t>
  </si>
  <si>
    <t>Schottky diode, 1A low Vf</t>
  </si>
  <si>
    <t>ESD Suppressor, low parasitic capacitance.TVS DIODE 5.5V 13V DFN1006-2</t>
  </si>
  <si>
    <t>1.6 x 0.8 x 0.55mm (0603) LED 605nm Orange</t>
  </si>
  <si>
    <t>0603 1k@100MHz 0.8A chip</t>
  </si>
  <si>
    <t>Micro USB SMD with TH mechanical mount</t>
  </si>
  <si>
    <t>Standard Card Edge Connectors .050 Mini Edge Card Connector, Vertical</t>
  </si>
  <si>
    <t>4-way 3.5mm jack socket SMD R/A</t>
  </si>
  <si>
    <t>2.54mm, 13x2 way, vertical, TH, square pin, gold plate, shroud</t>
  </si>
  <si>
    <t>Male header, pitch 2 mm, 1x2 position</t>
  </si>
  <si>
    <t>panel/PCB mount 4mm connector terminal, red</t>
  </si>
  <si>
    <t>USB 2.0 type A socket, TH</t>
  </si>
  <si>
    <t>panel/PCB mount 4mm connector terminal, black</t>
  </si>
  <si>
    <t>20 position 2 row (40 way) 0.1" TH socket</t>
  </si>
  <si>
    <t>2.54mm, 4x1 way, vertical, square pin, gold plate</t>
  </si>
  <si>
    <t>2.54mm, 2x1 way, vertical, square pin, gold plate</t>
  </si>
  <si>
    <t>MOSFET P-CH 20V 4.2A SOT23</t>
  </si>
  <si>
    <t>MOSFET N-CH 20V 2.8A SOT23</t>
  </si>
  <si>
    <t>Generic 0402 resistor 100k, e.g. Multicomp MCWR04X1003FTL</t>
  </si>
  <si>
    <t>Generic 1206 resistor 0.05R 1% 0.5W, e.g. Ohmite KDV12FR050ET</t>
  </si>
  <si>
    <t>Generic 0402 resistor 220R</t>
  </si>
  <si>
    <t>Generic 0402 Chip Resistor 75k</t>
  </si>
  <si>
    <t>Generic 0402 resistor 100R</t>
  </si>
  <si>
    <t>Generic 0402 resistor 3k9</t>
  </si>
  <si>
    <t>Generic 0402 resistor 22k</t>
  </si>
  <si>
    <t>Generic 1206 resistor 2R 0.33W 5%, e.g. Panasonic ERJ-P08J2R0V</t>
  </si>
  <si>
    <t>Generic 0402 resistor 1k</t>
  </si>
  <si>
    <t>Generic 0805 resistor 100R 5% 1/3W, e.g. Ohmite AS08J1000ET</t>
  </si>
  <si>
    <t>Generic 6x6mm SPST button e,g, Wurth 430152050826</t>
  </si>
  <si>
    <t>ARM Cortex M4 MCU+FPU 512k Flash, 128k RAM, 100MHz, QFPN48</t>
  </si>
  <si>
    <t>3.3V LDO</t>
  </si>
  <si>
    <t>IC REG LDO adj1A SOT223-6</t>
  </si>
  <si>
    <t>USB 2.0 multiplexer, 2 port</t>
  </si>
  <si>
    <t>I2C digital pot 5k, single, 7 bit, 6SC70</t>
  </si>
  <si>
    <t>IC ADC 16-BIT I2C PROGBL 10-MSOP</t>
  </si>
  <si>
    <t>I2C serial EEPROM 32 kbit</t>
  </si>
  <si>
    <t>Generic 3.2x2.5mm 24MHz 12pF SMD xtal, e.g. Multicomp MCSJK-7U-24.00-12-10-60-B-10</t>
  </si>
  <si>
    <t>Samsung</t>
  </si>
  <si>
    <t>Generic</t>
  </si>
  <si>
    <t>Kyocera AVX</t>
  </si>
  <si>
    <t>MCC</t>
  </si>
  <si>
    <t>Rohm Semiconductor</t>
  </si>
  <si>
    <t>TDK</t>
  </si>
  <si>
    <t>Hirose</t>
  </si>
  <si>
    <t>Samtec</t>
  </si>
  <si>
    <t>CUI</t>
  </si>
  <si>
    <t>Multicomp</t>
  </si>
  <si>
    <t>JST</t>
  </si>
  <si>
    <t>TE Connectivity</t>
  </si>
  <si>
    <t>Diodes</t>
  </si>
  <si>
    <t>Ohmite</t>
  </si>
  <si>
    <t>Panasonic</t>
  </si>
  <si>
    <t>Wurth Electronics</t>
  </si>
  <si>
    <t>STMicroelectronics</t>
  </si>
  <si>
    <t>Exar</t>
  </si>
  <si>
    <t>Texas Instruments</t>
  </si>
  <si>
    <t>ON Semiconductor / Fairchild</t>
  </si>
  <si>
    <t>Microchip</t>
  </si>
  <si>
    <t>Texas Instruments (TI)</t>
  </si>
  <si>
    <t>ON Semiconductor</t>
  </si>
  <si>
    <t>CL10A475KP8NNNC</t>
  </si>
  <si>
    <t>0402YG104ZAT2A</t>
  </si>
  <si>
    <t>MBRX120LF-TP</t>
  </si>
  <si>
    <t>SML-D12D8WT86</t>
  </si>
  <si>
    <t>MPZ1608S102ATA00</t>
  </si>
  <si>
    <t>ZX62D-B-5PA8(30)</t>
  </si>
  <si>
    <t>SHF-105-01-L-D-SM</t>
  </si>
  <si>
    <t>SJ2-3574A-SMT-TR</t>
  </si>
  <si>
    <t>MC-254-26-00-ST-DIP</t>
  </si>
  <si>
    <t>S2B-PH-SM4-TB(LF)(SN)</t>
  </si>
  <si>
    <t>24.247.1</t>
  </si>
  <si>
    <t>292303-1</t>
  </si>
  <si>
    <t>24.247.2</t>
  </si>
  <si>
    <t>SSW-120-01-G-D</t>
  </si>
  <si>
    <t>2211S-04G</t>
  </si>
  <si>
    <t>2211S-02G</t>
  </si>
  <si>
    <t>DMG2305UX-13</t>
  </si>
  <si>
    <t>DMG2302UK-7</t>
  </si>
  <si>
    <t>MCWR04X1003FTL</t>
  </si>
  <si>
    <t>KDV12FR050ET</t>
  </si>
  <si>
    <t>ERJ-P08J2R0V</t>
  </si>
  <si>
    <t>AS08J1000ET</t>
  </si>
  <si>
    <t>430152050826</t>
  </si>
  <si>
    <t>STM32F411CEU6</t>
  </si>
  <si>
    <t>SPX3819M5-L-3-3/TR</t>
  </si>
  <si>
    <t>TPS79601DCQR</t>
  </si>
  <si>
    <t>FSUSB42MUX</t>
  </si>
  <si>
    <t>MCP4018T-502E/LT</t>
  </si>
  <si>
    <t>ADS1115IDGST</t>
  </si>
  <si>
    <t>CAT24C32WIGT3</t>
  </si>
  <si>
    <t>MCSJK-7U-24.00-12-10-60-B-10</t>
  </si>
  <si>
    <t>C1, C2, C3, C12, C19</t>
  </si>
  <si>
    <t>C4, C5, C16</t>
  </si>
  <si>
    <t>C6, C7, C8, C9, C13, C17, C18, C20, C21, C72, C73, C74</t>
  </si>
  <si>
    <t>C10</t>
  </si>
  <si>
    <t>D1, D2, D9, D10</t>
  </si>
  <si>
    <t>D4, D6</t>
  </si>
  <si>
    <t>D5, D20, D21</t>
  </si>
  <si>
    <t>FB1, FB2</t>
  </si>
  <si>
    <t>J1</t>
  </si>
  <si>
    <t>J2</t>
  </si>
  <si>
    <t>J3</t>
  </si>
  <si>
    <t>J4</t>
  </si>
  <si>
    <t>J6</t>
  </si>
  <si>
    <t>J7, J8</t>
  </si>
  <si>
    <t>J9</t>
  </si>
  <si>
    <t>J10</t>
  </si>
  <si>
    <t>J11</t>
  </si>
  <si>
    <t>J39</t>
  </si>
  <si>
    <t>J90</t>
  </si>
  <si>
    <t>Q1, Q8</t>
  </si>
  <si>
    <t>Q2, Q3, Q4, Q5, Q6, Q7</t>
  </si>
  <si>
    <t>R1, R3, R10, R12, R74, R75, R76, R77, R78, R79</t>
  </si>
  <si>
    <t>R2, R5, R19</t>
  </si>
  <si>
    <t>R4</t>
  </si>
  <si>
    <t>R6</t>
  </si>
  <si>
    <t>R7, R20, R21</t>
  </si>
  <si>
    <t>R8, R9, R28, R29</t>
  </si>
  <si>
    <t>R11</t>
  </si>
  <si>
    <t>R13, R14, R15, R16, R22, R23, R24, R25, R26, R27</t>
  </si>
  <si>
    <t>R17, R30</t>
  </si>
  <si>
    <t>R18</t>
  </si>
  <si>
    <t>SW1, SW2, SW3, SW4, SW5, SW6, SW7</t>
  </si>
  <si>
    <t>U1</t>
  </si>
  <si>
    <t>U2</t>
  </si>
  <si>
    <t>U3</t>
  </si>
  <si>
    <t>U4</t>
  </si>
  <si>
    <t>U5</t>
  </si>
  <si>
    <t>U6</t>
  </si>
  <si>
    <t>U7</t>
  </si>
  <si>
    <t>X1</t>
  </si>
  <si>
    <t>Supplier 1</t>
  </si>
  <si>
    <t>Digi-Key</t>
  </si>
  <si>
    <t>Farnell</t>
  </si>
  <si>
    <t>1276-1044-1-ND</t>
  </si>
  <si>
    <t>478-1138-1-ND</t>
  </si>
  <si>
    <t>MBRX120LF-TPMSCT-ND</t>
  </si>
  <si>
    <t>D5V0P1B2LP-7BDICT-ND</t>
  </si>
  <si>
    <t>511-1577-1-ND</t>
  </si>
  <si>
    <t>445-8694-1-ND</t>
  </si>
  <si>
    <t>H125718CT-ND</t>
  </si>
  <si>
    <t>CP-SJ2-3574A-SMT-CT-ND</t>
  </si>
  <si>
    <t>2843533</t>
  </si>
  <si>
    <t>455-1749-1-ND</t>
  </si>
  <si>
    <t>1698950</t>
  </si>
  <si>
    <t>A31726-ND</t>
  </si>
  <si>
    <t>1698951</t>
  </si>
  <si>
    <t>SAM1208-20-ND</t>
  </si>
  <si>
    <t>1593413</t>
  </si>
  <si>
    <t>1593411</t>
  </si>
  <si>
    <t>DMG2305UX-13DICT-ND</t>
  </si>
  <si>
    <t>DMG2302UK-7DICT-ND</t>
  </si>
  <si>
    <t>2447094</t>
  </si>
  <si>
    <t>273-KDV12FR050ETCT-ND</t>
  </si>
  <si>
    <t>ERJ-P08J2R0V-ND</t>
  </si>
  <si>
    <t>AS08J1000ET-ND</t>
  </si>
  <si>
    <t>732-6993-1-ND</t>
  </si>
  <si>
    <t>497-14907-ND</t>
  </si>
  <si>
    <t>1016-1873-1-ND</t>
  </si>
  <si>
    <t>296-13761-1-ND</t>
  </si>
  <si>
    <t>FSUSB42MUXCT-ND</t>
  </si>
  <si>
    <t>MCP4018T-502E/LTCT-ND</t>
  </si>
  <si>
    <t>296-24934-1-ND</t>
  </si>
  <si>
    <t>CAT24C32WI-GT3CT-ND</t>
  </si>
  <si>
    <t>2853960</t>
  </si>
  <si>
    <t>Supplier Subtotal 1</t>
  </si>
  <si>
    <t>Supplier 2</t>
  </si>
  <si>
    <t>Mouser</t>
  </si>
  <si>
    <t>3010071</t>
  </si>
  <si>
    <t>1327667</t>
  </si>
  <si>
    <t>1924371</t>
  </si>
  <si>
    <t>621-D5V0P1B2LP-7B</t>
  </si>
  <si>
    <t>810-MPZ1608S102ATA00</t>
  </si>
  <si>
    <t>2554981</t>
  </si>
  <si>
    <t>SAM10710-ND</t>
  </si>
  <si>
    <t>490-SJ2-3574A-SMT-TR</t>
  </si>
  <si>
    <t>9492615</t>
  </si>
  <si>
    <t>1076663</t>
  </si>
  <si>
    <t>1668397</t>
  </si>
  <si>
    <t>2543533</t>
  </si>
  <si>
    <t>3127315</t>
  </si>
  <si>
    <t>3273730</t>
  </si>
  <si>
    <t>1894401</t>
  </si>
  <si>
    <t>588-AS08J1000ET</t>
  </si>
  <si>
    <t>2065110</t>
  </si>
  <si>
    <t>2456965</t>
  </si>
  <si>
    <t>2889625</t>
  </si>
  <si>
    <t>3007966</t>
  </si>
  <si>
    <t>2564479</t>
  </si>
  <si>
    <t>1800210</t>
  </si>
  <si>
    <t>2306646</t>
  </si>
  <si>
    <t>RSComponents</t>
  </si>
  <si>
    <t>581-040216G104Z</t>
  </si>
  <si>
    <t>833-MBRX120LF-TP</t>
  </si>
  <si>
    <t>798-ZX62D-B-5PA830</t>
  </si>
  <si>
    <t>1885915</t>
  </si>
  <si>
    <t>688-1353</t>
  </si>
  <si>
    <t>571-292303-1</t>
  </si>
  <si>
    <t>200-SSW12001GD</t>
  </si>
  <si>
    <t>621-DMG2305UX-7</t>
  </si>
  <si>
    <t>621-DMG2302UK-7</t>
  </si>
  <si>
    <t>588-KDV12FR050ET</t>
  </si>
  <si>
    <t>667-ERJ-P08J2R0V</t>
  </si>
  <si>
    <t>7856213</t>
  </si>
  <si>
    <t>511-STM32F411CEU6</t>
  </si>
  <si>
    <t>701-SPX3819M5-L-33TR</t>
  </si>
  <si>
    <t>595-TPS79601DCQR</t>
  </si>
  <si>
    <t>512-FSUSB42MUX</t>
  </si>
  <si>
    <t>579-MCP4018T502ELT</t>
  </si>
  <si>
    <t>698-CAT24C32WI-GT3</t>
  </si>
  <si>
    <t>698-3190</t>
  </si>
  <si>
    <t>1360893</t>
  </si>
  <si>
    <t>200-SHF10501LDSM</t>
  </si>
  <si>
    <t>5298195P</t>
  </si>
  <si>
    <t>7655802</t>
  </si>
  <si>
    <t>8270452</t>
  </si>
  <si>
    <t>1333362</t>
  </si>
  <si>
    <t>721-8627</t>
  </si>
  <si>
    <t>1106616</t>
  </si>
  <si>
    <t>8472888</t>
  </si>
  <si>
    <t>7395144</t>
  </si>
  <si>
    <t>7814828</t>
  </si>
  <si>
    <t>LibRef</t>
  </si>
  <si>
    <t>4.7uF 10V X5R ±10% Samsung CL</t>
  </si>
  <si>
    <t>CAP0402_GENERIC</t>
  </si>
  <si>
    <t>MCC MBRX120LF</t>
  </si>
  <si>
    <t>D5V0P1B2LP</t>
  </si>
  <si>
    <t>SML-D12D</t>
  </si>
  <si>
    <t>TDK MPZ1608S102ATA00</t>
  </si>
  <si>
    <t>ZX62D-B-5PA8(30)-whitesch</t>
  </si>
  <si>
    <t>SHF-105-01-L-D-SM-whitesch</t>
  </si>
  <si>
    <t>SJ2-3574A-SMT</t>
  </si>
  <si>
    <t>Header Multicomp MC-254-26-00-ST-DIP-whitesch</t>
  </si>
  <si>
    <t>4mm post red</t>
  </si>
  <si>
    <t>TE-292303</t>
  </si>
  <si>
    <t>4mm post black</t>
  </si>
  <si>
    <t>Header Multicomp 2211S-04G-whitesch</t>
  </si>
  <si>
    <t>Header Multicomp 2211S-02G-whitesch</t>
  </si>
  <si>
    <t>DMG2305UX-whitesch</t>
  </si>
  <si>
    <t>DMG2302UK-whitesch</t>
  </si>
  <si>
    <t>RES0402_GENERIC</t>
  </si>
  <si>
    <t>Tact Wurth 430152050826</t>
  </si>
  <si>
    <t>ST STM32F411CEU6</t>
  </si>
  <si>
    <t>SPX3819M5-L-3-3_TR</t>
  </si>
  <si>
    <t>CAT24C32WI-GT3</t>
  </si>
  <si>
    <t>24MHz SMD xtal 3.2x2.5mm</t>
  </si>
  <si>
    <t>CAP 0603 (1608) x 1.2mm</t>
  </si>
  <si>
    <t>CAP0402</t>
  </si>
  <si>
    <t>MCC SOD-123</t>
  </si>
  <si>
    <t>D5V0P1B2LP-7B</t>
  </si>
  <si>
    <t>Rohm SML-D12 Orange</t>
  </si>
  <si>
    <t>TDK MPZ1608 0.8mm</t>
  </si>
  <si>
    <t>HIRO-ZX62D-B-5PA8_V-noslots</t>
  </si>
  <si>
    <t>Samtec SHF-105-01-L-D-SM - Updated silkscreen</t>
  </si>
  <si>
    <t>Generic 2x13 2.54mm header shrouded - Alternative</t>
  </si>
  <si>
    <t>JST- S2B-PH-SM4-TB(LF)(SN)-2_V</t>
  </si>
  <si>
    <t>TE-292303-1_V - MH with enlarged annular ring</t>
  </si>
  <si>
    <t>SAMTEC-SSW-120-01-G-D</t>
  </si>
  <si>
    <t>Generic 1x4 2.54mm header</t>
  </si>
  <si>
    <t>Generic 1x2 2.54mm header</t>
  </si>
  <si>
    <t>DIODES-SOT23-3</t>
  </si>
  <si>
    <t>RES0402</t>
  </si>
  <si>
    <t>RES1206</t>
  </si>
  <si>
    <t>RES0805</t>
  </si>
  <si>
    <t>Wurth 430152050836-WIDE</t>
  </si>
  <si>
    <t>ST UFQFPN48 SEH</t>
  </si>
  <si>
    <t>MaxLinear-SOT95P280X145-5N</t>
  </si>
  <si>
    <t>TPS79633DCQR</t>
  </si>
  <si>
    <t>ON_SEMI-MSOP-10</t>
  </si>
  <si>
    <t>MICROCHIP-SC70-6 - MAX</t>
  </si>
  <si>
    <t>ONSC-SOIC-8-751BD-01_L</t>
  </si>
  <si>
    <t>generic xtal 3.2x2.5</t>
  </si>
  <si>
    <t>103</t>
  </si>
  <si>
    <t>12/22/2020 8:19 PM</t>
  </si>
  <si>
    <t>Bill of Materials</t>
  </si>
  <si>
    <t>BOM_PartType</t>
  </si>
  <si>
    <t>BOM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</si>
</sst>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7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b/>
      <sz val="10"/>
      <name val="Segoe UI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4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30" numFmtId="0" fontId="16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0" fontId="0" fillId="0" borderId="0" xfId="0" applyAlignment="1" applyBorder="1" applyFont="1" applyNumberFormat="1" applyFill="1" applyProtection="1">
      <alignment vertical="top"/>
    </xf>
    <xf xxid="4" numFmtId="0" fontId="1" fillId="0" borderId="0" xfId="0" applyAlignment="1" applyBorder="1" applyFont="1" applyNumberFormat="1" applyFill="1" applyProtection="1">
      <alignment vertical="top"/>
    </xf>
    <xf xxid="5" numFmtId="0" fontId="0" fillId="0" borderId="0" xfId="0" applyAlignment="1" applyBorder="1" applyFont="1" applyNumberFormat="1" applyFill="1" applyProtection="1">
      <alignment horizontal="left" vertical="top"/>
    </xf>
    <xf xxid="6" numFmtId="0" fontId="0" fillId="0" borderId="0" xfId="0" applyAlignment="1" applyBorder="1" applyFont="1" applyNumberFormat="1" applyFill="1" applyProtection="1">
      <alignment horizontal="left"/>
    </xf>
    <xf xxid="7" numFmtId="0" fontId="0" fillId="0" borderId="0" xfId="0" applyAlignment="1" applyBorder="1" applyFont="1" applyNumberFormat="1" applyFill="1" applyProtection="1">
      <alignment vertical="center"/>
    </xf>
    <xf xxid="8" numFmtId="0" fontId="2" fillId="0" borderId="0" xfId="0" applyAlignment="1" applyBorder="1" applyFont="1" applyNumberFormat="1" applyFill="1" applyProtection="1">
      <alignment vertical="center"/>
    </xf>
    <xf xxid="9" numFmtId="0" fontId="1" fillId="0" borderId="0" xfId="0" applyAlignment="1" applyBorder="1" applyFont="1" applyNumberFormat="1" applyFill="1" applyProtection="1">
      <protection locked="0"/>
    </xf>
    <xf xxid="10" numFmtId="0" fontId="3" fillId="0" borderId="0" xfId="0" applyAlignment="1" applyBorder="1" applyFont="1" applyNumberFormat="1" applyFill="1" applyProtection="1">
      <alignment horizontal="left"/>
    </xf>
    <xf xxid="11" numFmtId="0" fontId="3" fillId="0" borderId="0" xfId="0" applyAlignment="1" applyBorder="1" applyFont="1" applyNumberFormat="1" applyFill="1" applyProtection="1"/>
    <xf xxid="12" numFmtId="0" fontId="3" fillId="0" borderId="1" xfId="0" applyAlignment="1" applyBorder="1" applyFont="1" applyNumberFormat="1" applyFill="1" applyProtection="1">
      <alignment horizontal="left"/>
    </xf>
    <xf xxid="13" numFmtId="0" fontId="6" fillId="0" borderId="0" xfId="0" applyAlignment="1" applyBorder="1" applyFont="1" applyNumberFormat="1" applyFill="1" applyProtection="1"/>
    <xf xxid="14" numFmtId="0" fontId="3" fillId="0" borderId="2" xfId="0" applyAlignment="1" applyBorder="1" applyFont="1" applyNumberFormat="1" applyFill="1" applyProtection="1"/>
    <xf xxid="15" numFmtId="164" fontId="3" fillId="0" borderId="3" xfId="0" applyAlignment="1" applyBorder="1" applyFont="1" applyNumberFormat="1" applyFill="1" applyProtection="1">
      <alignment horizontal="left"/>
    </xf>
    <xf xxid="16" numFmtId="49" fontId="3" fillId="0" borderId="3" xfId="0" applyAlignment="1" applyBorder="1" applyFont="1" applyNumberFormat="1" applyFill="1" applyProtection="1">
      <alignment horizontal="left"/>
    </xf>
    <xf xxid="17" numFmtId="0" fontId="3" fillId="0" borderId="2" xfId="0" applyAlignment="1" applyBorder="1" applyFont="1" applyNumberFormat="1" applyFill="1" applyProtection="1">
      <alignment vertical="top"/>
    </xf>
    <xf xxid="18" numFmtId="0" fontId="3" fillId="0" borderId="2" xfId="0" applyAlignment="1" applyBorder="1" applyFont="1" applyNumberFormat="1" applyFill="1" applyProtection="1">
      <alignment horizontal="left" vertical="top"/>
    </xf>
    <xf xxid="19" numFmtId="14" fontId="3" fillId="0" borderId="4" xfId="0" applyAlignment="1" applyBorder="1" applyFont="1" applyNumberFormat="1" applyFill="1" applyProtection="1">
      <alignment vertical="top"/>
    </xf>
    <xf xxid="20" numFmtId="0" fontId="3" fillId="0" borderId="5" xfId="0" applyAlignment="1" applyBorder="1" applyFont="1" applyNumberFormat="1" applyFill="1" applyProtection="1">
      <alignment horizontal="left" vertical="top"/>
    </xf>
    <xf xxid="21" numFmtId="0" fontId="5" fillId="2" borderId="6" xfId="0" applyAlignment="1" applyBorder="1" applyFont="1" applyNumberFormat="1" applyFill="1" applyProtection="1">
      <alignment horizontal="left" vertical="center"/>
    </xf>
    <xf xxid="22" numFmtId="0" fontId="3" fillId="2" borderId="7" xfId="0" applyAlignment="1" applyBorder="1" applyFont="1" applyNumberFormat="1" applyFill="1" applyProtection="1">
      <alignment horizontal="left" vertical="center"/>
    </xf>
    <xf xxid="23" numFmtId="0" fontId="5" fillId="3" borderId="8" xfId="0" applyAlignment="1" applyBorder="1" applyFont="1" applyNumberFormat="1" applyFill="1" applyProtection="1">
      <alignment horizontal="left" vertical="center"/>
    </xf>
    <xf xxid="24" numFmtId="0" fontId="3" fillId="3" borderId="9" xfId="0" applyAlignment="1" applyBorder="1" applyFont="1" applyNumberFormat="1" applyFill="1" applyProtection="1">
      <alignment horizontal="left" vertical="center"/>
    </xf>
    <xf xxid="25" numFmtId="0" fontId="5" fillId="2" borderId="8" xfId="0" applyAlignment="1" applyBorder="1" applyFont="1" applyNumberFormat="1" applyFill="1" applyProtection="1">
      <alignment horizontal="left" vertical="center"/>
    </xf>
    <xf xxid="26" numFmtId="0" fontId="3" fillId="2" borderId="9" xfId="0" applyAlignment="1" applyBorder="1" applyFont="1" applyNumberFormat="1" applyFill="1" applyProtection="1">
      <alignment horizontal="left" vertical="center"/>
    </xf>
    <xf xxid="27" numFmtId="0" fontId="5" fillId="3" borderId="10" xfId="0" applyAlignment="1" applyBorder="1" applyFont="1" applyNumberFormat="1" applyFill="1" applyProtection="1">
      <alignment horizontal="left" vertical="center"/>
    </xf>
    <xf xxid="28" numFmtId="0" fontId="3" fillId="3" borderId="11" xfId="0" applyAlignment="1" applyBorder="1" applyFont="1" applyNumberFormat="1" applyFill="1" applyProtection="1">
      <alignment horizontal="left" vertical="center"/>
    </xf>
    <xf xxid="29" numFmtId="0" fontId="3" fillId="0" borderId="2" xfId="0" applyAlignment="1" applyBorder="1" applyFont="1" applyNumberFormat="1" applyFill="1" applyProtection="1">
      <alignment horizontal="left" vertical="top" wrapText="1"/>
    </xf>
    <xf xxid="30" numFmtId="0" fontId="6" fillId="0" borderId="2" xfId="0" applyAlignment="1" applyBorder="1" applyFont="1" applyNumberFormat="1" applyFill="1" applyProtection="1">
      <alignment horizontal="right"/>
    </xf>
    <xf xxid="31" numFmtId="0" fontId="3" fillId="4" borderId="12" xfId="0" applyAlignment="1" applyBorder="1" applyFont="1" applyNumberFormat="1" applyFill="1" applyProtection="1">
      <alignment horizontal="left" vertical="top" wrapText="1"/>
      <protection locked="0"/>
    </xf>
    <xf xxid="32" numFmtId="0" fontId="8" fillId="4" borderId="12" xfId="0" applyAlignment="1" applyBorder="1" applyFont="1" applyNumberFormat="1" applyFill="1" applyProtection="1">
      <alignment vertical="top" wrapText="1"/>
      <protection locked="0"/>
    </xf>
    <xf xxid="33" numFmtId="0" fontId="3" fillId="4" borderId="13" xfId="0" applyAlignment="1" applyBorder="1" applyFont="1" applyNumberFormat="1" applyFill="1" applyProtection="1"/>
    <xf xxid="34" numFmtId="0" fontId="3" fillId="4" borderId="14" xfId="0" applyAlignment="1" applyBorder="1" applyFont="1" applyNumberFormat="1" applyFill="1" applyProtection="1">
      <alignment horizontal="left"/>
    </xf>
    <xf xxid="35" numFmtId="0" fontId="3" fillId="4" borderId="14" xfId="0" applyAlignment="1" applyBorder="1" applyFont="1" applyNumberFormat="1" applyFill="1" applyProtection="1"/>
    <xf xxid="36" numFmtId="0" fontId="3" fillId="4" borderId="15" xfId="0" applyAlignment="1" applyBorder="1" applyFont="1" applyNumberFormat="1" applyFill="1" applyProtection="1"/>
    <xf xxid="37" numFmtId="0" fontId="3" fillId="5" borderId="2" xfId="0" applyAlignment="1" applyBorder="1" applyFont="1" applyNumberFormat="1" applyFill="1" applyProtection="1">
      <alignment vertical="top"/>
    </xf>
    <xf xxid="38" numFmtId="0" fontId="3" fillId="5" borderId="2" xfId="0" applyAlignment="1" applyBorder="1" applyFont="1" applyNumberFormat="1" applyFill="1" applyProtection="1">
      <alignment horizontal="left" vertical="top"/>
    </xf>
    <xf xxid="39" numFmtId="0" fontId="3" fillId="5" borderId="2" xfId="0" applyAlignment="1" applyBorder="1" applyFont="1" applyNumberFormat="1" applyFill="1" applyProtection="1">
      <alignment horizontal="left" vertical="top" wrapText="1"/>
    </xf>
    <xf xxid="40" numFmtId="0" fontId="3" fillId="0" borderId="2" xfId="0" applyAlignment="1" applyBorder="1" applyFont="1" applyNumberFormat="1" applyFill="1" applyProtection="1">
      <alignment horizontal="right"/>
    </xf>
    <xf xxid="41" numFmtId="0" fontId="3" fillId="0" borderId="0" xfId="0" applyAlignment="1" applyBorder="1" applyFont="1" applyNumberFormat="1" applyFill="1" applyProtection="1">
      <alignment horizontal="right"/>
    </xf>
    <xf xxid="42" numFmtId="0" fontId="7" fillId="4" borderId="16" xfId="0" applyAlignment="1" applyBorder="1" applyFont="1" applyNumberFormat="1" applyFill="1" applyProtection="1">
      <alignment vertical="center" wrapText="1"/>
    </xf>
    <xf xxid="43" numFmtId="0" fontId="9" fillId="0" borderId="0" xfId="0" applyAlignment="1" applyBorder="1" applyFont="1" applyNumberFormat="1" applyFill="1" applyProtection="1">
      <alignment horizontal="left"/>
    </xf>
    <xf xxid="44" numFmtId="0" fontId="9" fillId="0" borderId="2" xfId="0" applyAlignment="1" applyBorder="1" applyFont="1" applyNumberFormat="1" applyFill="1" applyProtection="1">
      <alignment vertical="center"/>
    </xf>
    <xf xxid="45" numFmtId="0" fontId="9" fillId="0" borderId="0" xfId="0" applyAlignment="1" applyBorder="1" applyFont="1" applyNumberFormat="1" applyFill="1" applyProtection="1">
      <alignment horizontal="left" vertical="center"/>
    </xf>
    <xf xxid="46" numFmtId="1" fontId="3" fillId="0" borderId="5" xfId="0" applyAlignment="1" applyBorder="1" applyFont="1" applyNumberFormat="1" applyFill="1" applyProtection="1">
      <alignment vertical="top"/>
    </xf>
    <xf xxid="47" numFmtId="0" fontId="8" fillId="4" borderId="17" xfId="0" applyAlignment="1" applyBorder="1" applyFont="1" applyNumberFormat="1" applyFill="1" applyProtection="1">
      <alignment vertical="top" wrapText="1"/>
      <protection locked="0"/>
    </xf>
    <xf xxid="48" numFmtId="0" fontId="9" fillId="0" borderId="0" xfId="0" applyAlignment="1" applyBorder="1" applyFont="1" applyNumberFormat="1" applyFill="1" applyProtection="1">
      <alignment vertical="center"/>
    </xf>
    <xf xxid="49" numFmtId="49" fontId="3" fillId="0" borderId="5" xfId="0" applyAlignment="1" applyBorder="1" applyFont="1" applyNumberFormat="1" applyFill="1" applyProtection="1">
      <alignment horizontal="left"/>
    </xf>
    <xf xxid="50" numFmtId="49" fontId="3" fillId="0" borderId="0" xfId="0" applyAlignment="1" applyBorder="1" applyFont="1" applyNumberFormat="1" applyFill="1" applyProtection="1">
      <alignment horizontal="left"/>
    </xf>
    <xf xxid="51" numFmtId="49" fontId="3" fillId="0" borderId="0" xfId="0" applyAlignment="1" applyBorder="1" applyFont="1" applyNumberFormat="1" applyFill="1" applyProtection="1">
      <alignment horizontal="right"/>
    </xf>
    <xf xxid="52" numFmtId="0" fontId="7" fillId="4" borderId="16" xfId="0" applyAlignment="1" applyBorder="1" applyFont="1" applyNumberFormat="1" applyFill="1" applyProtection="1">
      <alignment horizontal="left" vertical="center" wrapText="1"/>
    </xf>
    <xf xxid="53" numFmtId="0" fontId="6" fillId="0" borderId="0" xfId="0" applyAlignment="1" applyBorder="1" applyFont="1" applyNumberFormat="1" applyFill="1" applyProtection="1">
      <alignment horizontal="right"/>
    </xf>
    <xf xxid="54" numFmtId="14" fontId="3" fillId="0" borderId="5" xfId="0" applyAlignment="1" applyBorder="1" applyFont="1" applyNumberFormat="1" applyFill="1" applyProtection="1">
      <alignment vertical="top"/>
    </xf>
    <xf xxid="55" numFmtId="165" fontId="3" fillId="0" borderId="3" xfId="0" applyAlignment="1" applyBorder="1" applyFont="1" applyNumberFormat="1" applyFill="1" applyProtection="1">
      <alignment horizontal="left"/>
    </xf>
    <xf xxid="56" numFmtId="0" fontId="3" fillId="0" borderId="3" xfId="0" applyAlignment="1" applyBorder="1" applyFont="1" applyNumberFormat="1" applyFill="1" applyProtection="1">
      <alignment horizontal="left"/>
    </xf>
    <xf xxid="57" numFmtId="4" fontId="3" fillId="5" borderId="2" xfId="0" applyAlignment="1" applyBorder="1" applyFont="1" applyNumberFormat="1" applyFill="1" applyProtection="1">
      <alignment vertical="top"/>
    </xf>
    <xf xxid="58" numFmtId="4" fontId="3" fillId="0" borderId="2" xfId="0" applyAlignment="1" applyBorder="1" applyFont="1" applyNumberFormat="1" applyFill="1" applyProtection="1">
      <alignment vertical="top"/>
    </xf>
    <xf xxid="59" numFmtId="0" fontId="3" fillId="5" borderId="18" xfId="0" applyAlignment="1" applyBorder="1" applyFont="1" applyNumberFormat="1" applyFill="1" applyProtection="1">
      <alignment vertical="top"/>
    </xf>
    <xf xxid="60" numFmtId="0" fontId="3" fillId="0" borderId="18" xfId="0" applyAlignment="1" applyBorder="1" applyFont="1" applyNumberFormat="1" applyFill="1" applyProtection="1">
      <alignment vertical="top"/>
    </xf>
    <xf xxid="61" numFmtId="0" fontId="3" fillId="5" borderId="19" xfId="0" applyAlignment="1" applyBorder="1" applyFont="1" applyNumberFormat="1" applyFill="1" applyProtection="1">
      <alignment vertical="top"/>
    </xf>
    <xf xxid="62" numFmtId="0" fontId="3" fillId="0" borderId="19" xfId="0" applyAlignment="1" applyBorder="1" applyFont="1" applyNumberFormat="1" applyFill="1" applyProtection="1">
      <alignment vertical="top"/>
    </xf>
    <xf xxid="63" numFmtId="0" fontId="3" fillId="5" borderId="20" xfId="0" applyAlignment="1" applyBorder="1" applyFont="1" applyNumberFormat="1" applyFill="1" applyProtection="1">
      <alignment vertical="top"/>
    </xf>
    <xf xxid="64" numFmtId="0" fontId="3" fillId="0" borderId="5" xfId="0" applyAlignment="1" applyBorder="1" applyFont="1" applyNumberFormat="1" applyFill="1" applyProtection="1">
      <alignment vertical="top"/>
    </xf>
    <xf xxid="65" numFmtId="0" fontId="3" fillId="0" borderId="21" xfId="0" applyAlignment="1" applyBorder="1" applyFont="1" applyNumberFormat="1" applyFill="1" applyProtection="1">
      <alignment vertical="top"/>
    </xf>
    <xf xxid="66" numFmtId="0" fontId="3" fillId="0" borderId="5" xfId="0" applyAlignment="1" applyBorder="1" applyFont="1" applyNumberFormat="1" applyFill="1" applyProtection="1">
      <alignment horizontal="right" vertical="top"/>
    </xf>
    <xf xxid="67" numFmtId="0" fontId="3" fillId="0" borderId="22" xfId="0" applyAlignment="1" applyBorder="1" applyFont="1" applyNumberFormat="1" applyFill="1" applyProtection="1">
      <alignment vertical="top"/>
    </xf>
    <xf xxid="68" numFmtId="4" fontId="3" fillId="0" borderId="0" xfId="0" applyAlignment="1" applyBorder="1" applyFont="1" applyNumberFormat="1" applyFill="1" applyProtection="1"/>
    <xf xxid="69" numFmtId="166" fontId="3" fillId="0" borderId="23" xfId="0" applyAlignment="1" applyBorder="1" applyFont="1" applyNumberFormat="1" applyFill="1" applyProtection="1">
      <alignment horizontal="right" vertical="top"/>
    </xf>
    <xf xxid="70" numFmtId="4" fontId="3" fillId="0" borderId="22" xfId="0" applyAlignment="1" applyBorder="1" applyFont="1" applyNumberFormat="1" applyFill="1" applyProtection="1">
      <alignment horizontal="right" vertical="top"/>
    </xf>
    <xf xxid="71" numFmtId="0" fontId="3" fillId="5" borderId="2" xfId="0" applyAlignment="1" applyBorder="1" applyFont="1" applyNumberFormat="1" applyFill="1" applyProtection="1">
      <alignment vertical="top" shrinkToFit="1"/>
    </xf>
    <xf xxid="72" numFmtId="0" fontId="3" fillId="0" borderId="2" xfId="0" applyAlignment="1" applyBorder="1" applyFont="1" applyNumberFormat="1" applyFill="1" applyProtection="1">
      <alignment vertical="top" shrinkToFit="1"/>
    </xf>
    <xf xxid="73" numFmtId="0" fontId="3" fillId="0" borderId="0" xfId="0" applyAlignment="1" applyBorder="1" applyFont="1" applyNumberFormat="1" applyFill="1" applyProtection="1">
      <alignment vertical="top"/>
    </xf>
    <xf xxid="74" numFmtId="0" fontId="3" fillId="4" borderId="2" xfId="0" applyAlignment="1" applyBorder="1" applyFont="1" applyNumberFormat="1" applyFill="1" applyProtection="1">
      <alignment vertical="top" wrapText="1"/>
      <protection locked="0"/>
    </xf>
    <xf xxid="75" numFmtId="0" fontId="3" fillId="4" borderId="0" xfId="0" applyAlignment="1" applyBorder="1" applyFont="1" applyNumberFormat="1" applyFill="1" applyProtection="1">
      <alignment vertical="top" wrapText="1"/>
      <protection locked="0"/>
    </xf>
    <xf xxid="76" numFmtId="0" fontId="3" fillId="4" borderId="0" xfId="0" applyAlignment="1" applyBorder="1" applyFont="1" applyNumberFormat="1" applyFill="1" applyProtection="1">
      <alignment horizontal="left" vertical="top" wrapText="1"/>
      <protection locked="0"/>
    </xf>
    <xf xxid="77" numFmtId="0" fontId="8" fillId="4" borderId="0" xfId="0" applyAlignment="1" applyBorder="1" applyFont="1" applyNumberFormat="1" applyFill="1" applyProtection="1">
      <alignment vertical="top" wrapText="1"/>
      <protection locked="0"/>
    </xf>
    <xf xxid="78" numFmtId="0" fontId="7" fillId="4" borderId="24" xfId="0" applyAlignment="1" applyBorder="1" applyFont="1" applyNumberFormat="1" applyFill="1" applyProtection="1">
      <alignment vertical="center" wrapText="1"/>
    </xf>
    <xf xxid="79" numFmtId="0" fontId="7" fillId="4" borderId="25" xfId="0" applyAlignment="1" applyBorder="1" applyFont="1" applyNumberFormat="1" applyFill="1" applyProtection="1">
      <alignment vertical="center" wrapText="1"/>
    </xf>
    <xf xxid="80" numFmtId="0" fontId="7" fillId="4" borderId="26" xfId="0" applyAlignment="1" applyBorder="1" applyFont="1" applyNumberFormat="1" applyFill="1" applyProtection="1">
      <alignment vertical="center" wrapText="1"/>
    </xf>
    <xf xxid="81" numFmtId="0" fontId="7" fillId="4" borderId="27" xfId="0" applyAlignment="1" applyBorder="1" applyFont="1" applyNumberFormat="1" applyFill="1" applyProtection="1">
      <alignment vertical="center" wrapText="1"/>
    </xf>
    <xf xxid="82" numFmtId="0" fontId="3" fillId="5" borderId="28" xfId="0" applyAlignment="1" applyBorder="1" applyFont="1" applyNumberFormat="1" applyFill="1" applyProtection="1">
      <alignment vertical="top"/>
    </xf>
    <xf xxid="83" numFmtId="0" fontId="3" fillId="0" borderId="28" xfId="0" applyAlignment="1" applyBorder="1" applyFont="1" applyNumberFormat="1" applyFill="1" applyProtection="1">
      <alignment vertical="top"/>
    </xf>
    <xf xxid="84" numFmtId="0" fontId="3" fillId="5" borderId="29" xfId="0" applyAlignment="1" applyBorder="1" applyFont="1" applyNumberFormat="1" applyFill="1" applyProtection="1">
      <alignment vertical="top"/>
    </xf>
    <xf xxid="85" numFmtId="0" fontId="3" fillId="0" borderId="21" xfId="0" applyAlignment="1" applyBorder="1" applyFont="1" applyNumberFormat="1" applyFill="1" applyProtection="1">
      <alignment horizontal="right" vertical="top"/>
    </xf>
    <xf xxid="86" numFmtId="0" fontId="3" fillId="0" borderId="30" xfId="0" applyAlignment="1" applyBorder="1" applyFont="1" applyNumberFormat="1" applyFill="1" applyProtection="1">
      <alignment vertical="top"/>
    </xf>
    <xf xxid="87" numFmtId="0" fontId="3" fillId="0" borderId="31" xfId="0" applyAlignment="1" applyBorder="1" applyFont="1" applyNumberFormat="1" applyFill="1" applyProtection="1">
      <alignment vertical="top"/>
    </xf>
    <xf xxid="88" numFmtId="0" fontId="3" fillId="0" borderId="32" xfId="0" applyAlignment="1" applyBorder="1" applyFont="1" applyNumberFormat="1" applyFill="1" applyProtection="1">
      <alignment vertical="top"/>
    </xf>
    <xf xxid="89" numFmtId="0" fontId="3" fillId="0" borderId="33" xfId="0" applyAlignment="1" applyBorder="1" applyFont="1" applyNumberFormat="1" applyFill="1" applyProtection="1">
      <alignment vertical="top"/>
    </xf>
    <xf xxid="90" numFmtId="166" fontId="3" fillId="0" borderId="0" xfId="0" applyAlignment="1" applyBorder="1" applyFont="1" applyNumberFormat="1" applyFill="1" applyProtection="1">
      <alignment horizontal="right" vertical="top"/>
    </xf>
    <xf xxid="91" numFmtId="4" fontId="3" fillId="0" borderId="0" xfId="0" applyAlignment="1" applyBorder="1" applyFont="1" applyNumberFormat="1" applyFill="1" applyProtection="1">
      <alignment vertical="top"/>
    </xf>
    <xf xxid="92" numFmtId="0" fontId="7" fillId="4" borderId="34" xfId="0" applyAlignment="1" applyBorder="1" applyFont="1" applyNumberFormat="1" applyFill="1" applyProtection="1">
      <alignment vertical="center" wrapText="1"/>
    </xf>
    <xf xxid="93" numFmtId="0" fontId="7" fillId="4" borderId="35" xfId="0" applyAlignment="1" applyBorder="1" applyFont="1" applyNumberFormat="1" applyFill="1" applyProtection="1">
      <alignment vertical="center" wrapText="1"/>
    </xf>
    <xf xxid="94" numFmtId="4" fontId="3" fillId="5" borderId="36" xfId="0" applyAlignment="1" applyBorder="1" applyFont="1" applyNumberFormat="1" applyFill="1" applyProtection="1">
      <alignment vertical="top"/>
    </xf>
    <xf xxid="95" numFmtId="4" fontId="3" fillId="0" borderId="36" xfId="0" applyAlignment="1" applyBorder="1" applyFont="1" applyNumberFormat="1" applyFill="1" applyProtection="1">
      <alignment vertical="top"/>
    </xf>
    <xf xxid="96" numFmtId="4" fontId="3" fillId="5" borderId="37" xfId="0" applyAlignment="1" applyBorder="1" applyFont="1" applyNumberFormat="1" applyFill="1" applyProtection="1">
      <alignment vertical="top"/>
    </xf>
    <xf xxid="97" numFmtId="166" fontId="10" fillId="0" borderId="38" xfId="0" applyAlignment="1" applyBorder="1" applyFont="1" applyNumberFormat="1" applyFill="1" applyProtection="1">
      <alignment horizontal="right" vertical="top"/>
    </xf>
    <xf xxid="98" numFmtId="4" fontId="10" fillId="0" borderId="32" xfId="0" applyAlignment="1" applyBorder="1" applyFont="1" applyNumberFormat="1" applyFill="1" applyProtection="1">
      <alignment horizontal="right" vertical="top"/>
    </xf>
    <xf xxid="99" numFmtId="4" fontId="10" fillId="0" borderId="39" xfId="0" applyAlignment="1" applyBorder="1" applyFont="1" applyNumberFormat="1" applyFill="1" applyProtection="1">
      <alignment vertical="top"/>
    </xf>
    <xf xxid="100" numFmtId="0" fontId="11" fillId="0" borderId="2" xfId="0" applyAlignment="1" applyBorder="1" applyFont="1" applyNumberFormat="1" applyFill="1" applyProtection="1">
      <alignment horizontal="right"/>
    </xf>
    <xf xxid="101" numFmtId="49" fontId="10" fillId="0" borderId="3" xfId="0" applyAlignment="1" applyBorder="1" applyFont="1" applyNumberFormat="1" applyFill="1" applyProtection="1">
      <alignment horizontal="left"/>
    </xf>
    <xf xxid="102" numFmtId="0" fontId="12" fillId="4" borderId="25" xfId="0" applyAlignment="1" applyBorder="1" applyFont="1" applyNumberFormat="1" applyFill="1" applyProtection="1">
      <alignment vertical="center" wrapText="1"/>
    </xf>
    <xf xxid="103" numFmtId="4" fontId="10" fillId="0" borderId="40" xfId="0" applyAlignment="1" applyBorder="1" applyFont="1" applyNumberFormat="1" applyFill="1" applyProtection="1">
      <alignment horizontal="right" vertical="top"/>
    </xf>
    <xf xxid="104" numFmtId="0" fontId="3" fillId="5" borderId="36" xfId="0" applyAlignment="1" applyBorder="1" applyFont="1" applyNumberFormat="1" applyFill="1" applyProtection="1">
      <alignment vertical="top"/>
    </xf>
    <xf xxid="105" numFmtId="0" fontId="3" fillId="6" borderId="36" xfId="0" applyAlignment="1" applyBorder="1" applyFont="1" applyNumberFormat="1" applyFill="1" applyProtection="1">
      <alignment vertical="top"/>
    </xf>
    <xf xxid="106" numFmtId="0" fontId="0" fillId="0" borderId="28" xfId="0" applyAlignment="1" applyBorder="1" applyFont="1" applyNumberFormat="1" applyFill="1" applyProtection="1">
      <alignment vertical="top"/>
    </xf>
    <xf xxid="107" numFmtId="0" fontId="0" fillId="0" borderId="41" xfId="0" applyAlignment="1" applyBorder="1" applyFont="1" applyNumberFormat="1" applyFill="1" applyProtection="1">
      <alignment vertical="top"/>
    </xf>
    <xf xxid="108" numFmtId="4" fontId="0" fillId="0" borderId="36" xfId="0" applyAlignment="1" applyBorder="1" applyFont="1" applyNumberFormat="1" applyFill="1" applyProtection="1">
      <alignment vertical="top"/>
    </xf>
    <xf xxid="109" numFmtId="4" fontId="0" fillId="0" borderId="41" xfId="0" applyAlignment="1" applyBorder="1" applyFont="1" applyNumberFormat="1" applyFill="1" applyProtection="1">
      <alignment vertical="top"/>
    </xf>
    <xf xxid="110" numFmtId="0" fontId="0" fillId="5" borderId="28" xfId="0" applyAlignment="1" applyBorder="1" applyFont="1" applyNumberFormat="1" applyFill="1" applyProtection="1">
      <alignment vertical="top"/>
    </xf>
    <xf xxid="111" numFmtId="0" fontId="0" fillId="5" borderId="41" xfId="0" applyAlignment="1" applyBorder="1" applyFont="1" applyNumberFormat="1" applyFill="1" applyProtection="1">
      <alignment vertical="top"/>
    </xf>
    <xf xxid="112" numFmtId="4" fontId="0" fillId="5" borderId="41" xfId="0" applyAlignment="1" applyBorder="1" applyFont="1" applyNumberFormat="1" applyFill="1" applyProtection="1">
      <alignment vertical="top"/>
    </xf>
    <xf xxid="113" numFmtId="4" fontId="0" fillId="5" borderId="36" xfId="0" applyAlignment="1" applyBorder="1" applyFont="1" applyNumberFormat="1" applyFill="1" applyProtection="1">
      <alignment vertical="top"/>
    </xf>
    <xf xxid="114" numFmtId="4" fontId="3" fillId="0" borderId="30" xfId="0" applyAlignment="1" applyBorder="1" applyFont="1" applyNumberFormat="1" applyFill="1" applyProtection="1">
      <alignment vertical="top"/>
    </xf>
    <xf xxid="115" numFmtId="4" fontId="3" fillId="0" borderId="42" xfId="0" applyAlignment="1" applyBorder="1" applyFont="1" applyNumberFormat="1" applyFill="1" applyProtection="1">
      <alignment vertical="top"/>
    </xf>
    <xf xxid="116" numFmtId="4" fontId="3" fillId="0" borderId="43" xfId="0" applyAlignment="1" applyBorder="1" applyFont="1" applyNumberFormat="1" applyFill="1" applyProtection="1">
      <alignment vertical="top"/>
    </xf>
    <xf xxid="117" numFmtId="4" fontId="3" fillId="0" borderId="33" xfId="0" applyAlignment="1" applyBorder="1" applyFont="1" applyNumberFormat="1" applyFill="1" applyProtection="1">
      <alignment vertical="top"/>
    </xf>
    <xf xxid="118" numFmtId="0" fontId="13" fillId="0" borderId="0" xfId="0" applyAlignment="1" applyBorder="1" applyFont="1" applyNumberFormat="1" applyFill="1" applyProtection="1">
      <alignment vertical="center"/>
    </xf>
    <xf xxid="119" numFmtId="0" fontId="14" fillId="0" borderId="0" xfId="0" applyAlignment="1" applyBorder="1" applyFont="1" applyNumberFormat="1" applyFill="1" applyProtection="1">
      <alignment vertical="top"/>
    </xf>
    <xf xxid="120" numFmtId="0" fontId="13" fillId="0" borderId="0" xfId="0" applyAlignment="1" applyBorder="1" applyFont="1" applyNumberFormat="1" applyFill="1" applyProtection="1"/>
    <xf xxid="121" numFmtId="0" fontId="14" fillId="0" borderId="0" xfId="0" applyAlignment="1" applyBorder="1" applyFont="1" applyNumberFormat="1" applyFill="1" applyProtection="1"/>
    <xf xxid="122" numFmtId="49" fontId="3" fillId="5" borderId="2" xfId="0" applyAlignment="1" applyBorder="1" applyFont="1" applyNumberFormat="1" applyFill="1" applyProtection="1">
      <alignment vertical="top"/>
    </xf>
    <xf xxid="123" numFmtId="49" fontId="3" fillId="0" borderId="2" xfId="0" applyAlignment="1" applyBorder="1" applyFont="1" applyNumberFormat="1" applyFill="1" applyProtection="1">
      <alignment vertical="top"/>
    </xf>
    <xf xxid="124" numFmtId="0" fontId="0" fillId="0" borderId="0" xfId="0"/>
    <xf xxid="125" numFmtId="0" fontId="13" fillId="0" borderId="0" xfId="0" applyAlignment="1" applyBorder="1" applyFont="1" applyNumberFormat="1" applyFill="1" applyProtection="1" quotePrefix="1">
      <alignment vertical="center"/>
    </xf>
    <xf xxid="126" numFmtId="0" fontId="3" fillId="0" borderId="0" xfId="0" applyAlignment="1" applyBorder="1" applyFont="1" applyNumberFormat="1" applyFill="1" applyProtection="1" quotePrefix="1">
      <alignment horizontal="left"/>
    </xf>
    <xf xxid="127" numFmtId="0" fontId="3" fillId="0" borderId="3" xfId="0" applyAlignment="1" applyBorder="1" applyFont="1" applyNumberFormat="1" applyFill="1" applyProtection="1" quotePrefix="1">
      <alignment horizontal="left"/>
    </xf>
    <xf xxid="128" numFmtId="0" fontId="3" fillId="0" borderId="1" xfId="0" applyAlignment="1" applyBorder="1" applyFont="1" applyNumberFormat="1" applyFill="1" applyProtection="1" quotePrefix="1">
      <alignment horizontal="left"/>
    </xf>
    <xf xxid="129" numFmtId="49" fontId="10" fillId="0" borderId="3" xfId="0" applyAlignment="1" applyBorder="1" applyFont="1" applyNumberFormat="1" applyFill="1" applyProtection="1" quotePrefix="1">
      <alignment horizontal="left"/>
    </xf>
    <xf xxid="131" numFmtId="0" fontId="9" fillId="0" borderId="0" xfId="0" applyAlignment="1" applyBorder="1" applyFont="1" applyNumberFormat="1" applyFill="1" applyProtection="1" quotePrefix="1">
      <alignment vertical="center"/>
    </xf>
    <xf xxid="132" numFmtId="0" fontId="3" fillId="2" borderId="7" xfId="0" applyAlignment="1" applyBorder="1" applyFont="1" applyNumberFormat="1" applyFill="1" applyProtection="1" quotePrefix="1">
      <alignment horizontal="left" vertical="center"/>
    </xf>
    <xf xxid="133" numFmtId="0" fontId="3" fillId="3" borderId="9" xfId="0" applyAlignment="1" applyBorder="1" applyFont="1" applyNumberFormat="1" applyFill="1" applyProtection="1" quotePrefix="1">
      <alignment horizontal="left" vertical="center"/>
    </xf>
    <xf xxid="134" numFmtId="0" fontId="3" fillId="2" borderId="9" xfId="0" applyAlignment="1" applyBorder="1" applyFont="1" applyNumberFormat="1" applyFill="1" applyProtection="1" quotePrefix="1">
      <alignment horizontal="left" vertical="center"/>
    </xf>
    <xf xxid="135" numFmtId="0" fontId="3" fillId="3" borderId="11" xfId="0" applyAlignment="1" applyBorder="1" applyFont="1" applyNumberFormat="1" applyFill="1" applyProtection="1" quotePrefix="1">
      <alignment horizontal="left" vertical="center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70"/>
  <sheetViews>
    <sheetView showGridLines="0" zoomScale="85" zoomScaleNormal="85" view="normal" workbookViewId="0">
      <selection pane="topLeft" activeCell="C15" sqref="C15"/>
    </sheetView>
  </sheetViews>
  <sheetFormatPr defaultColWidth="9.13671875" defaultRowHeight="13.2" baseColWidth="0"/>
  <cols>
    <col min="1" max="1" width="51.7109375" style="2" customWidth="1"/>
    <col min="2" max="2" width="29.8515625" style="2" customWidth="1"/>
    <col min="3" max="3" width="24.8515625" style="4" customWidth="1"/>
    <col min="4" max="4" width="26.8515625" style="4" customWidth="1"/>
    <col min="5" max="5" width="7.99609375" style="2" customWidth="1"/>
    <col min="6" max="6" width="8.7109375" style="2" customWidth="1"/>
    <col min="7" max="7" width="9.8515625" customWidth="1"/>
    <col min="8" max="8" width="12.8515625" style="2" customWidth="1"/>
    <col min="9" max="9" width="18.421875" style="2" customWidth="1"/>
    <col min="10" max="10" width="7.8515625" style="2" customWidth="1"/>
    <col min="11" max="11" width="6.421875" style="2" hidden="1" customWidth="1"/>
    <col min="12" max="12" width="9.7109375" style="2" customWidth="1"/>
    <col min="13" max="13" width="9.56640625" style="2" customWidth="1"/>
    <col min="14" max="14" width="16.7109375" style="2" customWidth="1"/>
    <col min="15" max="15" width="7.7109375" style="2" customWidth="1"/>
    <col min="16" max="16" width="8.8515625" style="2" customWidth="1"/>
    <col min="17" max="17" width="9.56640625" style="2" customWidth="1"/>
    <col min="18" max="18" width="16.7109375" style="2" customWidth="1"/>
    <col min="19" max="19" width="7.7109375" style="2" customWidth="1"/>
    <col min="20" max="20" width="8.8515625" style="2" customWidth="1"/>
    <col min="21" max="21" width="9.56640625" style="2" customWidth="1"/>
    <col min="22" max="22" width="16.7109375" style="2" customWidth="1"/>
    <col min="23" max="23" width="7.7109375" style="2" customWidth="1"/>
    <col min="24" max="24" width="8.8515625" style="2" customWidth="1"/>
    <col min="25" max="25" width="9.56640625" style="2" customWidth="1"/>
    <col min="26" max="26" width="16.7109375" style="2" customWidth="1"/>
    <col min="27" max="27" width="7.7109375" style="2" customWidth="1"/>
    <col min="28" max="28" width="8.8515625" style="2" customWidth="1"/>
    <col min="29" max="16384" width="9.13671875" style="2" customWidth="1"/>
  </cols>
  <sheetData>
    <row r="1" spans="1:28" ht="6" customHeight="1" thickBot="1">
      <c r="A1" s="32"/>
      <c r="B1" s="34"/>
      <c r="C1" s="33"/>
      <c r="D1" s="33"/>
      <c r="E1" s="33"/>
      <c r="F1" s="34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7" ht="37.5" customHeight="1">
      <c r="A2" s="43" t="s">
        <v>19</v>
      </c>
      <c r="B2" s="44" t="s">
        <v>25</v>
      </c>
      <c r="C2" s="44"/>
      <c r="D2" s="124" t="s">
        <v>58</v>
      </c>
      <c r="E2" s="118"/>
      <c r="F2" s="119"/>
      <c r="G2" s="120"/>
      <c r="H2" s="119"/>
      <c r="J2" s="10"/>
      <c r="K2" s="10"/>
      <c r="L2" s="10"/>
      <c r="M2" s="10"/>
      <c r="N2" s="10"/>
      <c r="O2" s="10"/>
      <c r="P2" s="10"/>
      <c r="Q2" s="10"/>
      <c r="R2" s="10"/>
      <c r="S2" s="10"/>
      <c r="U2" s="10"/>
      <c r="V2" s="10"/>
      <c r="W2" s="10"/>
      <c r="Y2" s="10"/>
      <c r="Z2" s="10"/>
      <c r="AA2" s="10"/>
    </row>
    <row r="3" spans="1:27" ht="23.25" customHeight="1">
      <c r="A3" s="40" t="s">
        <v>2</v>
      </c>
      <c r="B3" s="125" t="s">
        <v>59</v>
      </c>
      <c r="C3" s="9"/>
      <c r="D3" s="124" t="s">
        <v>60</v>
      </c>
      <c r="E3" s="10"/>
      <c r="F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U3" s="10"/>
      <c r="V3" s="10"/>
      <c r="W3" s="10"/>
      <c r="Y3" s="10"/>
      <c r="Z3" s="10"/>
      <c r="AA3" s="10"/>
    </row>
    <row r="4" spans="1:27" ht="17.25" customHeight="1">
      <c r="A4" s="40" t="s">
        <v>55</v>
      </c>
      <c r="B4" s="126" t="s">
        <v>59</v>
      </c>
      <c r="C4" s="55"/>
      <c r="D4"/>
      <c r="E4" s="10"/>
      <c r="F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U4" s="10"/>
      <c r="V4" s="10"/>
      <c r="W4" s="10"/>
      <c r="Y4" s="10"/>
      <c r="Z4" s="10"/>
      <c r="AA4" s="10"/>
    </row>
    <row r="5" spans="1:27" ht="17.25" customHeight="1">
      <c r="A5" s="40" t="s">
        <v>56</v>
      </c>
      <c r="B5" s="126" t="s">
        <v>61</v>
      </c>
      <c r="C5" s="126" t="s">
        <v>62</v>
      </c>
      <c r="D5"/>
      <c r="E5" s="10"/>
      <c r="F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U5" s="10"/>
      <c r="V5" s="10"/>
      <c r="W5" s="10"/>
      <c r="Y5" s="10"/>
      <c r="Z5" s="10"/>
      <c r="AA5" s="10"/>
    </row>
    <row r="6" spans="1:27" ht="17.25" customHeight="1">
      <c r="A6" s="40" t="s">
        <v>57</v>
      </c>
      <c r="B6" s="127" t="s">
        <v>63</v>
      </c>
      <c r="C6" s="127" t="s">
        <v>64</v>
      </c>
      <c r="D6"/>
      <c r="E6" s="10"/>
      <c r="F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U6" s="10"/>
      <c r="V6" s="10"/>
      <c r="W6" s="10"/>
      <c r="Y6" s="10"/>
      <c r="Z6" s="10"/>
      <c r="AA6" s="10"/>
    </row>
    <row r="7" spans="1:27" ht="15.75" customHeight="1">
      <c r="A7" s="29" t="s">
        <v>0</v>
      </c>
      <c r="B7" s="127" t="s">
        <v>65</v>
      </c>
      <c r="C7" s="126" t="s">
        <v>66</v>
      </c>
      <c r="D7"/>
      <c r="E7" s="10"/>
      <c r="F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U7" s="10"/>
      <c r="V7" s="10"/>
      <c r="W7" s="10"/>
      <c r="Y7" s="10"/>
      <c r="Z7" s="10"/>
      <c r="AA7" s="10"/>
    </row>
    <row r="8" spans="1:27" ht="15.75" customHeight="1">
      <c r="A8" s="39" t="s">
        <v>1</v>
      </c>
      <c r="B8" s="14">
        <f ca="1">TODAY()</f>
        <v>44187</v>
      </c>
      <c r="C8" s="54">
        <f ca="1">NOW()</f>
        <v>44187.846767881943</v>
      </c>
      <c r="D8"/>
      <c r="E8" s="10"/>
      <c r="F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U8" s="10"/>
      <c r="V8" s="10"/>
      <c r="W8" s="10"/>
      <c r="Y8" s="10"/>
      <c r="Z8" s="10"/>
      <c r="AA8" s="10"/>
    </row>
    <row r="9" spans="1:27" ht="15.75" customHeight="1">
      <c r="A9" s="29"/>
      <c r="B9" s="15"/>
      <c r="C9" s="15"/>
      <c r="D9"/>
      <c r="E9" s="10"/>
      <c r="F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U9" s="10"/>
      <c r="V9" s="10"/>
      <c r="W9" s="10"/>
      <c r="Y9" s="10"/>
      <c r="Z9" s="10"/>
      <c r="AA9" s="10"/>
    </row>
    <row r="10" spans="1:27" ht="15.75" customHeight="1">
      <c r="A10" s="99" t="s">
        <v>35</v>
      </c>
      <c r="B10" s="128" t="s">
        <v>67</v>
      </c>
      <c r="C10" s="48"/>
      <c r="D10"/>
      <c r="E10" s="10"/>
      <c r="F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U10" s="10"/>
      <c r="V10" s="10"/>
      <c r="W10" s="10"/>
      <c r="Y10" s="10"/>
      <c r="Z10" s="10"/>
      <c r="AA10" s="10"/>
    </row>
    <row r="11" spans="1:27" ht="15.75" customHeight="1">
      <c r="A11" s="99" t="s">
        <v>18</v>
      </c>
      <c r="B11" s="128" t="s">
        <v>68</v>
      </c>
      <c r="C11" s="50"/>
      <c r="D11" s="49"/>
      <c r="H11" s="40"/>
      <c r="I11" s="67"/>
      <c r="J11" s="67"/>
      <c r="K11" s="67"/>
      <c r="L11" s="10"/>
      <c r="M11" s="10"/>
      <c r="N11" s="10"/>
      <c r="O11" s="10"/>
      <c r="P11" s="10"/>
      <c r="Q11" s="10"/>
      <c r="R11" s="10"/>
      <c r="S11" s="10"/>
      <c r="U11" s="10"/>
      <c r="V11" s="10"/>
      <c r="W11" s="10"/>
      <c r="Y11" s="10"/>
      <c r="Z11" s="10"/>
      <c r="AA11" s="10"/>
    </row>
    <row r="12" spans="1:27" ht="15.75" customHeight="1" thickBot="1">
      <c r="A12" s="13"/>
      <c r="B12" s="10"/>
      <c r="C12" s="10"/>
      <c r="D12" s="40"/>
      <c r="E12" s="72"/>
      <c r="F12" s="72"/>
      <c r="I12" s="89"/>
      <c r="J12" s="89"/>
      <c r="K12" s="89"/>
      <c r="L12" s="90"/>
      <c r="M12" s="10"/>
      <c r="N12" s="10"/>
      <c r="O12" s="10"/>
      <c r="P12" s="10"/>
      <c r="Q12" s="10"/>
      <c r="R12" s="10"/>
      <c r="S12" s="10"/>
      <c r="U12" s="10"/>
      <c r="V12" s="10"/>
      <c r="W12" s="10"/>
      <c r="Y12" s="10"/>
      <c r="Z12" s="10"/>
      <c r="AA12" s="10"/>
    </row>
    <row r="13" spans="1:28" s="7" customFormat="1" ht="39" customHeight="1" thickTop="1">
      <c r="A13" s="77" t="s">
        <v>69</v>
      </c>
      <c r="B13" s="78" t="s">
        <v>47</v>
      </c>
      <c r="C13" s="78" t="s">
        <v>38</v>
      </c>
      <c r="D13" s="78" t="s">
        <v>3</v>
      </c>
      <c r="E13" s="79" t="s">
        <v>32</v>
      </c>
      <c r="F13" s="80" t="s">
        <v>31</v>
      </c>
      <c r="G13"/>
      <c r="H13" s="91" t="s">
        <v>20</v>
      </c>
      <c r="I13" s="78" t="s">
        <v>21</v>
      </c>
      <c r="J13" s="78" t="s">
        <v>53</v>
      </c>
      <c r="K13" s="101" t="s">
        <v>54</v>
      </c>
      <c r="L13" s="80" t="s">
        <v>30</v>
      </c>
      <c r="M13" s="91" t="s">
        <v>204</v>
      </c>
      <c r="N13" s="78" t="s">
        <v>26</v>
      </c>
      <c r="O13" s="78" t="s">
        <v>49</v>
      </c>
      <c r="P13" s="78" t="s">
        <v>238</v>
      </c>
      <c r="Q13" s="92" t="s">
        <v>239</v>
      </c>
      <c r="R13" s="78" t="s">
        <v>27</v>
      </c>
      <c r="S13" s="78" t="s">
        <v>50</v>
      </c>
      <c r="T13" s="78" t="s">
        <v>28</v>
      </c>
      <c r="U13" s="92" t="s">
        <v>41</v>
      </c>
      <c r="V13" s="78" t="s">
        <v>42</v>
      </c>
      <c r="W13" s="78" t="s">
        <v>51</v>
      </c>
      <c r="X13" s="78" t="s">
        <v>43</v>
      </c>
      <c r="Y13" s="92" t="s">
        <v>44</v>
      </c>
      <c r="Z13" s="78" t="s">
        <v>45</v>
      </c>
      <c r="AA13" s="78" t="s">
        <v>52</v>
      </c>
      <c r="AB13" s="80" t="s">
        <v>46</v>
      </c>
    </row>
    <row r="14" spans="1:28" s="3" customFormat="1" ht="16.5" customHeight="1">
      <c r="A14" s="81" t="s">
        <v>70</v>
      </c>
      <c r="B14" s="36" t="s">
        <v>110</v>
      </c>
      <c r="C14" s="121" t="s">
        <v>133</v>
      </c>
      <c r="D14" s="70" t="s">
        <v>164</v>
      </c>
      <c r="E14" s="36">
        <v>5</v>
      </c>
      <c r="F14" s="103">
        <f>E14*$B$10</f>
        <v>5000</v>
      </c>
      <c r="G14"/>
      <c r="H14" s="109" t="str">
        <f>IF(INDEX($M14:$AB14,$K14-3)&lt;&gt;0, INDEX($M14:$AB14,$K14-3), "")</f>
        <v>Digi-Key</v>
      </c>
      <c r="I14" s="110" t="str">
        <f>IF(INDEX($M14:$AB14,$K14-2)&lt;&gt;0, INDEX($M14:$AB14,$K14-2), "")</f>
        <v>1276-1044-1-ND</v>
      </c>
      <c r="J14" s="111">
        <f>IF(INDEX($M14:$AB14,$K14-1)&lt;&gt;0, INDEX($M14:$AB14,$K14-1), "")</f>
        <v>0.01201</v>
      </c>
      <c r="K14" s="110">
        <f>MATCH(MIN($P14,$T14,$X14,$AB14), $M14:$AB14,0)</f>
        <v>4</v>
      </c>
      <c r="L14" s="112">
        <f>IF(MIN($P14,$T14,$X14,$AB14)&lt;&gt;0,MIN($P14,$T14,$X14,$AB14),"")</f>
        <v>60.05</v>
      </c>
      <c r="M14" s="58" t="s">
        <v>205</v>
      </c>
      <c r="N14" s="36" t="s">
        <v>207</v>
      </c>
      <c r="O14" s="56">
        <v>0.01201</v>
      </c>
      <c r="P14" s="56">
        <v>60.05</v>
      </c>
      <c r="Q14" s="60" t="s">
        <v>206</v>
      </c>
      <c r="R14" s="36" t="s">
        <v>241</v>
      </c>
      <c r="S14" s="56">
        <v>0.01269</v>
      </c>
      <c r="T14" s="56">
        <v>63.44</v>
      </c>
      <c r="U14" s="60"/>
      <c r="V14" s="36"/>
      <c r="W14" s="56"/>
      <c r="X14" s="56"/>
      <c r="Y14" s="60"/>
      <c r="Z14" s="36"/>
      <c r="AA14" s="56"/>
      <c r="AB14" s="93"/>
    </row>
    <row r="15" spans="1:28" s="3" customFormat="1" ht="16.5" customHeight="1">
      <c r="A15" s="82" t="s">
        <v>71</v>
      </c>
      <c r="B15" s="16" t="s">
        <v>111</v>
      </c>
      <c r="C15" s="122"/>
      <c r="D15" s="71" t="s">
        <v>165</v>
      </c>
      <c r="E15" s="16">
        <v>3</v>
      </c>
      <c r="F15" s="104">
        <f t="shared" si="0" ref="F15:F53">E15*$B$10</f>
        <v>3000</v>
      </c>
      <c r="G15"/>
      <c r="H15" s="105" t="str">
        <f>IF(INDEX($M15:$AB15,$K15-3)&lt;&gt;0, INDEX($M15:$AB15,$K15-3), "")</f>
        <v>#N/A</v>
      </c>
      <c r="I15" s="106" t="str">
        <f>IF(INDEX($M15:$AB15,$K15-2)&lt;&gt;0, INDEX($M15:$AB15,$K15-2), "")</f>
        <v>#N/A</v>
      </c>
      <c r="J15" s="108" t="str">
        <f>IF(INDEX($M15:$AB15,$K15-1)&lt;&gt;0, INDEX($M15:$AB15,$K15-1), "")</f>
        <v>#N/A</v>
      </c>
      <c r="K15" s="106" t="str">
        <f>MATCH(MIN($P15,$T15,$X15,$AB15), $M15:$AB15,0)</f>
        <v>#N/A</v>
      </c>
      <c r="L15" s="107" t="str">
        <f>IF(MIN($P15,$T15,$X15,$AB15)&lt;&gt;0,MIN($P15,$T15,$X15,$AB15),"")</f>
        <v/>
      </c>
      <c r="M15" s="59"/>
      <c r="N15" s="16"/>
      <c r="O15" s="57"/>
      <c r="P15" s="57"/>
      <c r="Q15" s="61"/>
      <c r="R15" s="16"/>
      <c r="S15" s="57"/>
      <c r="T15" s="57"/>
      <c r="U15" s="61"/>
      <c r="V15" s="16"/>
      <c r="W15" s="57"/>
      <c r="X15" s="57"/>
      <c r="Y15" s="61"/>
      <c r="Z15" s="16"/>
      <c r="AA15" s="57"/>
      <c r="AB15" s="94"/>
    </row>
    <row r="16" spans="1:28" s="3" customFormat="1" ht="16.5" customHeight="1">
      <c r="A16" s="81" t="s">
        <v>72</v>
      </c>
      <c r="B16" s="36" t="s">
        <v>112</v>
      </c>
      <c r="C16" s="121" t="s">
        <v>134</v>
      </c>
      <c r="D16" s="70" t="s">
        <v>166</v>
      </c>
      <c r="E16" s="36">
        <v>12</v>
      </c>
      <c r="F16" s="103">
        <f>E16*$B$10</f>
        <v>12000</v>
      </c>
      <c r="G16"/>
      <c r="H16" s="109" t="str">
        <f>IF(INDEX($M16:$AB16,$K16-3)&lt;&gt;0, INDEX($M16:$AB16,$K16-3), "")</f>
        <v>Mouser</v>
      </c>
      <c r="I16" s="110" t="str">
        <f>IF(INDEX($M16:$AB16,$K16-2)&lt;&gt;0, INDEX($M16:$AB16,$K16-2), "")</f>
        <v>581-040216G104Z</v>
      </c>
      <c r="J16" s="111">
        <f>IF(INDEX($M16:$AB16,$K16-1)&lt;&gt;0, INDEX($M16:$AB16,$K16-1), "")</f>
        <v>0.004</v>
      </c>
      <c r="K16" s="110">
        <f>MATCH(MIN($P16,$T16,$X16,$AB16), $M16:$AB16,0)</f>
        <v>12</v>
      </c>
      <c r="L16" s="112">
        <f>IF(MIN($P16,$T16,$X16,$AB16)&lt;&gt;0,MIN($P16,$T16,$X16,$AB16),"")</f>
        <v>48</v>
      </c>
      <c r="M16" s="58" t="s">
        <v>205</v>
      </c>
      <c r="N16" s="36" t="s">
        <v>208</v>
      </c>
      <c r="O16" s="56">
        <v>0.00601</v>
      </c>
      <c r="P16" s="56">
        <v>72.12</v>
      </c>
      <c r="Q16" s="60" t="s">
        <v>206</v>
      </c>
      <c r="R16" s="36" t="s">
        <v>242</v>
      </c>
      <c r="S16" s="56">
        <v>0.00683</v>
      </c>
      <c r="T16" s="56">
        <v>81.96</v>
      </c>
      <c r="U16" s="60" t="s">
        <v>240</v>
      </c>
      <c r="V16" s="36" t="s">
        <v>265</v>
      </c>
      <c r="W16" s="56">
        <v>0.004</v>
      </c>
      <c r="X16" s="56">
        <v>48</v>
      </c>
      <c r="Y16" s="60" t="s">
        <v>264</v>
      </c>
      <c r="Z16" s="36" t="s">
        <v>283</v>
      </c>
      <c r="AA16" s="56"/>
      <c r="AB16" s="93"/>
    </row>
    <row r="17" spans="1:28" s="3" customFormat="1" ht="16.5" customHeight="1">
      <c r="A17" s="82" t="s">
        <v>73</v>
      </c>
      <c r="B17" s="16" t="s">
        <v>111</v>
      </c>
      <c r="C17" s="122"/>
      <c r="D17" s="71" t="s">
        <v>167</v>
      </c>
      <c r="E17" s="16">
        <v>1</v>
      </c>
      <c r="F17" s="104">
        <f>E17*$B$10</f>
        <v>1000</v>
      </c>
      <c r="G17"/>
      <c r="H17" s="105" t="str">
        <f>IF(INDEX($M17:$AB17,$K17-3)&lt;&gt;0, INDEX($M17:$AB17,$K17-3), "")</f>
        <v>#N/A</v>
      </c>
      <c r="I17" s="106" t="str">
        <f>IF(INDEX($M17:$AB17,$K17-2)&lt;&gt;0, INDEX($M17:$AB17,$K17-2), "")</f>
        <v>#N/A</v>
      </c>
      <c r="J17" s="108" t="str">
        <f>IF(INDEX($M17:$AB17,$K17-1)&lt;&gt;0, INDEX($M17:$AB17,$K17-1), "")</f>
        <v>#N/A</v>
      </c>
      <c r="K17" s="106" t="str">
        <f>MATCH(MIN($P17,$T17,$X17,$AB17), $M17:$AB17,0)</f>
        <v>#N/A</v>
      </c>
      <c r="L17" s="107" t="str">
        <f>IF(MIN($P17,$T17,$X17,$AB17)&lt;&gt;0,MIN($P17,$T17,$X17,$AB17),"")</f>
        <v/>
      </c>
      <c r="M17" s="59"/>
      <c r="N17" s="16"/>
      <c r="O17" s="57"/>
      <c r="P17" s="57"/>
      <c r="Q17" s="61"/>
      <c r="R17" s="16"/>
      <c r="S17" s="57"/>
      <c r="T17" s="57"/>
      <c r="U17" s="61"/>
      <c r="V17" s="16"/>
      <c r="W17" s="57"/>
      <c r="X17" s="57"/>
      <c r="Y17" s="61"/>
      <c r="Z17" s="16"/>
      <c r="AA17" s="57"/>
      <c r="AB17" s="94"/>
    </row>
    <row r="18" spans="1:28" s="3" customFormat="1" ht="16.5" customHeight="1">
      <c r="A18" s="81" t="s">
        <v>74</v>
      </c>
      <c r="B18" s="36" t="s">
        <v>113</v>
      </c>
      <c r="C18" s="121" t="s">
        <v>135</v>
      </c>
      <c r="D18" s="70" t="s">
        <v>168</v>
      </c>
      <c r="E18" s="36">
        <v>4</v>
      </c>
      <c r="F18" s="103">
        <f>E18*$B$10</f>
        <v>4000</v>
      </c>
      <c r="G18"/>
      <c r="H18" s="109" t="str">
        <f>IF(INDEX($M18:$AB18,$K18-3)&lt;&gt;0, INDEX($M18:$AB18,$K18-3), "")</f>
        <v>Mouser</v>
      </c>
      <c r="I18" s="110" t="str">
        <f>IF(INDEX($M18:$AB18,$K18-2)&lt;&gt;0, INDEX($M18:$AB18,$K18-2), "")</f>
        <v>833-MBRX120LF-TP</v>
      </c>
      <c r="J18" s="111">
        <f>IF(INDEX($M18:$AB18,$K18-1)&lt;&gt;0, INDEX($M18:$AB18,$K18-1), "")</f>
        <v>0.1</v>
      </c>
      <c r="K18" s="110">
        <f>MATCH(MIN($P18,$T18,$X18,$AB18), $M18:$AB18,0)</f>
        <v>12</v>
      </c>
      <c r="L18" s="112">
        <f>IF(MIN($P18,$T18,$X18,$AB18)&lt;&gt;0,MIN($P18,$T18,$X18,$AB18),"")</f>
        <v>400</v>
      </c>
      <c r="M18" s="58" t="s">
        <v>205</v>
      </c>
      <c r="N18" s="36" t="s">
        <v>209</v>
      </c>
      <c r="O18" s="56">
        <v>0.16829</v>
      </c>
      <c r="P18" s="56">
        <v>673.16</v>
      </c>
      <c r="Q18" s="60" t="s">
        <v>206</v>
      </c>
      <c r="R18" s="36" t="s">
        <v>243</v>
      </c>
      <c r="S18" s="56">
        <v>0.103</v>
      </c>
      <c r="T18" s="56">
        <v>412</v>
      </c>
      <c r="U18" s="60" t="s">
        <v>240</v>
      </c>
      <c r="V18" s="36" t="s">
        <v>266</v>
      </c>
      <c r="W18" s="56">
        <v>0.1</v>
      </c>
      <c r="X18" s="56">
        <v>400</v>
      </c>
      <c r="Y18" s="60"/>
      <c r="Z18" s="36"/>
      <c r="AA18" s="56"/>
      <c r="AB18" s="93"/>
    </row>
    <row r="19" spans="1:28" s="3" customFormat="1" ht="16.5" customHeight="1">
      <c r="A19" s="82" t="s">
        <v>75</v>
      </c>
      <c r="B19" s="16"/>
      <c r="C19" s="122"/>
      <c r="D19" s="71" t="s">
        <v>169</v>
      </c>
      <c r="E19" s="16">
        <v>2</v>
      </c>
      <c r="F19" s="104">
        <f>E19*$B$10</f>
        <v>2000</v>
      </c>
      <c r="G19"/>
      <c r="H19" s="105" t="str">
        <f>IF(INDEX($M19:$AB19,$K19-3)&lt;&gt;0, INDEX($M19:$AB19,$K19-3), "")</f>
        <v>Mouser</v>
      </c>
      <c r="I19" s="106" t="str">
        <f>IF(INDEX($M19:$AB19,$K19-2)&lt;&gt;0, INDEX($M19:$AB19,$K19-2), "")</f>
        <v>621-D5V0P1B2LP-7B</v>
      </c>
      <c r="J19" s="108">
        <f>IF(INDEX($M19:$AB19,$K19-1)&lt;&gt;0, INDEX($M19:$AB19,$K19-1), "")</f>
        <v>0.04551</v>
      </c>
      <c r="K19" s="106">
        <f>MATCH(MIN($P19,$T19,$X19,$AB19), $M19:$AB19,0)</f>
        <v>8</v>
      </c>
      <c r="L19" s="107">
        <f>IF(MIN($P19,$T19,$X19,$AB19)&lt;&gt;0,MIN($P19,$T19,$X19,$AB19),"")</f>
        <v>91.02</v>
      </c>
      <c r="M19" s="59" t="s">
        <v>205</v>
      </c>
      <c r="N19" s="16" t="s">
        <v>210</v>
      </c>
      <c r="O19" s="57">
        <v>0.049</v>
      </c>
      <c r="P19" s="57">
        <v>98</v>
      </c>
      <c r="Q19" s="61" t="s">
        <v>240</v>
      </c>
      <c r="R19" s="16" t="s">
        <v>244</v>
      </c>
      <c r="S19" s="57">
        <v>0.04551</v>
      </c>
      <c r="T19" s="57">
        <v>91.02</v>
      </c>
      <c r="U19" s="61"/>
      <c r="V19" s="16"/>
      <c r="W19" s="57"/>
      <c r="X19" s="57"/>
      <c r="Y19" s="61"/>
      <c r="Z19" s="16"/>
      <c r="AA19" s="57"/>
      <c r="AB19" s="94"/>
    </row>
    <row r="20" spans="1:28" s="3" customFormat="1" ht="16.5" customHeight="1">
      <c r="A20" s="81" t="s">
        <v>76</v>
      </c>
      <c r="B20" s="36" t="s">
        <v>114</v>
      </c>
      <c r="C20" s="121" t="s">
        <v>136</v>
      </c>
      <c r="D20" s="70" t="s">
        <v>170</v>
      </c>
      <c r="E20" s="36">
        <v>3</v>
      </c>
      <c r="F20" s="103">
        <f>E20*$B$10</f>
        <v>3000</v>
      </c>
      <c r="G20"/>
      <c r="H20" s="109" t="str">
        <f>IF(INDEX($M20:$AB20,$K20-3)&lt;&gt;0, INDEX($M20:$AB20,$K20-3), "")</f>
        <v>Digi-Key</v>
      </c>
      <c r="I20" s="110" t="str">
        <f>IF(INDEX($M20:$AB20,$K20-2)&lt;&gt;0, INDEX($M20:$AB20,$K20-2), "")</f>
        <v>511-1577-1-ND</v>
      </c>
      <c r="J20" s="111">
        <f>IF(INDEX($M20:$AB20,$K20-1)&lt;&gt;0, INDEX($M20:$AB20,$K20-1), "")</f>
        <v>0.0564</v>
      </c>
      <c r="K20" s="110">
        <f>MATCH(MIN($P20,$T20,$X20,$AB20), $M20:$AB20,0)</f>
        <v>4</v>
      </c>
      <c r="L20" s="112">
        <f>IF(MIN($P20,$T20,$X20,$AB20)&lt;&gt;0,MIN($P20,$T20,$X20,$AB20),"")</f>
        <v>169.2</v>
      </c>
      <c r="M20" s="58" t="s">
        <v>205</v>
      </c>
      <c r="N20" s="36" t="s">
        <v>211</v>
      </c>
      <c r="O20" s="56">
        <v>0.0564</v>
      </c>
      <c r="P20" s="56">
        <v>169.2</v>
      </c>
      <c r="Q20" s="60"/>
      <c r="R20" s="36"/>
      <c r="S20" s="56"/>
      <c r="T20" s="56"/>
      <c r="U20" s="60"/>
      <c r="V20" s="36"/>
      <c r="W20" s="56"/>
      <c r="X20" s="56"/>
      <c r="Y20" s="60"/>
      <c r="Z20" s="36"/>
      <c r="AA20" s="56"/>
      <c r="AB20" s="93"/>
    </row>
    <row r="21" spans="1:28" s="3" customFormat="1" ht="16.5" customHeight="1">
      <c r="A21" s="82" t="s">
        <v>77</v>
      </c>
      <c r="B21" s="16" t="s">
        <v>115</v>
      </c>
      <c r="C21" s="122" t="s">
        <v>137</v>
      </c>
      <c r="D21" s="71" t="s">
        <v>171</v>
      </c>
      <c r="E21" s="16">
        <v>2</v>
      </c>
      <c r="F21" s="104">
        <f>E21*$B$10</f>
        <v>2000</v>
      </c>
      <c r="G21"/>
      <c r="H21" s="105" t="str">
        <f>IF(INDEX($M21:$AB21,$K21-3)&lt;&gt;0, INDEX($M21:$AB21,$K21-3), "")</f>
        <v>Digi-Key</v>
      </c>
      <c r="I21" s="106" t="str">
        <f>IF(INDEX($M21:$AB21,$K21-2)&lt;&gt;0, INDEX($M21:$AB21,$K21-2), "")</f>
        <v>445-8694-1-ND</v>
      </c>
      <c r="J21" s="108">
        <f>IF(INDEX($M21:$AB21,$K21-1)&lt;&gt;0, INDEX($M21:$AB21,$K21-1), "")</f>
        <v>0.0247</v>
      </c>
      <c r="K21" s="106">
        <f>MATCH(MIN($P21,$T21,$X21,$AB21), $M21:$AB21,0)</f>
        <v>4</v>
      </c>
      <c r="L21" s="107">
        <f>IF(MIN($P21,$T21,$X21,$AB21)&lt;&gt;0,MIN($P21,$T21,$X21,$AB21),"")</f>
        <v>49.4</v>
      </c>
      <c r="M21" s="59" t="s">
        <v>205</v>
      </c>
      <c r="N21" s="16" t="s">
        <v>212</v>
      </c>
      <c r="O21" s="57">
        <v>0.0247</v>
      </c>
      <c r="P21" s="57">
        <v>49.4</v>
      </c>
      <c r="Q21" s="61" t="s">
        <v>240</v>
      </c>
      <c r="R21" s="16" t="s">
        <v>245</v>
      </c>
      <c r="S21" s="57">
        <v>0.025</v>
      </c>
      <c r="T21" s="57">
        <v>50</v>
      </c>
      <c r="U21" s="61"/>
      <c r="V21" s="16"/>
      <c r="W21" s="57"/>
      <c r="X21" s="57"/>
      <c r="Y21" s="61"/>
      <c r="Z21" s="16"/>
      <c r="AA21" s="57"/>
      <c r="AB21" s="94"/>
    </row>
    <row r="22" spans="1:28" s="3" customFormat="1" ht="16.5" customHeight="1">
      <c r="A22" s="81" t="s">
        <v>78</v>
      </c>
      <c r="B22" s="36" t="s">
        <v>116</v>
      </c>
      <c r="C22" s="121" t="s">
        <v>138</v>
      </c>
      <c r="D22" s="70" t="s">
        <v>172</v>
      </c>
      <c r="E22" s="36">
        <v>1</v>
      </c>
      <c r="F22" s="103">
        <f>E22*$B$10</f>
        <v>1000</v>
      </c>
      <c r="G22"/>
      <c r="H22" s="109" t="str">
        <f>IF(INDEX($M22:$AB22,$K22-3)&lt;&gt;0, INDEX($M22:$AB22,$K22-3), "")</f>
        <v>Mouser</v>
      </c>
      <c r="I22" s="110" t="str">
        <f>IF(INDEX($M22:$AB22,$K22-2)&lt;&gt;0, INDEX($M22:$AB22,$K22-2), "")</f>
        <v>798-ZX62D-B-5PA830</v>
      </c>
      <c r="J22" s="111">
        <f>IF(INDEX($M22:$AB22,$K22-1)&lt;&gt;0, INDEX($M22:$AB22,$K22-1), "")</f>
        <v>0.362</v>
      </c>
      <c r="K22" s="110">
        <f>MATCH(MIN($P22,$T22,$X22,$AB22), $M22:$AB22,0)</f>
        <v>12</v>
      </c>
      <c r="L22" s="112">
        <f>IF(MIN($P22,$T22,$X22,$AB22)&lt;&gt;0,MIN($P22,$T22,$X22,$AB22),"")</f>
        <v>362</v>
      </c>
      <c r="M22" s="58" t="s">
        <v>205</v>
      </c>
      <c r="N22" s="36" t="s">
        <v>213</v>
      </c>
      <c r="O22" s="56"/>
      <c r="P22" s="56"/>
      <c r="Q22" s="60" t="s">
        <v>206</v>
      </c>
      <c r="R22" s="36" t="s">
        <v>246</v>
      </c>
      <c r="S22" s="56">
        <v>0.38734</v>
      </c>
      <c r="T22" s="56">
        <v>387.34</v>
      </c>
      <c r="U22" s="60" t="s">
        <v>240</v>
      </c>
      <c r="V22" s="36" t="s">
        <v>267</v>
      </c>
      <c r="W22" s="56">
        <v>0.362</v>
      </c>
      <c r="X22" s="56">
        <v>362</v>
      </c>
      <c r="Y22" s="60" t="s">
        <v>264</v>
      </c>
      <c r="Z22" s="36" t="s">
        <v>284</v>
      </c>
      <c r="AA22" s="56">
        <v>0.363</v>
      </c>
      <c r="AB22" s="93">
        <v>363</v>
      </c>
    </row>
    <row r="23" spans="1:28" s="3" customFormat="1" ht="16.5" customHeight="1">
      <c r="A23" s="82" t="s">
        <v>79</v>
      </c>
      <c r="B23" s="16" t="s">
        <v>117</v>
      </c>
      <c r="C23" s="122" t="s">
        <v>139</v>
      </c>
      <c r="D23" s="71" t="s">
        <v>173</v>
      </c>
      <c r="E23" s="16">
        <v>1</v>
      </c>
      <c r="F23" s="104">
        <f>E23*$B$10</f>
        <v>1000</v>
      </c>
      <c r="G23"/>
      <c r="H23" s="105" t="str">
        <f>IF(INDEX($M23:$AB23,$K23-3)&lt;&gt;0, INDEX($M23:$AB23,$K23-3), "")</f>
        <v>Digi-Key</v>
      </c>
      <c r="I23" s="106" t="str">
        <f>IF(INDEX($M23:$AB23,$K23-2)&lt;&gt;0, INDEX($M23:$AB23,$K23-2), "")</f>
        <v>SAM10710-ND</v>
      </c>
      <c r="J23" s="108">
        <f>IF(INDEX($M23:$AB23,$K23-1)&lt;&gt;0, INDEX($M23:$AB23,$K23-1), "")</f>
        <v>1.65</v>
      </c>
      <c r="K23" s="106">
        <f>MATCH(MIN($P23,$T23,$X23,$AB23), $M23:$AB23,0)</f>
        <v>8</v>
      </c>
      <c r="L23" s="107">
        <f>IF(MIN($P23,$T23,$X23,$AB23)&lt;&gt;0,MIN($P23,$T23,$X23,$AB23),"")</f>
        <v>1650</v>
      </c>
      <c r="M23" s="59" t="s">
        <v>117</v>
      </c>
      <c r="N23" s="16" t="s">
        <v>139</v>
      </c>
      <c r="O23" s="57">
        <v>2.46</v>
      </c>
      <c r="P23" s="57">
        <v>2457.58</v>
      </c>
      <c r="Q23" s="61" t="s">
        <v>205</v>
      </c>
      <c r="R23" s="16" t="s">
        <v>247</v>
      </c>
      <c r="S23" s="57">
        <v>1.65</v>
      </c>
      <c r="T23" s="57">
        <v>1650</v>
      </c>
      <c r="U23" s="61" t="s">
        <v>206</v>
      </c>
      <c r="V23" s="16" t="s">
        <v>268</v>
      </c>
      <c r="W23" s="57">
        <v>1.83</v>
      </c>
      <c r="X23" s="57">
        <v>1833</v>
      </c>
      <c r="Y23" s="61" t="s">
        <v>240</v>
      </c>
      <c r="Z23" s="16" t="s">
        <v>285</v>
      </c>
      <c r="AA23" s="57">
        <v>1.68</v>
      </c>
      <c r="AB23" s="94">
        <v>1682</v>
      </c>
    </row>
    <row r="24" spans="1:28" s="3" customFormat="1" ht="16.5" customHeight="1">
      <c r="A24" s="81" t="s">
        <v>80</v>
      </c>
      <c r="B24" s="36" t="s">
        <v>118</v>
      </c>
      <c r="C24" s="121" t="s">
        <v>140</v>
      </c>
      <c r="D24" s="70" t="s">
        <v>174</v>
      </c>
      <c r="E24" s="36">
        <v>1</v>
      </c>
      <c r="F24" s="103">
        <f>E24*$B$10</f>
        <v>1000</v>
      </c>
      <c r="G24"/>
      <c r="H24" s="109" t="str">
        <f>IF(INDEX($M24:$AB24,$K24-3)&lt;&gt;0, INDEX($M24:$AB24,$K24-3), "")</f>
        <v>Digi-Key</v>
      </c>
      <c r="I24" s="110" t="str">
        <f>IF(INDEX($M24:$AB24,$K24-2)&lt;&gt;0, INDEX($M24:$AB24,$K24-2), "")</f>
        <v>CP-SJ2-3574A-SMT-CT-ND</v>
      </c>
      <c r="J24" s="111">
        <f>IF(INDEX($M24:$AB24,$K24-1)&lt;&gt;0, INDEX($M24:$AB24,$K24-1), "")</f>
        <v>0.577</v>
      </c>
      <c r="K24" s="110">
        <f>MATCH(MIN($P24,$T24,$X24,$AB24), $M24:$AB24,0)</f>
        <v>4</v>
      </c>
      <c r="L24" s="112">
        <f>IF(MIN($P24,$T24,$X24,$AB24)&lt;&gt;0,MIN($P24,$T24,$X24,$AB24),"")</f>
        <v>577</v>
      </c>
      <c r="M24" s="58" t="s">
        <v>205</v>
      </c>
      <c r="N24" s="36" t="s">
        <v>214</v>
      </c>
      <c r="O24" s="56">
        <v>0.577</v>
      </c>
      <c r="P24" s="56">
        <v>577</v>
      </c>
      <c r="Q24" s="60" t="s">
        <v>240</v>
      </c>
      <c r="R24" s="36" t="s">
        <v>248</v>
      </c>
      <c r="S24" s="56">
        <v>0.6498</v>
      </c>
      <c r="T24" s="56">
        <v>649.8</v>
      </c>
      <c r="U24" s="60"/>
      <c r="V24" s="36"/>
      <c r="W24" s="56"/>
      <c r="X24" s="56"/>
      <c r="Y24" s="60"/>
      <c r="Z24" s="36"/>
      <c r="AA24" s="56"/>
      <c r="AB24" s="93"/>
    </row>
    <row r="25" spans="1:28" s="3" customFormat="1" ht="16.5" customHeight="1">
      <c r="A25" s="82" t="s">
        <v>81</v>
      </c>
      <c r="B25" s="16" t="s">
        <v>119</v>
      </c>
      <c r="C25" s="122" t="s">
        <v>141</v>
      </c>
      <c r="D25" s="71" t="s">
        <v>175</v>
      </c>
      <c r="E25" s="16">
        <v>1</v>
      </c>
      <c r="F25" s="104">
        <f>E25*$B$10</f>
        <v>1000</v>
      </c>
      <c r="G25"/>
      <c r="H25" s="105" t="str">
        <f>IF(INDEX($M25:$AB25,$K25-3)&lt;&gt;0, INDEX($M25:$AB25,$K25-3), "")</f>
        <v>Farnell</v>
      </c>
      <c r="I25" s="106" t="str">
        <f>IF(INDEX($M25:$AB25,$K25-2)&lt;&gt;0, INDEX($M25:$AB25,$K25-2), "")</f>
        <v>2843533</v>
      </c>
      <c r="J25" s="108">
        <f>IF(INDEX($M25:$AB25,$K25-1)&lt;&gt;0, INDEX($M25:$AB25,$K25-1), "")</f>
        <v>0.20035</v>
      </c>
      <c r="K25" s="106">
        <f>MATCH(MIN($P25,$T25,$X25,$AB25), $M25:$AB25,0)</f>
        <v>4</v>
      </c>
      <c r="L25" s="107">
        <f>IF(MIN($P25,$T25,$X25,$AB25)&lt;&gt;0,MIN($P25,$T25,$X25,$AB25),"")</f>
        <v>200.35</v>
      </c>
      <c r="M25" s="59" t="s">
        <v>206</v>
      </c>
      <c r="N25" s="16" t="s">
        <v>215</v>
      </c>
      <c r="O25" s="57">
        <v>0.20035</v>
      </c>
      <c r="P25" s="57">
        <v>200.35</v>
      </c>
      <c r="Q25" s="61"/>
      <c r="R25" s="16"/>
      <c r="S25" s="57"/>
      <c r="T25" s="57"/>
      <c r="U25" s="61"/>
      <c r="V25" s="16"/>
      <c r="W25" s="57"/>
      <c r="X25" s="57"/>
      <c r="Y25" s="61"/>
      <c r="Z25" s="16"/>
      <c r="AA25" s="57"/>
      <c r="AB25" s="94"/>
    </row>
    <row r="26" spans="1:28" s="3" customFormat="1" ht="16.5" customHeight="1">
      <c r="A26" s="81" t="s">
        <v>82</v>
      </c>
      <c r="B26" s="36" t="s">
        <v>120</v>
      </c>
      <c r="C26" s="121" t="s">
        <v>142</v>
      </c>
      <c r="D26" s="70" t="s">
        <v>176</v>
      </c>
      <c r="E26" s="36">
        <v>1</v>
      </c>
      <c r="F26" s="103">
        <f>E26*$B$10</f>
        <v>1000</v>
      </c>
      <c r="G26"/>
      <c r="H26" s="109" t="str">
        <f>IF(INDEX($M26:$AB26,$K26-3)&lt;&gt;0, INDEX($M26:$AB26,$K26-3), "")</f>
        <v>Digi-Key</v>
      </c>
      <c r="I26" s="110" t="str">
        <f>IF(INDEX($M26:$AB26,$K26-2)&lt;&gt;0, INDEX($M26:$AB26,$K26-2), "")</f>
        <v>455-1749-1-ND</v>
      </c>
      <c r="J26" s="111">
        <f>IF(INDEX($M26:$AB26,$K26-1)&lt;&gt;0, INDEX($M26:$AB26,$K26-1), "")</f>
        <v>0.33154</v>
      </c>
      <c r="K26" s="110">
        <f>MATCH(MIN($P26,$T26,$X26,$AB26), $M26:$AB26,0)</f>
        <v>4</v>
      </c>
      <c r="L26" s="112">
        <f>IF(MIN($P26,$T26,$X26,$AB26)&lt;&gt;0,MIN($P26,$T26,$X26,$AB26),"")</f>
        <v>331.54</v>
      </c>
      <c r="M26" s="58" t="s">
        <v>205</v>
      </c>
      <c r="N26" s="36" t="s">
        <v>216</v>
      </c>
      <c r="O26" s="56">
        <v>0.33154</v>
      </c>
      <c r="P26" s="56">
        <v>331.54</v>
      </c>
      <c r="Q26" s="60" t="s">
        <v>206</v>
      </c>
      <c r="R26" s="36" t="s">
        <v>249</v>
      </c>
      <c r="S26" s="56">
        <v>0.35528</v>
      </c>
      <c r="T26" s="56">
        <v>355.28</v>
      </c>
      <c r="U26" s="60" t="s">
        <v>264</v>
      </c>
      <c r="V26" s="36" t="s">
        <v>269</v>
      </c>
      <c r="W26" s="56"/>
      <c r="X26" s="56"/>
      <c r="Y26" s="60"/>
      <c r="Z26" s="36"/>
      <c r="AA26" s="56"/>
      <c r="AB26" s="93"/>
    </row>
    <row r="27" spans="1:28" s="3" customFormat="1" ht="16.5" customHeight="1">
      <c r="A27" s="82" t="s">
        <v>83</v>
      </c>
      <c r="B27" s="16" t="s">
        <v>119</v>
      </c>
      <c r="C27" s="122" t="s">
        <v>143</v>
      </c>
      <c r="D27" s="71" t="s">
        <v>177</v>
      </c>
      <c r="E27" s="16">
        <v>2</v>
      </c>
      <c r="F27" s="104">
        <f>E27*$B$10</f>
        <v>2000</v>
      </c>
      <c r="G27"/>
      <c r="H27" s="105" t="str">
        <f>IF(INDEX($M27:$AB27,$K27-3)&lt;&gt;0, INDEX($M27:$AB27,$K27-3), "")</f>
        <v>Farnell</v>
      </c>
      <c r="I27" s="106" t="str">
        <f>IF(INDEX($M27:$AB27,$K27-2)&lt;&gt;0, INDEX($M27:$AB27,$K27-2), "")</f>
        <v>1698950</v>
      </c>
      <c r="J27" s="108">
        <f>IF(INDEX($M27:$AB27,$K27-1)&lt;&gt;0, INDEX($M27:$AB27,$K27-1), "")</f>
        <v>0.59837</v>
      </c>
      <c r="K27" s="106">
        <f>MATCH(MIN($P27,$T27,$X27,$AB27), $M27:$AB27,0)</f>
        <v>4</v>
      </c>
      <c r="L27" s="107">
        <f>IF(MIN($P27,$T27,$X27,$AB27)&lt;&gt;0,MIN($P27,$T27,$X27,$AB27),"")</f>
        <v>1196.73</v>
      </c>
      <c r="M27" s="59" t="s">
        <v>206</v>
      </c>
      <c r="N27" s="16" t="s">
        <v>217</v>
      </c>
      <c r="O27" s="57">
        <v>0.59837</v>
      </c>
      <c r="P27" s="57">
        <v>1196.73</v>
      </c>
      <c r="Q27" s="61"/>
      <c r="R27" s="16"/>
      <c r="S27" s="57"/>
      <c r="T27" s="57"/>
      <c r="U27" s="61"/>
      <c r="V27" s="16"/>
      <c r="W27" s="57"/>
      <c r="X27" s="57"/>
      <c r="Y27" s="61"/>
      <c r="Z27" s="16"/>
      <c r="AA27" s="57"/>
      <c r="AB27" s="94"/>
    </row>
    <row r="28" spans="1:28" s="3" customFormat="1" ht="16.5" customHeight="1">
      <c r="A28" s="81" t="s">
        <v>84</v>
      </c>
      <c r="B28" s="36" t="s">
        <v>121</v>
      </c>
      <c r="C28" s="121" t="s">
        <v>144</v>
      </c>
      <c r="D28" s="70" t="s">
        <v>178</v>
      </c>
      <c r="E28" s="36">
        <v>1</v>
      </c>
      <c r="F28" s="103">
        <f>E28*$B$10</f>
        <v>1000</v>
      </c>
      <c r="G28"/>
      <c r="H28" s="109" t="str">
        <f>IF(INDEX($M28:$AB28,$K28-3)&lt;&gt;0, INDEX($M28:$AB28,$K28-3), "")</f>
        <v>Farnell</v>
      </c>
      <c r="I28" s="110" t="str">
        <f>IF(INDEX($M28:$AB28,$K28-2)&lt;&gt;0, INDEX($M28:$AB28,$K28-2), "")</f>
        <v>1076663</v>
      </c>
      <c r="J28" s="111">
        <f>IF(INDEX($M28:$AB28,$K28-1)&lt;&gt;0, INDEX($M28:$AB28,$K28-1), "")</f>
        <v>0.625</v>
      </c>
      <c r="K28" s="110">
        <f>MATCH(MIN($P28,$T28,$X28,$AB28), $M28:$AB28,0)</f>
        <v>8</v>
      </c>
      <c r="L28" s="112">
        <f>IF(MIN($P28,$T28,$X28,$AB28)&lt;&gt;0,MIN($P28,$T28,$X28,$AB28),"")</f>
        <v>625</v>
      </c>
      <c r="M28" s="58" t="s">
        <v>205</v>
      </c>
      <c r="N28" s="36" t="s">
        <v>218</v>
      </c>
      <c r="O28" s="56">
        <v>0.66916</v>
      </c>
      <c r="P28" s="56">
        <v>669.16</v>
      </c>
      <c r="Q28" s="60" t="s">
        <v>206</v>
      </c>
      <c r="R28" s="36" t="s">
        <v>250</v>
      </c>
      <c r="S28" s="56">
        <v>0.625</v>
      </c>
      <c r="T28" s="56">
        <v>625</v>
      </c>
      <c r="U28" s="60" t="s">
        <v>240</v>
      </c>
      <c r="V28" s="36" t="s">
        <v>270</v>
      </c>
      <c r="W28" s="56">
        <v>0.637</v>
      </c>
      <c r="X28" s="56">
        <v>637</v>
      </c>
      <c r="Y28" s="60" t="s">
        <v>264</v>
      </c>
      <c r="Z28" s="36" t="s">
        <v>286</v>
      </c>
      <c r="AA28" s="56">
        <v>0.82926</v>
      </c>
      <c r="AB28" s="93">
        <v>829.26</v>
      </c>
    </row>
    <row r="29" spans="1:28" s="3" customFormat="1" ht="16.5" customHeight="1">
      <c r="A29" s="82" t="s">
        <v>85</v>
      </c>
      <c r="B29" s="16" t="s">
        <v>119</v>
      </c>
      <c r="C29" s="122" t="s">
        <v>145</v>
      </c>
      <c r="D29" s="71" t="s">
        <v>179</v>
      </c>
      <c r="E29" s="16">
        <v>1</v>
      </c>
      <c r="F29" s="104">
        <f>E29*$B$10</f>
        <v>1000</v>
      </c>
      <c r="G29"/>
      <c r="H29" s="105" t="str">
        <f>IF(INDEX($M29:$AB29,$K29-3)&lt;&gt;0, INDEX($M29:$AB29,$K29-3), "")</f>
        <v>Farnell</v>
      </c>
      <c r="I29" s="106" t="str">
        <f>IF(INDEX($M29:$AB29,$K29-2)&lt;&gt;0, INDEX($M29:$AB29,$K29-2), "")</f>
        <v>1698951</v>
      </c>
      <c r="J29" s="108">
        <f>IF(INDEX($M29:$AB29,$K29-1)&lt;&gt;0, INDEX($M29:$AB29,$K29-1), "")</f>
        <v>0.56765</v>
      </c>
      <c r="K29" s="106">
        <f>MATCH(MIN($P29,$T29,$X29,$AB29), $M29:$AB29,0)</f>
        <v>4</v>
      </c>
      <c r="L29" s="107">
        <f>IF(MIN($P29,$T29,$X29,$AB29)&lt;&gt;0,MIN($P29,$T29,$X29,$AB29),"")</f>
        <v>567.65</v>
      </c>
      <c r="M29" s="59" t="s">
        <v>206</v>
      </c>
      <c r="N29" s="16" t="s">
        <v>219</v>
      </c>
      <c r="O29" s="57">
        <v>0.56765</v>
      </c>
      <c r="P29" s="57">
        <v>567.65</v>
      </c>
      <c r="Q29" s="61"/>
      <c r="R29" s="16"/>
      <c r="S29" s="57"/>
      <c r="T29" s="57"/>
      <c r="U29" s="61"/>
      <c r="V29" s="16"/>
      <c r="W29" s="57"/>
      <c r="X29" s="57"/>
      <c r="Y29" s="61"/>
      <c r="Z29" s="16"/>
      <c r="AA29" s="57"/>
      <c r="AB29" s="94"/>
    </row>
    <row r="30" spans="1:28" s="3" customFormat="1" ht="16.5" customHeight="1">
      <c r="A30" s="81" t="s">
        <v>86</v>
      </c>
      <c r="B30" s="36" t="s">
        <v>117</v>
      </c>
      <c r="C30" s="121" t="s">
        <v>146</v>
      </c>
      <c r="D30" s="70" t="s">
        <v>180</v>
      </c>
      <c r="E30" s="36">
        <v>1</v>
      </c>
      <c r="F30" s="103">
        <f>E30*$B$10</f>
        <v>1000</v>
      </c>
      <c r="G30"/>
      <c r="H30" s="109" t="str">
        <f>IF(INDEX($M30:$AB30,$K30-3)&lt;&gt;0, INDEX($M30:$AB30,$K30-3), "")</f>
        <v>Farnell</v>
      </c>
      <c r="I30" s="110" t="str">
        <f>IF(INDEX($M30:$AB30,$K30-2)&lt;&gt;0, INDEX($M30:$AB30,$K30-2), "")</f>
        <v>1668397</v>
      </c>
      <c r="J30" s="111">
        <f>IF(INDEX($M30:$AB30,$K30-1)&lt;&gt;0, INDEX($M30:$AB30,$K30-1), "")</f>
        <v>3.1</v>
      </c>
      <c r="K30" s="110">
        <f>MATCH(MIN($P30,$T30,$X30,$AB30), $M30:$AB30,0)</f>
        <v>8</v>
      </c>
      <c r="L30" s="112">
        <f>IF(MIN($P30,$T30,$X30,$AB30)&lt;&gt;0,MIN($P30,$T30,$X30,$AB30),"")</f>
        <v>3100</v>
      </c>
      <c r="M30" s="58" t="s">
        <v>205</v>
      </c>
      <c r="N30" s="36" t="s">
        <v>220</v>
      </c>
      <c r="O30" s="56">
        <v>3.87</v>
      </c>
      <c r="P30" s="56">
        <v>3873.36</v>
      </c>
      <c r="Q30" s="60" t="s">
        <v>206</v>
      </c>
      <c r="R30" s="36" t="s">
        <v>251</v>
      </c>
      <c r="S30" s="56">
        <v>3.1</v>
      </c>
      <c r="T30" s="56">
        <v>3100</v>
      </c>
      <c r="U30" s="60" t="s">
        <v>240</v>
      </c>
      <c r="V30" s="36" t="s">
        <v>271</v>
      </c>
      <c r="W30" s="56"/>
      <c r="X30" s="56"/>
      <c r="Y30" s="60" t="s">
        <v>264</v>
      </c>
      <c r="Z30" s="36" t="s">
        <v>287</v>
      </c>
      <c r="AA30" s="56">
        <v>3.65</v>
      </c>
      <c r="AB30" s="93">
        <v>3647.52</v>
      </c>
    </row>
    <row r="31" spans="1:28" s="3" customFormat="1" ht="16.5" customHeight="1">
      <c r="A31" s="82" t="s">
        <v>87</v>
      </c>
      <c r="B31" s="16" t="s">
        <v>119</v>
      </c>
      <c r="C31" s="122" t="s">
        <v>147</v>
      </c>
      <c r="D31" s="71" t="s">
        <v>181</v>
      </c>
      <c r="E31" s="16">
        <v>1</v>
      </c>
      <c r="F31" s="104">
        <f>E31*$B$10</f>
        <v>1000</v>
      </c>
      <c r="G31"/>
      <c r="H31" s="105" t="str">
        <f>IF(INDEX($M31:$AB31,$K31-3)&lt;&gt;0, INDEX($M31:$AB31,$K31-3), "")</f>
        <v>Farnell</v>
      </c>
      <c r="I31" s="106" t="str">
        <f>IF(INDEX($M31:$AB31,$K31-2)&lt;&gt;0, INDEX($M31:$AB31,$K31-2), "")</f>
        <v>1593413</v>
      </c>
      <c r="J31" s="108">
        <f>IF(INDEX($M31:$AB31,$K31-1)&lt;&gt;0, INDEX($M31:$AB31,$K31-1), "")</f>
        <v>0.0211</v>
      </c>
      <c r="K31" s="106">
        <f>MATCH(MIN($P31,$T31,$X31,$AB31), $M31:$AB31,0)</f>
        <v>4</v>
      </c>
      <c r="L31" s="107">
        <f>IF(MIN($P31,$T31,$X31,$AB31)&lt;&gt;0,MIN($P31,$T31,$X31,$AB31),"")</f>
        <v>21.1</v>
      </c>
      <c r="M31" s="59" t="s">
        <v>206</v>
      </c>
      <c r="N31" s="16" t="s">
        <v>221</v>
      </c>
      <c r="O31" s="57">
        <v>0.0211</v>
      </c>
      <c r="P31" s="57">
        <v>21.1</v>
      </c>
      <c r="Q31" s="61"/>
      <c r="R31" s="16"/>
      <c r="S31" s="57"/>
      <c r="T31" s="57"/>
      <c r="U31" s="61"/>
      <c r="V31" s="16"/>
      <c r="W31" s="57"/>
      <c r="X31" s="57"/>
      <c r="Y31" s="61"/>
      <c r="Z31" s="16"/>
      <c r="AA31" s="57"/>
      <c r="AB31" s="94"/>
    </row>
    <row r="32" spans="1:28" s="3" customFormat="1" ht="16.5" customHeight="1">
      <c r="A32" s="81" t="s">
        <v>88</v>
      </c>
      <c r="B32" s="36" t="s">
        <v>119</v>
      </c>
      <c r="C32" s="121" t="s">
        <v>148</v>
      </c>
      <c r="D32" s="70" t="s">
        <v>182</v>
      </c>
      <c r="E32" s="36">
        <v>1</v>
      </c>
      <c r="F32" s="103">
        <f>E32*$B$10</f>
        <v>1000</v>
      </c>
      <c r="G32"/>
      <c r="H32" s="109" t="str">
        <f>IF(INDEX($M32:$AB32,$K32-3)&lt;&gt;0, INDEX($M32:$AB32,$K32-3), "")</f>
        <v>Farnell</v>
      </c>
      <c r="I32" s="110" t="str">
        <f>IF(INDEX($M32:$AB32,$K32-2)&lt;&gt;0, INDEX($M32:$AB32,$K32-2), "")</f>
        <v>1593411</v>
      </c>
      <c r="J32" s="111">
        <f>IF(INDEX($M32:$AB32,$K32-1)&lt;&gt;0, INDEX($M32:$AB32,$K32-1), "")</f>
        <v>0.01149</v>
      </c>
      <c r="K32" s="110">
        <f>MATCH(MIN($P32,$T32,$X32,$AB32), $M32:$AB32,0)</f>
        <v>4</v>
      </c>
      <c r="L32" s="112">
        <f>IF(MIN($P32,$T32,$X32,$AB32)&lt;&gt;0,MIN($P32,$T32,$X32,$AB32),"")</f>
        <v>11.49</v>
      </c>
      <c r="M32" s="58" t="s">
        <v>206</v>
      </c>
      <c r="N32" s="36" t="s">
        <v>222</v>
      </c>
      <c r="O32" s="56">
        <v>0.01149</v>
      </c>
      <c r="P32" s="56">
        <v>11.49</v>
      </c>
      <c r="Q32" s="60"/>
      <c r="R32" s="36"/>
      <c r="S32" s="56"/>
      <c r="T32" s="56"/>
      <c r="U32" s="60"/>
      <c r="V32" s="36"/>
      <c r="W32" s="56"/>
      <c r="X32" s="56"/>
      <c r="Y32" s="60"/>
      <c r="Z32" s="36"/>
      <c r="AA32" s="56"/>
      <c r="AB32" s="93"/>
    </row>
    <row r="33" spans="1:28" s="3" customFormat="1" ht="16.5" customHeight="1">
      <c r="A33" s="82" t="s">
        <v>89</v>
      </c>
      <c r="B33" s="16" t="s">
        <v>122</v>
      </c>
      <c r="C33" s="122" t="s">
        <v>149</v>
      </c>
      <c r="D33" s="71" t="s">
        <v>183</v>
      </c>
      <c r="E33" s="16">
        <v>2</v>
      </c>
      <c r="F33" s="104">
        <f>E33*$B$10</f>
        <v>2000</v>
      </c>
      <c r="G33"/>
      <c r="H33" s="105" t="str">
        <f>IF(INDEX($M33:$AB33,$K33-3)&lt;&gt;0, INDEX($M33:$AB33,$K33-3), "")</f>
        <v>Digi-Key</v>
      </c>
      <c r="I33" s="106" t="str">
        <f>IF(INDEX($M33:$AB33,$K33-2)&lt;&gt;0, INDEX($M33:$AB33,$K33-2), "")</f>
        <v>DMG2305UX-13DICT-ND</v>
      </c>
      <c r="J33" s="108">
        <f>IF(INDEX($M33:$AB33,$K33-1)&lt;&gt;0, INDEX($M33:$AB33,$K33-1), "")</f>
        <v>0.06371</v>
      </c>
      <c r="K33" s="106">
        <f>MATCH(MIN($P33,$T33,$X33,$AB33), $M33:$AB33,0)</f>
        <v>4</v>
      </c>
      <c r="L33" s="107">
        <f>IF(MIN($P33,$T33,$X33,$AB33)&lt;&gt;0,MIN($P33,$T33,$X33,$AB33),"")</f>
        <v>127.42</v>
      </c>
      <c r="M33" s="59" t="s">
        <v>205</v>
      </c>
      <c r="N33" s="16" t="s">
        <v>223</v>
      </c>
      <c r="O33" s="57">
        <v>0.06371</v>
      </c>
      <c r="P33" s="57">
        <v>127.42</v>
      </c>
      <c r="Q33" s="61" t="s">
        <v>206</v>
      </c>
      <c r="R33" s="16" t="s">
        <v>252</v>
      </c>
      <c r="S33" s="57">
        <v>0.072</v>
      </c>
      <c r="T33" s="57">
        <v>144</v>
      </c>
      <c r="U33" s="61" t="s">
        <v>240</v>
      </c>
      <c r="V33" s="16" t="s">
        <v>272</v>
      </c>
      <c r="W33" s="57">
        <v>0.092</v>
      </c>
      <c r="X33" s="57">
        <v>184</v>
      </c>
      <c r="Y33" s="61" t="s">
        <v>264</v>
      </c>
      <c r="Z33" s="16" t="s">
        <v>288</v>
      </c>
      <c r="AA33" s="57">
        <v>0.07166</v>
      </c>
      <c r="AB33" s="94">
        <v>143.32</v>
      </c>
    </row>
    <row r="34" spans="1:28" s="3" customFormat="1" ht="16.5" customHeight="1">
      <c r="A34" s="81" t="s">
        <v>90</v>
      </c>
      <c r="B34" s="36" t="s">
        <v>122</v>
      </c>
      <c r="C34" s="121" t="s">
        <v>150</v>
      </c>
      <c r="D34" s="70" t="s">
        <v>184</v>
      </c>
      <c r="E34" s="36">
        <v>6</v>
      </c>
      <c r="F34" s="103">
        <f>E34*$B$10</f>
        <v>6000</v>
      </c>
      <c r="G34"/>
      <c r="H34" s="109" t="str">
        <f>IF(INDEX($M34:$AB34,$K34-3)&lt;&gt;0, INDEX($M34:$AB34,$K34-3), "")</f>
        <v>Farnell</v>
      </c>
      <c r="I34" s="110" t="str">
        <f>IF(INDEX($M34:$AB34,$K34-2)&lt;&gt;0, INDEX($M34:$AB34,$K34-2), "")</f>
        <v>3127315</v>
      </c>
      <c r="J34" s="111">
        <f>IF(INDEX($M34:$AB34,$K34-1)&lt;&gt;0, INDEX($M34:$AB34,$K34-1), "")</f>
        <v>0.05489</v>
      </c>
      <c r="K34" s="110">
        <f>MATCH(MIN($P34,$T34,$X34,$AB34), $M34:$AB34,0)</f>
        <v>8</v>
      </c>
      <c r="L34" s="112">
        <f>IF(MIN($P34,$T34,$X34,$AB34)&lt;&gt;0,MIN($P34,$T34,$X34,$AB34),"")</f>
        <v>329.37</v>
      </c>
      <c r="M34" s="58" t="s">
        <v>205</v>
      </c>
      <c r="N34" s="36" t="s">
        <v>224</v>
      </c>
      <c r="O34" s="56">
        <v>0.071</v>
      </c>
      <c r="P34" s="56">
        <v>426</v>
      </c>
      <c r="Q34" s="60" t="s">
        <v>206</v>
      </c>
      <c r="R34" s="36" t="s">
        <v>253</v>
      </c>
      <c r="S34" s="56">
        <v>0.05489</v>
      </c>
      <c r="T34" s="56">
        <v>329.37</v>
      </c>
      <c r="U34" s="60" t="s">
        <v>240</v>
      </c>
      <c r="V34" s="36" t="s">
        <v>273</v>
      </c>
      <c r="W34" s="56">
        <v>0.07</v>
      </c>
      <c r="X34" s="56">
        <v>420</v>
      </c>
      <c r="Y34" s="60" t="s">
        <v>264</v>
      </c>
      <c r="Z34" s="36" t="s">
        <v>289</v>
      </c>
      <c r="AA34" s="56">
        <v>0.06923</v>
      </c>
      <c r="AB34" s="93">
        <v>415.38</v>
      </c>
    </row>
    <row r="35" spans="1:28" s="3" customFormat="1" ht="16.5" customHeight="1">
      <c r="A35" s="82" t="s">
        <v>91</v>
      </c>
      <c r="B35" s="16" t="s">
        <v>119</v>
      </c>
      <c r="C35" s="122" t="s">
        <v>151</v>
      </c>
      <c r="D35" s="71" t="s">
        <v>185</v>
      </c>
      <c r="E35" s="16">
        <v>10</v>
      </c>
      <c r="F35" s="104">
        <f>E35*$B$10</f>
        <v>10000</v>
      </c>
      <c r="G35"/>
      <c r="H35" s="105" t="str">
        <f>IF(INDEX($M35:$AB35,$K35-3)&lt;&gt;0, INDEX($M35:$AB35,$K35-3), "")</f>
        <v>Farnell</v>
      </c>
      <c r="I35" s="106" t="str">
        <f>IF(INDEX($M35:$AB35,$K35-2)&lt;&gt;0, INDEX($M35:$AB35,$K35-2), "")</f>
        <v>2447094</v>
      </c>
      <c r="J35" s="108">
        <f>IF(INDEX($M35:$AB35,$K35-1)&lt;&gt;0, INDEX($M35:$AB35,$K35-1), "")</f>
        <v>0.002</v>
      </c>
      <c r="K35" s="106">
        <f>MATCH(MIN($P35,$T35,$X35,$AB35), $M35:$AB35,0)</f>
        <v>4</v>
      </c>
      <c r="L35" s="107">
        <f>IF(MIN($P35,$T35,$X35,$AB35)&lt;&gt;0,MIN($P35,$T35,$X35,$AB35),"")</f>
        <v>20.03</v>
      </c>
      <c r="M35" s="59" t="s">
        <v>206</v>
      </c>
      <c r="N35" s="16" t="s">
        <v>225</v>
      </c>
      <c r="O35" s="57">
        <v>0.002</v>
      </c>
      <c r="P35" s="57">
        <v>20.03</v>
      </c>
      <c r="Q35" s="61"/>
      <c r="R35" s="16"/>
      <c r="S35" s="57"/>
      <c r="T35" s="57"/>
      <c r="U35" s="61"/>
      <c r="V35" s="16"/>
      <c r="W35" s="57"/>
      <c r="X35" s="57"/>
      <c r="Y35" s="61"/>
      <c r="Z35" s="16"/>
      <c r="AA35" s="57"/>
      <c r="AB35" s="94"/>
    </row>
    <row r="36" spans="1:28" s="3" customFormat="1" ht="16.5" customHeight="1">
      <c r="A36" s="81" t="s">
        <v>92</v>
      </c>
      <c r="B36" s="36" t="s">
        <v>123</v>
      </c>
      <c r="C36" s="121" t="s">
        <v>152</v>
      </c>
      <c r="D36" s="70" t="s">
        <v>186</v>
      </c>
      <c r="E36" s="36">
        <v>3</v>
      </c>
      <c r="F36" s="103">
        <f>E36*$B$10</f>
        <v>3000</v>
      </c>
      <c r="G36"/>
      <c r="H36" s="109" t="str">
        <f>IF(INDEX($M36:$AB36,$K36-3)&lt;&gt;0, INDEX($M36:$AB36,$K36-3), "")</f>
        <v>Mouser</v>
      </c>
      <c r="I36" s="110" t="str">
        <f>IF(INDEX($M36:$AB36,$K36-2)&lt;&gt;0, INDEX($M36:$AB36,$K36-2), "")</f>
        <v>588-KDV12FR050ET</v>
      </c>
      <c r="J36" s="111">
        <f>IF(INDEX($M36:$AB36,$K36-1)&lt;&gt;0, INDEX($M36:$AB36,$K36-1), "")</f>
        <v>0.041</v>
      </c>
      <c r="K36" s="110">
        <f>MATCH(MIN($P36,$T36,$X36,$AB36), $M36:$AB36,0)</f>
        <v>12</v>
      </c>
      <c r="L36" s="112">
        <f>IF(MIN($P36,$T36,$X36,$AB36)&lt;&gt;0,MIN($P36,$T36,$X36,$AB36),"")</f>
        <v>123</v>
      </c>
      <c r="M36" s="58" t="s">
        <v>205</v>
      </c>
      <c r="N36" s="36" t="s">
        <v>226</v>
      </c>
      <c r="O36" s="56">
        <v>0.045</v>
      </c>
      <c r="P36" s="56">
        <v>135</v>
      </c>
      <c r="Q36" s="60" t="s">
        <v>206</v>
      </c>
      <c r="R36" s="36" t="s">
        <v>254</v>
      </c>
      <c r="S36" s="56">
        <v>0.05116</v>
      </c>
      <c r="T36" s="56">
        <v>153.47</v>
      </c>
      <c r="U36" s="60" t="s">
        <v>240</v>
      </c>
      <c r="V36" s="36" t="s">
        <v>274</v>
      </c>
      <c r="W36" s="56">
        <v>0.041</v>
      </c>
      <c r="X36" s="56">
        <v>123</v>
      </c>
      <c r="Y36" s="60"/>
      <c r="Z36" s="36"/>
      <c r="AA36" s="56"/>
      <c r="AB36" s="93"/>
    </row>
    <row r="37" spans="1:28" s="3" customFormat="1" ht="16.5" customHeight="1">
      <c r="A37" s="82" t="s">
        <v>93</v>
      </c>
      <c r="B37" s="16" t="s">
        <v>111</v>
      </c>
      <c r="C37" s="122"/>
      <c r="D37" s="71" t="s">
        <v>187</v>
      </c>
      <c r="E37" s="16">
        <v>1</v>
      </c>
      <c r="F37" s="104">
        <f>E37*$B$10</f>
        <v>1000</v>
      </c>
      <c r="G37"/>
      <c r="H37" s="105" t="str">
        <f>IF(INDEX($M37:$AB37,$K37-3)&lt;&gt;0, INDEX($M37:$AB37,$K37-3), "")</f>
        <v>#N/A</v>
      </c>
      <c r="I37" s="106" t="str">
        <f>IF(INDEX($M37:$AB37,$K37-2)&lt;&gt;0, INDEX($M37:$AB37,$K37-2), "")</f>
        <v>#N/A</v>
      </c>
      <c r="J37" s="108" t="str">
        <f>IF(INDEX($M37:$AB37,$K37-1)&lt;&gt;0, INDEX($M37:$AB37,$K37-1), "")</f>
        <v>#N/A</v>
      </c>
      <c r="K37" s="106" t="str">
        <f>MATCH(MIN($P37,$T37,$X37,$AB37), $M37:$AB37,0)</f>
        <v>#N/A</v>
      </c>
      <c r="L37" s="107" t="str">
        <f>IF(MIN($P37,$T37,$X37,$AB37)&lt;&gt;0,MIN($P37,$T37,$X37,$AB37),"")</f>
        <v/>
      </c>
      <c r="M37" s="59"/>
      <c r="N37" s="16"/>
      <c r="O37" s="57"/>
      <c r="P37" s="57"/>
      <c r="Q37" s="61"/>
      <c r="R37" s="16"/>
      <c r="S37" s="57"/>
      <c r="T37" s="57"/>
      <c r="U37" s="61"/>
      <c r="V37" s="16"/>
      <c r="W37" s="57"/>
      <c r="X37" s="57"/>
      <c r="Y37" s="61"/>
      <c r="Z37" s="16"/>
      <c r="AA37" s="57"/>
      <c r="AB37" s="94"/>
    </row>
    <row r="38" spans="1:28" s="3" customFormat="1" ht="16.5" customHeight="1">
      <c r="A38" s="81" t="s">
        <v>94</v>
      </c>
      <c r="B38" s="36" t="s">
        <v>111</v>
      </c>
      <c r="C38" s="121"/>
      <c r="D38" s="70" t="s">
        <v>188</v>
      </c>
      <c r="E38" s="36">
        <v>1</v>
      </c>
      <c r="F38" s="103">
        <f>E38*$B$10</f>
        <v>1000</v>
      </c>
      <c r="G38"/>
      <c r="H38" s="109" t="str">
        <f>IF(INDEX($M38:$AB38,$K38-3)&lt;&gt;0, INDEX($M38:$AB38,$K38-3), "")</f>
        <v>#N/A</v>
      </c>
      <c r="I38" s="110" t="str">
        <f>IF(INDEX($M38:$AB38,$K38-2)&lt;&gt;0, INDEX($M38:$AB38,$K38-2), "")</f>
        <v>#N/A</v>
      </c>
      <c r="J38" s="111" t="str">
        <f>IF(INDEX($M38:$AB38,$K38-1)&lt;&gt;0, INDEX($M38:$AB38,$K38-1), "")</f>
        <v>#N/A</v>
      </c>
      <c r="K38" s="110" t="str">
        <f>MATCH(MIN($P38,$T38,$X38,$AB38), $M38:$AB38,0)</f>
        <v>#N/A</v>
      </c>
      <c r="L38" s="112" t="str">
        <f>IF(MIN($P38,$T38,$X38,$AB38)&lt;&gt;0,MIN($P38,$T38,$X38,$AB38),"")</f>
        <v/>
      </c>
      <c r="M38" s="58"/>
      <c r="N38" s="36"/>
      <c r="O38" s="56"/>
      <c r="P38" s="56"/>
      <c r="Q38" s="60"/>
      <c r="R38" s="36"/>
      <c r="S38" s="56"/>
      <c r="T38" s="56"/>
      <c r="U38" s="60"/>
      <c r="V38" s="36"/>
      <c r="W38" s="56"/>
      <c r="X38" s="56"/>
      <c r="Y38" s="60"/>
      <c r="Z38" s="36"/>
      <c r="AA38" s="56"/>
      <c r="AB38" s="93"/>
    </row>
    <row r="39" spans="1:28" s="3" customFormat="1" ht="16.5" customHeight="1">
      <c r="A39" s="82" t="s">
        <v>95</v>
      </c>
      <c r="B39" s="16" t="s">
        <v>111</v>
      </c>
      <c r="C39" s="122"/>
      <c r="D39" s="71" t="s">
        <v>189</v>
      </c>
      <c r="E39" s="16">
        <v>3</v>
      </c>
      <c r="F39" s="104">
        <f>E39*$B$10</f>
        <v>3000</v>
      </c>
      <c r="G39"/>
      <c r="H39" s="105" t="str">
        <f>IF(INDEX($M39:$AB39,$K39-3)&lt;&gt;0, INDEX($M39:$AB39,$K39-3), "")</f>
        <v>#N/A</v>
      </c>
      <c r="I39" s="106" t="str">
        <f>IF(INDEX($M39:$AB39,$K39-2)&lt;&gt;0, INDEX($M39:$AB39,$K39-2), "")</f>
        <v>#N/A</v>
      </c>
      <c r="J39" s="108" t="str">
        <f>IF(INDEX($M39:$AB39,$K39-1)&lt;&gt;0, INDEX($M39:$AB39,$K39-1), "")</f>
        <v>#N/A</v>
      </c>
      <c r="K39" s="106" t="str">
        <f>MATCH(MIN($P39,$T39,$X39,$AB39), $M39:$AB39,0)</f>
        <v>#N/A</v>
      </c>
      <c r="L39" s="107" t="str">
        <f>IF(MIN($P39,$T39,$X39,$AB39)&lt;&gt;0,MIN($P39,$T39,$X39,$AB39),"")</f>
        <v/>
      </c>
      <c r="M39" s="59"/>
      <c r="N39" s="16"/>
      <c r="O39" s="57"/>
      <c r="P39" s="57"/>
      <c r="Q39" s="61"/>
      <c r="R39" s="16"/>
      <c r="S39" s="57"/>
      <c r="T39" s="57"/>
      <c r="U39" s="61"/>
      <c r="V39" s="16"/>
      <c r="W39" s="57"/>
      <c r="X39" s="57"/>
      <c r="Y39" s="61"/>
      <c r="Z39" s="16"/>
      <c r="AA39" s="57"/>
      <c r="AB39" s="94"/>
    </row>
    <row r="40" spans="1:28" s="3" customFormat="1" ht="16.5" customHeight="1">
      <c r="A40" s="81" t="s">
        <v>96</v>
      </c>
      <c r="B40" s="36" t="s">
        <v>111</v>
      </c>
      <c r="C40" s="121"/>
      <c r="D40" s="70" t="s">
        <v>190</v>
      </c>
      <c r="E40" s="36">
        <v>4</v>
      </c>
      <c r="F40" s="103">
        <f>E40*$B$10</f>
        <v>4000</v>
      </c>
      <c r="G40"/>
      <c r="H40" s="109" t="str">
        <f>IF(INDEX($M40:$AB40,$K40-3)&lt;&gt;0, INDEX($M40:$AB40,$K40-3), "")</f>
        <v>#N/A</v>
      </c>
      <c r="I40" s="110" t="str">
        <f>IF(INDEX($M40:$AB40,$K40-2)&lt;&gt;0, INDEX($M40:$AB40,$K40-2), "")</f>
        <v>#N/A</v>
      </c>
      <c r="J40" s="111" t="str">
        <f>IF(INDEX($M40:$AB40,$K40-1)&lt;&gt;0, INDEX($M40:$AB40,$K40-1), "")</f>
        <v>#N/A</v>
      </c>
      <c r="K40" s="110" t="str">
        <f>MATCH(MIN($P40,$T40,$X40,$AB40), $M40:$AB40,0)</f>
        <v>#N/A</v>
      </c>
      <c r="L40" s="112" t="str">
        <f>IF(MIN($P40,$T40,$X40,$AB40)&lt;&gt;0,MIN($P40,$T40,$X40,$AB40),"")</f>
        <v/>
      </c>
      <c r="M40" s="58"/>
      <c r="N40" s="36"/>
      <c r="O40" s="56"/>
      <c r="P40" s="56"/>
      <c r="Q40" s="60"/>
      <c r="R40" s="36"/>
      <c r="S40" s="56"/>
      <c r="T40" s="56"/>
      <c r="U40" s="60"/>
      <c r="V40" s="36"/>
      <c r="W40" s="56"/>
      <c r="X40" s="56"/>
      <c r="Y40" s="60"/>
      <c r="Z40" s="36"/>
      <c r="AA40" s="56"/>
      <c r="AB40" s="93"/>
    </row>
    <row r="41" spans="1:28" s="3" customFormat="1" ht="16.5" customHeight="1">
      <c r="A41" s="82" t="s">
        <v>97</v>
      </c>
      <c r="B41" s="16" t="s">
        <v>111</v>
      </c>
      <c r="C41" s="122"/>
      <c r="D41" s="71" t="s">
        <v>191</v>
      </c>
      <c r="E41" s="16">
        <v>1</v>
      </c>
      <c r="F41" s="104">
        <f>E41*$B$10</f>
        <v>1000</v>
      </c>
      <c r="G41"/>
      <c r="H41" s="105" t="str">
        <f>IF(INDEX($M41:$AB41,$K41-3)&lt;&gt;0, INDEX($M41:$AB41,$K41-3), "")</f>
        <v>#N/A</v>
      </c>
      <c r="I41" s="106" t="str">
        <f>IF(INDEX($M41:$AB41,$K41-2)&lt;&gt;0, INDEX($M41:$AB41,$K41-2), "")</f>
        <v>#N/A</v>
      </c>
      <c r="J41" s="108" t="str">
        <f>IF(INDEX($M41:$AB41,$K41-1)&lt;&gt;0, INDEX($M41:$AB41,$K41-1), "")</f>
        <v>#N/A</v>
      </c>
      <c r="K41" s="106" t="str">
        <f>MATCH(MIN($P41,$T41,$X41,$AB41), $M41:$AB41,0)</f>
        <v>#N/A</v>
      </c>
      <c r="L41" s="107" t="str">
        <f>IF(MIN($P41,$T41,$X41,$AB41)&lt;&gt;0,MIN($P41,$T41,$X41,$AB41),"")</f>
        <v/>
      </c>
      <c r="M41" s="59"/>
      <c r="N41" s="16"/>
      <c r="O41" s="57"/>
      <c r="P41" s="57"/>
      <c r="Q41" s="61"/>
      <c r="R41" s="16"/>
      <c r="S41" s="57"/>
      <c r="T41" s="57"/>
      <c r="U41" s="61"/>
      <c r="V41" s="16"/>
      <c r="W41" s="57"/>
      <c r="X41" s="57"/>
      <c r="Y41" s="61"/>
      <c r="Z41" s="16"/>
      <c r="AA41" s="57"/>
      <c r="AB41" s="94"/>
    </row>
    <row r="42" spans="1:28" s="3" customFormat="1" ht="16.5" customHeight="1">
      <c r="A42" s="81" t="s">
        <v>98</v>
      </c>
      <c r="B42" s="36" t="s">
        <v>124</v>
      </c>
      <c r="C42" s="121" t="s">
        <v>153</v>
      </c>
      <c r="D42" s="70" t="s">
        <v>192</v>
      </c>
      <c r="E42" s="36">
        <v>10</v>
      </c>
      <c r="F42" s="103">
        <f>E42*$B$10</f>
        <v>10000</v>
      </c>
      <c r="G42"/>
      <c r="H42" s="109" t="str">
        <f>IF(INDEX($M42:$AB42,$K42-3)&lt;&gt;0, INDEX($M42:$AB42,$K42-3), "")</f>
        <v>Farnell</v>
      </c>
      <c r="I42" s="110" t="str">
        <f>IF(INDEX($M42:$AB42,$K42-2)&lt;&gt;0, INDEX($M42:$AB42,$K42-2), "")</f>
        <v>1894401</v>
      </c>
      <c r="J42" s="111">
        <f>IF(INDEX($M42:$AB42,$K42-1)&lt;&gt;0, INDEX($M42:$AB42,$K42-1), "")</f>
        <v>0.014</v>
      </c>
      <c r="K42" s="110">
        <f>MATCH(MIN($P42,$T42,$X42,$AB42), $M42:$AB42,0)</f>
        <v>8</v>
      </c>
      <c r="L42" s="112">
        <f>IF(MIN($P42,$T42,$X42,$AB42)&lt;&gt;0,MIN($P42,$T42,$X42,$AB42),"")</f>
        <v>140</v>
      </c>
      <c r="M42" s="58" t="s">
        <v>205</v>
      </c>
      <c r="N42" s="36" t="s">
        <v>227</v>
      </c>
      <c r="O42" s="56">
        <v>0.01656</v>
      </c>
      <c r="P42" s="56">
        <v>165.62</v>
      </c>
      <c r="Q42" s="60" t="s">
        <v>206</v>
      </c>
      <c r="R42" s="36" t="s">
        <v>255</v>
      </c>
      <c r="S42" s="56">
        <v>0.014</v>
      </c>
      <c r="T42" s="56">
        <v>140</v>
      </c>
      <c r="U42" s="60" t="s">
        <v>240</v>
      </c>
      <c r="V42" s="36" t="s">
        <v>275</v>
      </c>
      <c r="W42" s="56"/>
      <c r="X42" s="56"/>
      <c r="Y42" s="60" t="s">
        <v>264</v>
      </c>
      <c r="Z42" s="36" t="s">
        <v>290</v>
      </c>
      <c r="AA42" s="56">
        <v>0.0156</v>
      </c>
      <c r="AB42" s="93">
        <v>156</v>
      </c>
    </row>
    <row r="43" spans="1:28" s="3" customFormat="1" ht="16.5" customHeight="1">
      <c r="A43" s="82" t="s">
        <v>99</v>
      </c>
      <c r="B43" s="16" t="s">
        <v>111</v>
      </c>
      <c r="C43" s="122"/>
      <c r="D43" s="71" t="s">
        <v>193</v>
      </c>
      <c r="E43" s="16">
        <v>2</v>
      </c>
      <c r="F43" s="104">
        <f>E43*$B$10</f>
        <v>2000</v>
      </c>
      <c r="G43"/>
      <c r="H43" s="105" t="str">
        <f>IF(INDEX($M43:$AB43,$K43-3)&lt;&gt;0, INDEX($M43:$AB43,$K43-3), "")</f>
        <v>#N/A</v>
      </c>
      <c r="I43" s="106" t="str">
        <f>IF(INDEX($M43:$AB43,$K43-2)&lt;&gt;0, INDEX($M43:$AB43,$K43-2), "")</f>
        <v>#N/A</v>
      </c>
      <c r="J43" s="108" t="str">
        <f>IF(INDEX($M43:$AB43,$K43-1)&lt;&gt;0, INDEX($M43:$AB43,$K43-1), "")</f>
        <v>#N/A</v>
      </c>
      <c r="K43" s="106" t="str">
        <f>MATCH(MIN($P43,$T43,$X43,$AB43), $M43:$AB43,0)</f>
        <v>#N/A</v>
      </c>
      <c r="L43" s="107" t="str">
        <f>IF(MIN($P43,$T43,$X43,$AB43)&lt;&gt;0,MIN($P43,$T43,$X43,$AB43),"")</f>
        <v/>
      </c>
      <c r="M43" s="59"/>
      <c r="N43" s="16"/>
      <c r="O43" s="57"/>
      <c r="P43" s="57"/>
      <c r="Q43" s="61"/>
      <c r="R43" s="16"/>
      <c r="S43" s="57"/>
      <c r="T43" s="57"/>
      <c r="U43" s="61"/>
      <c r="V43" s="16"/>
      <c r="W43" s="57"/>
      <c r="X43" s="57"/>
      <c r="Y43" s="61"/>
      <c r="Z43" s="16"/>
      <c r="AA43" s="57"/>
      <c r="AB43" s="94"/>
    </row>
    <row r="44" spans="1:28" s="3" customFormat="1" ht="16.5" customHeight="1">
      <c r="A44" s="81" t="s">
        <v>100</v>
      </c>
      <c r="B44" s="36" t="s">
        <v>123</v>
      </c>
      <c r="C44" s="121" t="s">
        <v>154</v>
      </c>
      <c r="D44" s="70" t="s">
        <v>194</v>
      </c>
      <c r="E44" s="36">
        <v>1</v>
      </c>
      <c r="F44" s="103">
        <f>E44*$B$10</f>
        <v>1000</v>
      </c>
      <c r="G44"/>
      <c r="H44" s="109" t="str">
        <f>IF(INDEX($M44:$AB44,$K44-3)&lt;&gt;0, INDEX($M44:$AB44,$K44-3), "")</f>
        <v>Digi-Key</v>
      </c>
      <c r="I44" s="110" t="str">
        <f>IF(INDEX($M44:$AB44,$K44-2)&lt;&gt;0, INDEX($M44:$AB44,$K44-2), "")</f>
        <v>AS08J1000ET-ND</v>
      </c>
      <c r="J44" s="111">
        <f>IF(INDEX($M44:$AB44,$K44-1)&lt;&gt;0, INDEX($M44:$AB44,$K44-1), "")</f>
        <v>0.021</v>
      </c>
      <c r="K44" s="110">
        <f>MATCH(MIN($P44,$T44,$X44,$AB44), $M44:$AB44,0)</f>
        <v>4</v>
      </c>
      <c r="L44" s="112">
        <f>IF(MIN($P44,$T44,$X44,$AB44)&lt;&gt;0,MIN($P44,$T44,$X44,$AB44),"")</f>
        <v>21</v>
      </c>
      <c r="M44" s="58" t="s">
        <v>205</v>
      </c>
      <c r="N44" s="36" t="s">
        <v>228</v>
      </c>
      <c r="O44" s="56">
        <v>0.021</v>
      </c>
      <c r="P44" s="56">
        <v>21</v>
      </c>
      <c r="Q44" s="60" t="s">
        <v>240</v>
      </c>
      <c r="R44" s="36" t="s">
        <v>256</v>
      </c>
      <c r="S44" s="56"/>
      <c r="T44" s="56"/>
      <c r="U44" s="60"/>
      <c r="V44" s="36"/>
      <c r="W44" s="56"/>
      <c r="X44" s="56"/>
      <c r="Y44" s="60"/>
      <c r="Z44" s="36"/>
      <c r="AA44" s="56"/>
      <c r="AB44" s="93"/>
    </row>
    <row r="45" spans="1:28" s="3" customFormat="1" ht="16.5" customHeight="1">
      <c r="A45" s="82" t="s">
        <v>101</v>
      </c>
      <c r="B45" s="16" t="s">
        <v>125</v>
      </c>
      <c r="C45" s="122" t="s">
        <v>155</v>
      </c>
      <c r="D45" s="71" t="s">
        <v>195</v>
      </c>
      <c r="E45" s="16">
        <v>7</v>
      </c>
      <c r="F45" s="104">
        <f>E45*$B$10</f>
        <v>7000</v>
      </c>
      <c r="G45"/>
      <c r="H45" s="105" t="str">
        <f>IF(INDEX($M45:$AB45,$K45-3)&lt;&gt;0, INDEX($M45:$AB45,$K45-3), "")</f>
        <v>Farnell</v>
      </c>
      <c r="I45" s="106" t="str">
        <f>IF(INDEX($M45:$AB45,$K45-2)&lt;&gt;0, INDEX($M45:$AB45,$K45-2), "")</f>
        <v>2065110</v>
      </c>
      <c r="J45" s="108">
        <f>IF(INDEX($M45:$AB45,$K45-1)&lt;&gt;0, INDEX($M45:$AB45,$K45-1), "")</f>
        <v>0.38232</v>
      </c>
      <c r="K45" s="106">
        <f>MATCH(MIN($P45,$T45,$X45,$AB45), $M45:$AB45,0)</f>
        <v>8</v>
      </c>
      <c r="L45" s="107">
        <f>IF(MIN($P45,$T45,$X45,$AB45)&lt;&gt;0,MIN($P45,$T45,$X45,$AB45),"")</f>
        <v>2676.24</v>
      </c>
      <c r="M45" s="59" t="s">
        <v>205</v>
      </c>
      <c r="N45" s="16" t="s">
        <v>229</v>
      </c>
      <c r="O45" s="57">
        <v>0.4648</v>
      </c>
      <c r="P45" s="57">
        <v>3253.62</v>
      </c>
      <c r="Q45" s="61" t="s">
        <v>206</v>
      </c>
      <c r="R45" s="16" t="s">
        <v>257</v>
      </c>
      <c r="S45" s="57">
        <v>0.38232</v>
      </c>
      <c r="T45" s="57">
        <v>2676.24</v>
      </c>
      <c r="U45" s="61" t="s">
        <v>264</v>
      </c>
      <c r="V45" s="16" t="s">
        <v>276</v>
      </c>
      <c r="W45" s="57"/>
      <c r="X45" s="57"/>
      <c r="Y45" s="61"/>
      <c r="Z45" s="16"/>
      <c r="AA45" s="57"/>
      <c r="AB45" s="94"/>
    </row>
    <row r="46" spans="1:28" s="3" customFormat="1" ht="16.5" customHeight="1">
      <c r="A46" s="81" t="s">
        <v>102</v>
      </c>
      <c r="B46" s="36" t="s">
        <v>126</v>
      </c>
      <c r="C46" s="121" t="s">
        <v>156</v>
      </c>
      <c r="D46" s="70" t="s">
        <v>196</v>
      </c>
      <c r="E46" s="36">
        <v>1</v>
      </c>
      <c r="F46" s="103">
        <f>E46*$B$10</f>
        <v>1000</v>
      </c>
      <c r="G46"/>
      <c r="H46" s="109" t="str">
        <f>IF(INDEX($M46:$AB46,$K46-3)&lt;&gt;0, INDEX($M46:$AB46,$K46-3), "")</f>
        <v>RSComponents</v>
      </c>
      <c r="I46" s="110" t="str">
        <f>IF(INDEX($M46:$AB46,$K46-2)&lt;&gt;0, INDEX($M46:$AB46,$K46-2), "")</f>
        <v>1106616</v>
      </c>
      <c r="J46" s="111">
        <f>IF(INDEX($M46:$AB46,$K46-1)&lt;&gt;0, INDEX($M46:$AB46,$K46-1), "")</f>
        <v>3.56</v>
      </c>
      <c r="K46" s="110">
        <f>MATCH(MIN($P46,$T46,$X46,$AB46), $M46:$AB46,0)</f>
        <v>16</v>
      </c>
      <c r="L46" s="112">
        <f>IF(MIN($P46,$T46,$X46,$AB46)&lt;&gt;0,MIN($P46,$T46,$X46,$AB46),"")</f>
        <v>3560</v>
      </c>
      <c r="M46" s="58" t="s">
        <v>205</v>
      </c>
      <c r="N46" s="36" t="s">
        <v>230</v>
      </c>
      <c r="O46" s="56">
        <v>4.3</v>
      </c>
      <c r="P46" s="56">
        <v>4299</v>
      </c>
      <c r="Q46" s="60" t="s">
        <v>206</v>
      </c>
      <c r="R46" s="36" t="s">
        <v>258</v>
      </c>
      <c r="S46" s="56">
        <v>4.21</v>
      </c>
      <c r="T46" s="56">
        <v>4207.27</v>
      </c>
      <c r="U46" s="60" t="s">
        <v>240</v>
      </c>
      <c r="V46" s="36" t="s">
        <v>277</v>
      </c>
      <c r="W46" s="56">
        <v>4.52</v>
      </c>
      <c r="X46" s="56">
        <v>4523.44</v>
      </c>
      <c r="Y46" s="60" t="s">
        <v>264</v>
      </c>
      <c r="Z46" s="36" t="s">
        <v>291</v>
      </c>
      <c r="AA46" s="56">
        <v>3.56</v>
      </c>
      <c r="AB46" s="93">
        <v>3560</v>
      </c>
    </row>
    <row r="47" spans="1:28" s="3" customFormat="1" ht="16.5" customHeight="1">
      <c r="A47" s="82" t="s">
        <v>103</v>
      </c>
      <c r="B47" s="16" t="s">
        <v>127</v>
      </c>
      <c r="C47" s="122" t="s">
        <v>157</v>
      </c>
      <c r="D47" s="71" t="s">
        <v>197</v>
      </c>
      <c r="E47" s="16">
        <v>1</v>
      </c>
      <c r="F47" s="104">
        <f>E47*$B$10</f>
        <v>1000</v>
      </c>
      <c r="G47"/>
      <c r="H47" s="105" t="str">
        <f>IF(INDEX($M47:$AB47,$K47-3)&lt;&gt;0, INDEX($M47:$AB47,$K47-3), "")</f>
        <v>Digi-Key</v>
      </c>
      <c r="I47" s="106" t="str">
        <f>IF(INDEX($M47:$AB47,$K47-2)&lt;&gt;0, INDEX($M47:$AB47,$K47-2), "")</f>
        <v>1016-1873-1-ND</v>
      </c>
      <c r="J47" s="108">
        <f>IF(INDEX($M47:$AB47,$K47-1)&lt;&gt;0, INDEX($M47:$AB47,$K47-1), "")</f>
        <v>0.1736</v>
      </c>
      <c r="K47" s="106">
        <f>MATCH(MIN($P47,$T47,$X47,$AB47), $M47:$AB47,0)</f>
        <v>4</v>
      </c>
      <c r="L47" s="107">
        <f>IF(MIN($P47,$T47,$X47,$AB47)&lt;&gt;0,MIN($P47,$T47,$X47,$AB47),"")</f>
        <v>173.6</v>
      </c>
      <c r="M47" s="59" t="s">
        <v>205</v>
      </c>
      <c r="N47" s="16" t="s">
        <v>231</v>
      </c>
      <c r="O47" s="57">
        <v>0.1736</v>
      </c>
      <c r="P47" s="57">
        <v>173.6</v>
      </c>
      <c r="Q47" s="61" t="s">
        <v>206</v>
      </c>
      <c r="R47" s="16" t="s">
        <v>259</v>
      </c>
      <c r="S47" s="57"/>
      <c r="T47" s="57"/>
      <c r="U47" s="61" t="s">
        <v>240</v>
      </c>
      <c r="V47" s="16" t="s">
        <v>278</v>
      </c>
      <c r="W47" s="57">
        <v>0.22</v>
      </c>
      <c r="X47" s="57">
        <v>220</v>
      </c>
      <c r="Y47" s="61" t="s">
        <v>264</v>
      </c>
      <c r="Z47" s="16" t="s">
        <v>292</v>
      </c>
      <c r="AA47" s="57"/>
      <c r="AB47" s="94"/>
    </row>
    <row r="48" spans="1:28" s="3" customFormat="1" ht="16.5" customHeight="1">
      <c r="A48" s="81" t="s">
        <v>104</v>
      </c>
      <c r="B48" s="36" t="s">
        <v>128</v>
      </c>
      <c r="C48" s="121" t="s">
        <v>158</v>
      </c>
      <c r="D48" s="70" t="s">
        <v>198</v>
      </c>
      <c r="E48" s="36">
        <v>1</v>
      </c>
      <c r="F48" s="103">
        <f>E48*$B$10</f>
        <v>1000</v>
      </c>
      <c r="G48"/>
      <c r="H48" s="109" t="str">
        <f>IF(INDEX($M48:$AB48,$K48-3)&lt;&gt;0, INDEX($M48:$AB48,$K48-3), "")</f>
        <v>Digi-Key</v>
      </c>
      <c r="I48" s="110" t="str">
        <f>IF(INDEX($M48:$AB48,$K48-2)&lt;&gt;0, INDEX($M48:$AB48,$K48-2), "")</f>
        <v>296-13761-1-ND</v>
      </c>
      <c r="J48" s="111">
        <f>IF(INDEX($M48:$AB48,$K48-1)&lt;&gt;0, INDEX($M48:$AB48,$K48-1), "")</f>
        <v>1.33</v>
      </c>
      <c r="K48" s="110">
        <f>MATCH(MIN($P48,$T48,$X48,$AB48), $M48:$AB48,0)</f>
        <v>4</v>
      </c>
      <c r="L48" s="112">
        <f>IF(MIN($P48,$T48,$X48,$AB48)&lt;&gt;0,MIN($P48,$T48,$X48,$AB48),"")</f>
        <v>1330</v>
      </c>
      <c r="M48" s="58" t="s">
        <v>205</v>
      </c>
      <c r="N48" s="36" t="s">
        <v>232</v>
      </c>
      <c r="O48" s="56">
        <v>1.33</v>
      </c>
      <c r="P48" s="56">
        <v>1330</v>
      </c>
      <c r="Q48" s="60" t="s">
        <v>206</v>
      </c>
      <c r="R48" s="36" t="s">
        <v>260</v>
      </c>
      <c r="S48" s="56">
        <v>2.03</v>
      </c>
      <c r="T48" s="56">
        <v>2030.17</v>
      </c>
      <c r="U48" s="60" t="s">
        <v>240</v>
      </c>
      <c r="V48" s="36" t="s">
        <v>279</v>
      </c>
      <c r="W48" s="56">
        <v>1.33</v>
      </c>
      <c r="X48" s="56">
        <v>1330</v>
      </c>
      <c r="Y48" s="60"/>
      <c r="Z48" s="36"/>
      <c r="AA48" s="56"/>
      <c r="AB48" s="93"/>
    </row>
    <row r="49" spans="1:28" s="3" customFormat="1" ht="16.5" customHeight="1">
      <c r="A49" s="82" t="s">
        <v>105</v>
      </c>
      <c r="B49" s="16" t="s">
        <v>129</v>
      </c>
      <c r="C49" s="122" t="s">
        <v>159</v>
      </c>
      <c r="D49" s="71" t="s">
        <v>199</v>
      </c>
      <c r="E49" s="16">
        <v>1</v>
      </c>
      <c r="F49" s="104">
        <f>E49*$B$10</f>
        <v>1000</v>
      </c>
      <c r="G49"/>
      <c r="H49" s="105" t="str">
        <f>IF(INDEX($M49:$AB49,$K49-3)&lt;&gt;0, INDEX($M49:$AB49,$K49-3), "")</f>
        <v>Farnell</v>
      </c>
      <c r="I49" s="106" t="str">
        <f>IF(INDEX($M49:$AB49,$K49-2)&lt;&gt;0, INDEX($M49:$AB49,$K49-2), "")</f>
        <v>2564479</v>
      </c>
      <c r="J49" s="108">
        <f>IF(INDEX($M49:$AB49,$K49-1)&lt;&gt;0, INDEX($M49:$AB49,$K49-1), "")</f>
        <v>0.232</v>
      </c>
      <c r="K49" s="106">
        <f>MATCH(MIN($P49,$T49,$X49,$AB49), $M49:$AB49,0)</f>
        <v>8</v>
      </c>
      <c r="L49" s="107">
        <f>IF(MIN($P49,$T49,$X49,$AB49)&lt;&gt;0,MIN($P49,$T49,$X49,$AB49),"")</f>
        <v>232</v>
      </c>
      <c r="M49" s="59" t="s">
        <v>205</v>
      </c>
      <c r="N49" s="16" t="s">
        <v>233</v>
      </c>
      <c r="O49" s="57">
        <v>0.26179</v>
      </c>
      <c r="P49" s="57">
        <v>261.79</v>
      </c>
      <c r="Q49" s="61" t="s">
        <v>206</v>
      </c>
      <c r="R49" s="16" t="s">
        <v>261</v>
      </c>
      <c r="S49" s="57">
        <v>0.232</v>
      </c>
      <c r="T49" s="57">
        <v>232</v>
      </c>
      <c r="U49" s="61" t="s">
        <v>240</v>
      </c>
      <c r="V49" s="16" t="s">
        <v>280</v>
      </c>
      <c r="W49" s="57">
        <v>0.452</v>
      </c>
      <c r="X49" s="57">
        <v>452</v>
      </c>
      <c r="Y49" s="61" t="s">
        <v>264</v>
      </c>
      <c r="Z49" s="16" t="s">
        <v>293</v>
      </c>
      <c r="AA49" s="57">
        <v>0.232</v>
      </c>
      <c r="AB49" s="94">
        <v>232</v>
      </c>
    </row>
    <row r="50" spans="1:28" s="3" customFormat="1" ht="16.5" customHeight="1">
      <c r="A50" s="81" t="s">
        <v>106</v>
      </c>
      <c r="B50" s="36" t="s">
        <v>130</v>
      </c>
      <c r="C50" s="121" t="s">
        <v>160</v>
      </c>
      <c r="D50" s="70" t="s">
        <v>200</v>
      </c>
      <c r="E50" s="36">
        <v>1</v>
      </c>
      <c r="F50" s="103">
        <f>E50*$B$10</f>
        <v>1000</v>
      </c>
      <c r="G50"/>
      <c r="H50" s="109" t="str">
        <f>IF(INDEX($M50:$AB50,$K50-3)&lt;&gt;0, INDEX($M50:$AB50,$K50-3), "")</f>
        <v>Farnell</v>
      </c>
      <c r="I50" s="110" t="str">
        <f>IF(INDEX($M50:$AB50,$K50-2)&lt;&gt;0, INDEX($M50:$AB50,$K50-2), "")</f>
        <v>1800210</v>
      </c>
      <c r="J50" s="111">
        <f>IF(INDEX($M50:$AB50,$K50-1)&lt;&gt;0, INDEX($M50:$AB50,$K50-1), "")</f>
        <v>0.39</v>
      </c>
      <c r="K50" s="110">
        <f>MATCH(MIN($P50,$T50,$X50,$AB50), $M50:$AB50,0)</f>
        <v>8</v>
      </c>
      <c r="L50" s="112">
        <f>IF(MIN($P50,$T50,$X50,$AB50)&lt;&gt;0,MIN($P50,$T50,$X50,$AB50),"")</f>
        <v>390</v>
      </c>
      <c r="M50" s="58" t="s">
        <v>205</v>
      </c>
      <c r="N50" s="36" t="s">
        <v>234</v>
      </c>
      <c r="O50" s="56">
        <v>0.4047</v>
      </c>
      <c r="P50" s="56">
        <v>404.7</v>
      </c>
      <c r="Q50" s="60" t="s">
        <v>206</v>
      </c>
      <c r="R50" s="36" t="s">
        <v>262</v>
      </c>
      <c r="S50" s="56">
        <v>0.39</v>
      </c>
      <c r="T50" s="56">
        <v>390</v>
      </c>
      <c r="U50" s="60" t="s">
        <v>240</v>
      </c>
      <c r="V50" s="36" t="s">
        <v>281</v>
      </c>
      <c r="W50" s="56">
        <v>0.39</v>
      </c>
      <c r="X50" s="56">
        <v>390</v>
      </c>
      <c r="Y50" s="60"/>
      <c r="Z50" s="36"/>
      <c r="AA50" s="56"/>
      <c r="AB50" s="93"/>
    </row>
    <row r="51" spans="1:28" s="3" customFormat="1" ht="16.5" customHeight="1">
      <c r="A51" s="82" t="s">
        <v>107</v>
      </c>
      <c r="B51" s="16" t="s">
        <v>131</v>
      </c>
      <c r="C51" s="122" t="s">
        <v>161</v>
      </c>
      <c r="D51" s="71" t="s">
        <v>201</v>
      </c>
      <c r="E51" s="16">
        <v>1</v>
      </c>
      <c r="F51" s="104">
        <f>E51*$B$10</f>
        <v>1000</v>
      </c>
      <c r="G51"/>
      <c r="H51" s="105" t="str">
        <f>IF(INDEX($M51:$AB51,$K51-3)&lt;&gt;0, INDEX($M51:$AB51,$K51-3), "")</f>
        <v>Digi-Key</v>
      </c>
      <c r="I51" s="106" t="str">
        <f>IF(INDEX($M51:$AB51,$K51-2)&lt;&gt;0, INDEX($M51:$AB51,$K51-2), "")</f>
        <v>296-24934-1-ND</v>
      </c>
      <c r="J51" s="108">
        <f>IF(INDEX($M51:$AB51,$K51-1)&lt;&gt;0, INDEX($M51:$AB51,$K51-1), "")</f>
        <v>4.26</v>
      </c>
      <c r="K51" s="106">
        <f>MATCH(MIN($P51,$T51,$X51,$AB51), $M51:$AB51,0)</f>
        <v>4</v>
      </c>
      <c r="L51" s="107">
        <f>IF(MIN($P51,$T51,$X51,$AB51)&lt;&gt;0,MIN($P51,$T51,$X51,$AB51),"")</f>
        <v>4255</v>
      </c>
      <c r="M51" s="59" t="s">
        <v>205</v>
      </c>
      <c r="N51" s="16" t="s">
        <v>235</v>
      </c>
      <c r="O51" s="57">
        <v>4.26</v>
      </c>
      <c r="P51" s="57">
        <v>4255</v>
      </c>
      <c r="Q51" s="61"/>
      <c r="R51" s="16"/>
      <c r="S51" s="57"/>
      <c r="T51" s="57"/>
      <c r="U51" s="61"/>
      <c r="V51" s="16"/>
      <c r="W51" s="57"/>
      <c r="X51" s="57"/>
      <c r="Y51" s="61"/>
      <c r="Z51" s="16"/>
      <c r="AA51" s="57"/>
      <c r="AB51" s="94"/>
    </row>
    <row r="52" spans="1:28" s="3" customFormat="1" ht="16.5" customHeight="1">
      <c r="A52" s="81" t="s">
        <v>108</v>
      </c>
      <c r="B52" s="36" t="s">
        <v>132</v>
      </c>
      <c r="C52" s="121" t="s">
        <v>162</v>
      </c>
      <c r="D52" s="70" t="s">
        <v>202</v>
      </c>
      <c r="E52" s="36">
        <v>1</v>
      </c>
      <c r="F52" s="103">
        <f>E52*$B$10</f>
        <v>1000</v>
      </c>
      <c r="G52"/>
      <c r="H52" s="109" t="str">
        <f>IF(INDEX($M52:$AB52,$K52-3)&lt;&gt;0, INDEX($M52:$AB52,$K52-3), "")</f>
        <v>Mouser</v>
      </c>
      <c r="I52" s="110" t="str">
        <f>IF(INDEX($M52:$AB52,$K52-2)&lt;&gt;0, INDEX($M52:$AB52,$K52-2), "")</f>
        <v>698-CAT24C32WI-GT3</v>
      </c>
      <c r="J52" s="111">
        <f>IF(INDEX($M52:$AB52,$K52-1)&lt;&gt;0, INDEX($M52:$AB52,$K52-1), "")</f>
        <v>0.11</v>
      </c>
      <c r="K52" s="110">
        <f>MATCH(MIN($P52,$T52,$X52,$AB52), $M52:$AB52,0)</f>
        <v>12</v>
      </c>
      <c r="L52" s="112">
        <f>IF(MIN($P52,$T52,$X52,$AB52)&lt;&gt;0,MIN($P52,$T52,$X52,$AB52),"")</f>
        <v>110</v>
      </c>
      <c r="M52" s="58" t="s">
        <v>205</v>
      </c>
      <c r="N52" s="36" t="s">
        <v>236</v>
      </c>
      <c r="O52" s="56"/>
      <c r="P52" s="56"/>
      <c r="Q52" s="60" t="s">
        <v>206</v>
      </c>
      <c r="R52" s="36" t="s">
        <v>263</v>
      </c>
      <c r="S52" s="56">
        <v>0.142</v>
      </c>
      <c r="T52" s="56">
        <v>142</v>
      </c>
      <c r="U52" s="60" t="s">
        <v>240</v>
      </c>
      <c r="V52" s="36" t="s">
        <v>282</v>
      </c>
      <c r="W52" s="56">
        <v>0.11</v>
      </c>
      <c r="X52" s="56">
        <v>110</v>
      </c>
      <c r="Y52" s="60" t="s">
        <v>264</v>
      </c>
      <c r="Z52" s="36" t="s">
        <v>294</v>
      </c>
      <c r="AA52" s="56">
        <v>0.13593</v>
      </c>
      <c r="AB52" s="93">
        <v>135.93</v>
      </c>
    </row>
    <row r="53" spans="1:28" s="3" customFormat="1" ht="16.5" customHeight="1">
      <c r="A53" s="82" t="s">
        <v>109</v>
      </c>
      <c r="B53" s="16" t="s">
        <v>119</v>
      </c>
      <c r="C53" s="122" t="s">
        <v>163</v>
      </c>
      <c r="D53" s="71" t="s">
        <v>203</v>
      </c>
      <c r="E53" s="16">
        <v>1</v>
      </c>
      <c r="F53" s="104">
        <f>E53*$B$10</f>
        <v>1000</v>
      </c>
      <c r="G53"/>
      <c r="H53" s="105" t="str">
        <f>IF(INDEX($M53:$AB53,$K53-3)&lt;&gt;0, INDEX($M53:$AB53,$K53-3), "")</f>
        <v>Farnell</v>
      </c>
      <c r="I53" s="106" t="str">
        <f>IF(INDEX($M53:$AB53,$K53-2)&lt;&gt;0, INDEX($M53:$AB53,$K53-2), "")</f>
        <v>2853960</v>
      </c>
      <c r="J53" s="108">
        <f>IF(INDEX($M53:$AB53,$K53-1)&lt;&gt;0, INDEX($M53:$AB53,$K53-1), "")</f>
        <v>0.16562</v>
      </c>
      <c r="K53" s="106">
        <f>MATCH(MIN($P53,$T53,$X53,$AB53), $M53:$AB53,0)</f>
        <v>4</v>
      </c>
      <c r="L53" s="107">
        <f>IF(MIN($P53,$T53,$X53,$AB53)&lt;&gt;0,MIN($P53,$T53,$X53,$AB53),"")</f>
        <v>165.62</v>
      </c>
      <c r="M53" s="59" t="s">
        <v>206</v>
      </c>
      <c r="N53" s="16" t="s">
        <v>237</v>
      </c>
      <c r="O53" s="57">
        <v>0.16562</v>
      </c>
      <c r="P53" s="57">
        <v>165.62</v>
      </c>
      <c r="Q53" s="61"/>
      <c r="R53" s="16"/>
      <c r="S53" s="57"/>
      <c r="T53" s="57"/>
      <c r="U53" s="61"/>
      <c r="V53" s="16"/>
      <c r="W53" s="57"/>
      <c r="X53" s="57"/>
      <c r="Y53" s="61"/>
      <c r="Z53" s="16"/>
      <c r="AA53" s="57"/>
      <c r="AB53" s="94"/>
    </row>
    <row r="54" spans="1:28" ht="15">
      <c r="A54" s="84" t="s">
        <v>48</v>
      </c>
      <c r="B54" s="19">
        <f>ROW(A53)-ROW(A$13)</f>
        <v>40</v>
      </c>
      <c r="C54" s="63"/>
      <c r="D54" s="65" t="s">
        <v>33</v>
      </c>
      <c r="E54" s="66">
        <f>SUM(E14:E53)</f>
        <v>103</v>
      </c>
      <c r="F54" s="85">
        <f>SUM(F14:F53)</f>
        <v>103000</v>
      </c>
      <c r="H54" s="64"/>
      <c r="I54" s="68" t="s">
        <v>33</v>
      </c>
      <c r="J54" s="69"/>
      <c r="K54" s="69"/>
      <c r="L54" s="113">
        <f>SUM(L14:L53)</f>
        <v>23113.809999999998</v>
      </c>
      <c r="M54" s="64"/>
      <c r="N54" s="63"/>
      <c r="O54" s="63"/>
      <c r="P54" s="114"/>
      <c r="Q54" s="63"/>
      <c r="R54" s="63"/>
      <c r="S54" s="63"/>
      <c r="T54" s="114"/>
      <c r="U54" s="63"/>
      <c r="V54" s="63"/>
      <c r="W54" s="63"/>
      <c r="X54" s="114"/>
      <c r="Y54" s="63"/>
      <c r="Z54" s="63"/>
      <c r="AA54" s="63"/>
      <c r="AB54" s="113"/>
    </row>
    <row r="55" spans="1:28" ht="15.6" thickBot="1">
      <c r="A55" s="86"/>
      <c r="B55" s="87"/>
      <c r="C55" s="87"/>
      <c r="D55" s="87"/>
      <c r="E55" s="87"/>
      <c r="F55" s="88"/>
      <c r="H55" s="86"/>
      <c r="I55" s="96" t="s">
        <v>34</v>
      </c>
      <c r="J55" s="102"/>
      <c r="K55" s="97"/>
      <c r="L55" s="98">
        <f>L54/$B$10</f>
        <v>23.11381</v>
      </c>
      <c r="M55" s="86"/>
      <c r="N55" s="87"/>
      <c r="O55" s="87"/>
      <c r="P55" s="115"/>
      <c r="Q55" s="87"/>
      <c r="R55" s="87"/>
      <c r="S55" s="87"/>
      <c r="T55" s="115"/>
      <c r="U55" s="87"/>
      <c r="V55" s="87"/>
      <c r="W55" s="87"/>
      <c r="X55" s="115"/>
      <c r="Y55" s="87"/>
      <c r="Z55" s="87"/>
      <c r="AA55" s="87"/>
      <c r="AB55" s="116"/>
    </row>
    <row r="56" spans="1:28" ht="6" customHeight="1" thickTop="1">
      <c r="A56" s="73"/>
      <c r="B56" s="74"/>
      <c r="C56" s="74"/>
      <c r="D56" s="75"/>
      <c r="E56" s="76"/>
      <c r="F56" s="75"/>
      <c r="H56" s="75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</row>
    <row r="58" spans="14:19">
      <c r="N58" s="3"/>
      <c r="O58" s="3"/>
      <c r="Q58" s="3"/>
      <c r="R58" s="3"/>
      <c r="S58" s="3"/>
    </row>
    <row r="59" spans="11:11">
      <c r="K59" s="2">
        <f>MIN($P58,$T58,$X58,$AB58)</f>
        <v>0</v>
      </c>
    </row>
    <row r="70" spans="1:2">
      <c r="A70" s="2"/>
      <c r="B70" s="2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47"/>
  <sheetViews>
    <sheetView showGridLines="0" zoomScaleNormal="100" view="normal" workbookViewId="0">
      <selection pane="topLeft" activeCell="D6" sqref="D6"/>
    </sheetView>
  </sheetViews>
  <sheetFormatPr defaultColWidth="9.13671875" defaultRowHeight="13.2" baseColWidth="0"/>
  <cols>
    <col min="1" max="2" width="5.7109375" style="2" customWidth="1"/>
    <col min="3" max="3" width="60.99609375" style="4" customWidth="1"/>
    <col min="4" max="4" width="18.7109375" style="4" customWidth="1"/>
    <col min="5" max="5" width="6.99609375" style="4" customWidth="1"/>
    <col min="6" max="6" width="9.13671875" style="4" customWidth="1"/>
    <col min="7" max="7" width="6.7109375" style="2" customWidth="1"/>
    <col min="8" max="8" width="244.7109375" style="2" customWidth="1"/>
    <col min="9" max="16384" width="9.13671875" style="2" customWidth="1"/>
  </cols>
  <sheetData>
    <row r="1" spans="1:9" ht="6" customHeight="1" thickBot="1">
      <c r="A1" s="32"/>
      <c r="B1" s="34"/>
      <c r="C1" s="33"/>
      <c r="D1" s="33"/>
      <c r="E1" s="33"/>
      <c r="F1" s="33"/>
      <c r="G1" s="33"/>
      <c r="H1" s="34"/>
      <c r="I1"/>
    </row>
    <row r="2" spans="1:8" ht="37.5" customHeight="1">
      <c r="A2" s="43" t="s">
        <v>29</v>
      </c>
      <c r="B2" s="47"/>
      <c r="C2" s="42"/>
      <c r="D2" s="42"/>
      <c r="E2" s="42"/>
      <c r="F2" s="9"/>
      <c r="G2" s="129" t="s">
        <v>59</v>
      </c>
      <c r="H2"/>
    </row>
    <row r="3" spans="1:8" ht="15.75" customHeight="1">
      <c r="A3" s="29"/>
      <c r="B3" s="52"/>
      <c r="C3" s="125" t="s">
        <v>65</v>
      </c>
      <c r="D3" s="9"/>
      <c r="E3" s="9"/>
      <c r="F3" s="125" t="s">
        <v>66</v>
      </c>
      <c r="G3" s="12"/>
      <c r="H3" s="1"/>
    </row>
    <row r="4" spans="1:8" ht="15.75" customHeight="1">
      <c r="A4" s="13">
        <f>ROW(A45)-ROW(A$5)</f>
        <v>40</v>
      </c>
      <c r="B4" s="10"/>
      <c r="C4" s="9"/>
      <c r="D4" s="9"/>
      <c r="E4" s="9"/>
      <c r="F4" s="9"/>
      <c r="G4" s="10"/>
      <c r="H4"/>
    </row>
    <row r="5" spans="1:8" s="7" customFormat="1" ht="26.25" customHeight="1">
      <c r="A5" s="41" t="s">
        <v>24</v>
      </c>
      <c r="B5" s="41" t="s">
        <v>39</v>
      </c>
      <c r="C5" s="41" t="s">
        <v>295</v>
      </c>
      <c r="D5" s="41" t="s">
        <v>40</v>
      </c>
      <c r="E5" s="41" t="s">
        <v>37</v>
      </c>
      <c r="F5" s="41" t="s">
        <v>36</v>
      </c>
      <c r="G5" s="51" t="s">
        <v>22</v>
      </c>
      <c r="H5" s="41" t="s">
        <v>3</v>
      </c>
    </row>
    <row r="6" spans="1:8" s="3" customFormat="1" ht="16.5" customHeight="1">
      <c r="A6" s="36">
        <f>ROW(A6)-ROW(A$5)</f>
        <v>1</v>
      </c>
      <c r="B6" s="36"/>
      <c r="C6" s="37" t="s">
        <v>296</v>
      </c>
      <c r="D6" s="37" t="s">
        <v>319</v>
      </c>
      <c r="E6" s="37"/>
      <c r="F6" s="37"/>
      <c r="G6" s="37"/>
      <c r="H6" s="38" t="s">
        <v>164</v>
      </c>
    </row>
    <row r="7" spans="1:8" s="3" customFormat="1" ht="16.5" customHeight="1">
      <c r="A7" s="16">
        <f>ROW(A7)-ROW(A$5)</f>
        <v>2</v>
      </c>
      <c r="B7" s="16"/>
      <c r="C7" s="17" t="s">
        <v>297</v>
      </c>
      <c r="D7" s="17" t="s">
        <v>320</v>
      </c>
      <c r="E7" s="17"/>
      <c r="F7" s="17"/>
      <c r="G7" s="17"/>
      <c r="H7" s="28" t="s">
        <v>165</v>
      </c>
    </row>
    <row r="8" spans="1:8" s="3" customFormat="1" ht="16.5" customHeight="1">
      <c r="A8" s="36">
        <f>ROW(A8)-ROW(A$5)</f>
        <v>3</v>
      </c>
      <c r="B8" s="36"/>
      <c r="C8" s="37" t="s">
        <v>134</v>
      </c>
      <c r="D8" s="37" t="s">
        <v>320</v>
      </c>
      <c r="E8" s="37"/>
      <c r="F8" s="37"/>
      <c r="G8" s="37"/>
      <c r="H8" s="38" t="s">
        <v>166</v>
      </c>
    </row>
    <row r="9" spans="1:8" s="3" customFormat="1" ht="16.5" customHeight="1">
      <c r="A9" s="16">
        <f>ROW(A9)-ROW(A$5)</f>
        <v>4</v>
      </c>
      <c r="B9" s="16"/>
      <c r="C9" s="17" t="s">
        <v>297</v>
      </c>
      <c r="D9" s="17" t="s">
        <v>320</v>
      </c>
      <c r="E9" s="17"/>
      <c r="F9" s="17"/>
      <c r="G9" s="17"/>
      <c r="H9" s="28" t="s">
        <v>167</v>
      </c>
    </row>
    <row r="10" spans="1:8" s="3" customFormat="1" ht="16.5" customHeight="1">
      <c r="A10" s="36">
        <f>ROW(A10)-ROW(A$5)</f>
        <v>5</v>
      </c>
      <c r="B10" s="36"/>
      <c r="C10" s="37" t="s">
        <v>298</v>
      </c>
      <c r="D10" s="37" t="s">
        <v>321</v>
      </c>
      <c r="E10" s="37"/>
      <c r="F10" s="37"/>
      <c r="G10" s="37"/>
      <c r="H10" s="38" t="s">
        <v>168</v>
      </c>
    </row>
    <row r="11" spans="1:8" s="3" customFormat="1" ht="16.5" customHeight="1">
      <c r="A11" s="16">
        <f>ROW(A11)-ROW(A$5)</f>
        <v>6</v>
      </c>
      <c r="B11" s="16"/>
      <c r="C11" s="17" t="s">
        <v>299</v>
      </c>
      <c r="D11" s="17" t="s">
        <v>322</v>
      </c>
      <c r="E11" s="17"/>
      <c r="F11" s="17"/>
      <c r="G11" s="17"/>
      <c r="H11" s="28" t="s">
        <v>169</v>
      </c>
    </row>
    <row r="12" spans="1:8" s="3" customFormat="1" ht="16.5" customHeight="1">
      <c r="A12" s="36">
        <f>ROW(A12)-ROW(A$5)</f>
        <v>7</v>
      </c>
      <c r="B12" s="36"/>
      <c r="C12" s="37" t="s">
        <v>300</v>
      </c>
      <c r="D12" s="37" t="s">
        <v>323</v>
      </c>
      <c r="E12" s="37"/>
      <c r="F12" s="37"/>
      <c r="G12" s="37"/>
      <c r="H12" s="38" t="s">
        <v>170</v>
      </c>
    </row>
    <row r="13" spans="1:8" s="3" customFormat="1" ht="16.5" customHeight="1">
      <c r="A13" s="16">
        <f>ROW(A13)-ROW(A$5)</f>
        <v>8</v>
      </c>
      <c r="B13" s="16"/>
      <c r="C13" s="17" t="s">
        <v>301</v>
      </c>
      <c r="D13" s="17" t="s">
        <v>324</v>
      </c>
      <c r="E13" s="17"/>
      <c r="F13" s="17"/>
      <c r="G13" s="17"/>
      <c r="H13" s="28" t="s">
        <v>171</v>
      </c>
    </row>
    <row r="14" spans="1:8" s="3" customFormat="1" ht="16.5" customHeight="1">
      <c r="A14" s="36">
        <f>ROW(A14)-ROW(A$5)</f>
        <v>9</v>
      </c>
      <c r="B14" s="36"/>
      <c r="C14" s="37" t="s">
        <v>302</v>
      </c>
      <c r="D14" s="37" t="s">
        <v>325</v>
      </c>
      <c r="E14" s="37"/>
      <c r="F14" s="37"/>
      <c r="G14" s="37"/>
      <c r="H14" s="38" t="s">
        <v>172</v>
      </c>
    </row>
    <row r="15" spans="1:8" s="3" customFormat="1" ht="16.5" customHeight="1">
      <c r="A15" s="16">
        <f>ROW(A15)-ROW(A$5)</f>
        <v>10</v>
      </c>
      <c r="B15" s="16"/>
      <c r="C15" s="17" t="s">
        <v>303</v>
      </c>
      <c r="D15" s="17" t="s">
        <v>326</v>
      </c>
      <c r="E15" s="17"/>
      <c r="F15" s="17"/>
      <c r="G15" s="17"/>
      <c r="H15" s="28" t="s">
        <v>173</v>
      </c>
    </row>
    <row r="16" spans="1:8" s="3" customFormat="1" ht="16.5" customHeight="1">
      <c r="A16" s="36">
        <f>ROW(A16)-ROW(A$5)</f>
        <v>11</v>
      </c>
      <c r="B16" s="36"/>
      <c r="C16" s="37" t="s">
        <v>304</v>
      </c>
      <c r="D16" s="37" t="s">
        <v>140</v>
      </c>
      <c r="E16" s="37"/>
      <c r="F16" s="37"/>
      <c r="G16" s="37"/>
      <c r="H16" s="38" t="s">
        <v>174</v>
      </c>
    </row>
    <row r="17" spans="1:8" s="3" customFormat="1" ht="16.5" customHeight="1">
      <c r="A17" s="16">
        <f>ROW(A17)-ROW(A$5)</f>
        <v>12</v>
      </c>
      <c r="B17" s="16"/>
      <c r="C17" s="17" t="s">
        <v>305</v>
      </c>
      <c r="D17" s="17" t="s">
        <v>327</v>
      </c>
      <c r="E17" s="17"/>
      <c r="F17" s="17"/>
      <c r="G17" s="17"/>
      <c r="H17" s="28" t="s">
        <v>175</v>
      </c>
    </row>
    <row r="18" spans="1:8" s="3" customFormat="1" ht="16.5" customHeight="1">
      <c r="A18" s="36">
        <f>ROW(A18)-ROW(A$5)</f>
        <v>13</v>
      </c>
      <c r="B18" s="36"/>
      <c r="C18" s="37" t="s">
        <v>142</v>
      </c>
      <c r="D18" s="37" t="s">
        <v>328</v>
      </c>
      <c r="E18" s="37"/>
      <c r="F18" s="37"/>
      <c r="G18" s="37"/>
      <c r="H18" s="38" t="s">
        <v>176</v>
      </c>
    </row>
    <row r="19" spans="1:8" s="3" customFormat="1" ht="16.5" customHeight="1">
      <c r="A19" s="16">
        <f>ROW(A19)-ROW(A$5)</f>
        <v>14</v>
      </c>
      <c r="B19" s="16"/>
      <c r="C19" s="17" t="s">
        <v>306</v>
      </c>
      <c r="D19" s="17" t="s">
        <v>306</v>
      </c>
      <c r="E19" s="17"/>
      <c r="F19" s="17"/>
      <c r="G19" s="17"/>
      <c r="H19" s="28" t="s">
        <v>177</v>
      </c>
    </row>
    <row r="20" spans="1:8" s="3" customFormat="1" ht="16.5" customHeight="1">
      <c r="A20" s="36">
        <f>ROW(A20)-ROW(A$5)</f>
        <v>15</v>
      </c>
      <c r="B20" s="36"/>
      <c r="C20" s="37" t="s">
        <v>307</v>
      </c>
      <c r="D20" s="37" t="s">
        <v>329</v>
      </c>
      <c r="E20" s="37"/>
      <c r="F20" s="37"/>
      <c r="G20" s="37"/>
      <c r="H20" s="38" t="s">
        <v>178</v>
      </c>
    </row>
    <row r="21" spans="1:8" s="3" customFormat="1" ht="16.5" customHeight="1">
      <c r="A21" s="16">
        <f>ROW(A21)-ROW(A$5)</f>
        <v>16</v>
      </c>
      <c r="B21" s="16"/>
      <c r="C21" s="17" t="s">
        <v>308</v>
      </c>
      <c r="D21" s="17" t="s">
        <v>308</v>
      </c>
      <c r="E21" s="17"/>
      <c r="F21" s="17"/>
      <c r="G21" s="17"/>
      <c r="H21" s="28" t="s">
        <v>179</v>
      </c>
    </row>
    <row r="22" spans="1:8" s="3" customFormat="1" ht="16.5" customHeight="1">
      <c r="A22" s="36">
        <f>ROW(A22)-ROW(A$5)</f>
        <v>17</v>
      </c>
      <c r="B22" s="36"/>
      <c r="C22" s="37" t="s">
        <v>146</v>
      </c>
      <c r="D22" s="37" t="s">
        <v>330</v>
      </c>
      <c r="E22" s="37"/>
      <c r="F22" s="37"/>
      <c r="G22" s="37"/>
      <c r="H22" s="38" t="s">
        <v>180</v>
      </c>
    </row>
    <row r="23" spans="1:8" s="3" customFormat="1" ht="16.5" customHeight="1">
      <c r="A23" s="16">
        <f>ROW(A23)-ROW(A$5)</f>
        <v>18</v>
      </c>
      <c r="B23" s="16"/>
      <c r="C23" s="17" t="s">
        <v>309</v>
      </c>
      <c r="D23" s="17" t="s">
        <v>331</v>
      </c>
      <c r="E23" s="17"/>
      <c r="F23" s="17"/>
      <c r="G23" s="17"/>
      <c r="H23" s="28" t="s">
        <v>181</v>
      </c>
    </row>
    <row r="24" spans="1:8" s="3" customFormat="1" ht="16.5" customHeight="1">
      <c r="A24" s="36">
        <f>ROW(A24)-ROW(A$5)</f>
        <v>19</v>
      </c>
      <c r="B24" s="36"/>
      <c r="C24" s="37" t="s">
        <v>310</v>
      </c>
      <c r="D24" s="37" t="s">
        <v>332</v>
      </c>
      <c r="E24" s="37"/>
      <c r="F24" s="37"/>
      <c r="G24" s="37"/>
      <c r="H24" s="38" t="s">
        <v>182</v>
      </c>
    </row>
    <row r="25" spans="1:8" s="3" customFormat="1" ht="16.5" customHeight="1">
      <c r="A25" s="16">
        <f>ROW(A25)-ROW(A$5)</f>
        <v>20</v>
      </c>
      <c r="B25" s="16"/>
      <c r="C25" s="17" t="s">
        <v>311</v>
      </c>
      <c r="D25" s="17" t="s">
        <v>333</v>
      </c>
      <c r="E25" s="17"/>
      <c r="F25" s="17"/>
      <c r="G25" s="17"/>
      <c r="H25" s="28" t="s">
        <v>183</v>
      </c>
    </row>
    <row r="26" spans="1:8" s="3" customFormat="1" ht="16.5" customHeight="1">
      <c r="A26" s="36">
        <f>ROW(A26)-ROW(A$5)</f>
        <v>21</v>
      </c>
      <c r="B26" s="36"/>
      <c r="C26" s="37" t="s">
        <v>312</v>
      </c>
      <c r="D26" s="37" t="s">
        <v>333</v>
      </c>
      <c r="E26" s="37"/>
      <c r="F26" s="37"/>
      <c r="G26" s="37"/>
      <c r="H26" s="38" t="s">
        <v>184</v>
      </c>
    </row>
    <row r="27" spans="1:8" s="3" customFormat="1" ht="16.5" customHeight="1">
      <c r="A27" s="16">
        <f>ROW(A27)-ROW(A$5)</f>
        <v>22</v>
      </c>
      <c r="B27" s="16"/>
      <c r="C27" s="17" t="s">
        <v>151</v>
      </c>
      <c r="D27" s="17" t="s">
        <v>334</v>
      </c>
      <c r="E27" s="17"/>
      <c r="F27" s="17"/>
      <c r="G27" s="17"/>
      <c r="H27" s="28" t="s">
        <v>185</v>
      </c>
    </row>
    <row r="28" spans="1:8" s="3" customFormat="1" ht="16.5" customHeight="1">
      <c r="A28" s="36">
        <f>ROW(A28)-ROW(A$5)</f>
        <v>23</v>
      </c>
      <c r="B28" s="36"/>
      <c r="C28" s="37" t="s">
        <v>152</v>
      </c>
      <c r="D28" s="37" t="s">
        <v>335</v>
      </c>
      <c r="E28" s="37"/>
      <c r="F28" s="37"/>
      <c r="G28" s="37"/>
      <c r="H28" s="38" t="s">
        <v>186</v>
      </c>
    </row>
    <row r="29" spans="1:8" s="3" customFormat="1" ht="16.5" customHeight="1">
      <c r="A29" s="16">
        <f>ROW(A29)-ROW(A$5)</f>
        <v>24</v>
      </c>
      <c r="B29" s="16"/>
      <c r="C29" s="17" t="s">
        <v>313</v>
      </c>
      <c r="D29" s="17" t="s">
        <v>334</v>
      </c>
      <c r="E29" s="17"/>
      <c r="F29" s="17"/>
      <c r="G29" s="17"/>
      <c r="H29" s="28" t="s">
        <v>187</v>
      </c>
    </row>
    <row r="30" spans="1:8" s="3" customFormat="1" ht="16.5" customHeight="1">
      <c r="A30" s="36">
        <f>ROW(A30)-ROW(A$5)</f>
        <v>25</v>
      </c>
      <c r="B30" s="36"/>
      <c r="C30" s="37" t="s">
        <v>313</v>
      </c>
      <c r="D30" s="37" t="s">
        <v>334</v>
      </c>
      <c r="E30" s="37"/>
      <c r="F30" s="37"/>
      <c r="G30" s="37"/>
      <c r="H30" s="38" t="s">
        <v>188</v>
      </c>
    </row>
    <row r="31" spans="1:8" s="3" customFormat="1" ht="16.5" customHeight="1">
      <c r="A31" s="16">
        <f>ROW(A31)-ROW(A$5)</f>
        <v>26</v>
      </c>
      <c r="B31" s="16"/>
      <c r="C31" s="17" t="s">
        <v>313</v>
      </c>
      <c r="D31" s="17" t="s">
        <v>334</v>
      </c>
      <c r="E31" s="17"/>
      <c r="F31" s="17"/>
      <c r="G31" s="17"/>
      <c r="H31" s="28" t="s">
        <v>189</v>
      </c>
    </row>
    <row r="32" spans="1:8" s="3" customFormat="1" ht="16.5" customHeight="1">
      <c r="A32" s="36">
        <f>ROW(A32)-ROW(A$5)</f>
        <v>27</v>
      </c>
      <c r="B32" s="36"/>
      <c r="C32" s="37" t="s">
        <v>313</v>
      </c>
      <c r="D32" s="37" t="s">
        <v>334</v>
      </c>
      <c r="E32" s="37"/>
      <c r="F32" s="37"/>
      <c r="G32" s="37"/>
      <c r="H32" s="38" t="s">
        <v>190</v>
      </c>
    </row>
    <row r="33" spans="1:8" s="3" customFormat="1" ht="16.5" customHeight="1">
      <c r="A33" s="16">
        <f>ROW(A33)-ROW(A$5)</f>
        <v>28</v>
      </c>
      <c r="B33" s="16"/>
      <c r="C33" s="17" t="s">
        <v>313</v>
      </c>
      <c r="D33" s="17" t="s">
        <v>334</v>
      </c>
      <c r="E33" s="17"/>
      <c r="F33" s="17"/>
      <c r="G33" s="17"/>
      <c r="H33" s="28" t="s">
        <v>191</v>
      </c>
    </row>
    <row r="34" spans="1:8" s="3" customFormat="1" ht="16.5" customHeight="1">
      <c r="A34" s="36">
        <f>ROW(A34)-ROW(A$5)</f>
        <v>29</v>
      </c>
      <c r="B34" s="36"/>
      <c r="C34" s="37" t="s">
        <v>153</v>
      </c>
      <c r="D34" s="37" t="s">
        <v>335</v>
      </c>
      <c r="E34" s="37"/>
      <c r="F34" s="37"/>
      <c r="G34" s="37"/>
      <c r="H34" s="38" t="s">
        <v>192</v>
      </c>
    </row>
    <row r="35" spans="1:8" s="3" customFormat="1" ht="16.5" customHeight="1">
      <c r="A35" s="16">
        <f>ROW(A35)-ROW(A$5)</f>
        <v>30</v>
      </c>
      <c r="B35" s="16"/>
      <c r="C35" s="17" t="s">
        <v>313</v>
      </c>
      <c r="D35" s="17" t="s">
        <v>334</v>
      </c>
      <c r="E35" s="17"/>
      <c r="F35" s="17"/>
      <c r="G35" s="17"/>
      <c r="H35" s="28" t="s">
        <v>193</v>
      </c>
    </row>
    <row r="36" spans="1:8" s="3" customFormat="1" ht="16.5" customHeight="1">
      <c r="A36" s="36">
        <f>ROW(A36)-ROW(A$5)</f>
        <v>31</v>
      </c>
      <c r="B36" s="36"/>
      <c r="C36" s="37" t="s">
        <v>154</v>
      </c>
      <c r="D36" s="37" t="s">
        <v>336</v>
      </c>
      <c r="E36" s="37"/>
      <c r="F36" s="37"/>
      <c r="G36" s="37"/>
      <c r="H36" s="38" t="s">
        <v>194</v>
      </c>
    </row>
    <row r="37" spans="1:8" s="3" customFormat="1" ht="16.5" customHeight="1">
      <c r="A37" s="16">
        <f>ROW(A37)-ROW(A$5)</f>
        <v>32</v>
      </c>
      <c r="B37" s="16"/>
      <c r="C37" s="17" t="s">
        <v>314</v>
      </c>
      <c r="D37" s="17" t="s">
        <v>337</v>
      </c>
      <c r="E37" s="17"/>
      <c r="F37" s="17"/>
      <c r="G37" s="17"/>
      <c r="H37" s="28" t="s">
        <v>195</v>
      </c>
    </row>
    <row r="38" spans="1:8" s="3" customFormat="1" ht="16.5" customHeight="1">
      <c r="A38" s="36">
        <f>ROW(A38)-ROW(A$5)</f>
        <v>33</v>
      </c>
      <c r="B38" s="36"/>
      <c r="C38" s="37" t="s">
        <v>315</v>
      </c>
      <c r="D38" s="37" t="s">
        <v>338</v>
      </c>
      <c r="E38" s="37"/>
      <c r="F38" s="37"/>
      <c r="G38" s="37"/>
      <c r="H38" s="38" t="s">
        <v>196</v>
      </c>
    </row>
    <row r="39" spans="1:8" s="3" customFormat="1" ht="16.5" customHeight="1">
      <c r="A39" s="16">
        <f>ROW(A39)-ROW(A$5)</f>
        <v>34</v>
      </c>
      <c r="B39" s="16"/>
      <c r="C39" s="17" t="s">
        <v>316</v>
      </c>
      <c r="D39" s="17" t="s">
        <v>339</v>
      </c>
      <c r="E39" s="17"/>
      <c r="F39" s="17"/>
      <c r="G39" s="17"/>
      <c r="H39" s="28" t="s">
        <v>197</v>
      </c>
    </row>
    <row r="40" spans="1:8" s="3" customFormat="1" ht="16.5" customHeight="1">
      <c r="A40" s="36">
        <f>ROW(A40)-ROW(A$5)</f>
        <v>35</v>
      </c>
      <c r="B40" s="36"/>
      <c r="C40" s="37" t="s">
        <v>158</v>
      </c>
      <c r="D40" s="37" t="s">
        <v>340</v>
      </c>
      <c r="E40" s="37"/>
      <c r="F40" s="37"/>
      <c r="G40" s="37"/>
      <c r="H40" s="38" t="s">
        <v>198</v>
      </c>
    </row>
    <row r="41" spans="1:8" s="3" customFormat="1" ht="16.5" customHeight="1">
      <c r="A41" s="16">
        <f>ROW(A41)-ROW(A$5)</f>
        <v>36</v>
      </c>
      <c r="B41" s="16"/>
      <c r="C41" s="17" t="s">
        <v>159</v>
      </c>
      <c r="D41" s="17" t="s">
        <v>341</v>
      </c>
      <c r="E41" s="17"/>
      <c r="F41" s="17"/>
      <c r="G41" s="17"/>
      <c r="H41" s="28" t="s">
        <v>199</v>
      </c>
    </row>
    <row r="42" spans="1:8" s="3" customFormat="1" ht="16.5" customHeight="1">
      <c r="A42" s="36">
        <f>ROW(A42)-ROW(A$5)</f>
        <v>37</v>
      </c>
      <c r="B42" s="36"/>
      <c r="C42" s="37" t="s">
        <v>160</v>
      </c>
      <c r="D42" s="37" t="s">
        <v>342</v>
      </c>
      <c r="E42" s="37"/>
      <c r="F42" s="37"/>
      <c r="G42" s="37"/>
      <c r="H42" s="38" t="s">
        <v>200</v>
      </c>
    </row>
    <row r="43" spans="1:8" s="3" customFormat="1" ht="16.5" customHeight="1">
      <c r="A43" s="16">
        <f>ROW(A43)-ROW(A$5)</f>
        <v>38</v>
      </c>
      <c r="B43" s="16"/>
      <c r="C43" s="17" t="s">
        <v>161</v>
      </c>
      <c r="D43" s="17" t="s">
        <v>161</v>
      </c>
      <c r="E43" s="17"/>
      <c r="F43" s="17"/>
      <c r="G43" s="17"/>
      <c r="H43" s="28" t="s">
        <v>201</v>
      </c>
    </row>
    <row r="44" spans="1:8" s="3" customFormat="1" ht="16.5" customHeight="1">
      <c r="A44" s="36">
        <f>ROW(A44)-ROW(A$5)</f>
        <v>39</v>
      </c>
      <c r="B44" s="36"/>
      <c r="C44" s="37" t="s">
        <v>317</v>
      </c>
      <c r="D44" s="37" t="s">
        <v>343</v>
      </c>
      <c r="E44" s="37"/>
      <c r="F44" s="37"/>
      <c r="G44" s="37"/>
      <c r="H44" s="38" t="s">
        <v>202</v>
      </c>
    </row>
    <row r="45" spans="1:8" s="3" customFormat="1" ht="16.5" customHeight="1">
      <c r="A45" s="16">
        <f>ROW(A45)-ROW(A$5)</f>
        <v>40</v>
      </c>
      <c r="B45" s="16"/>
      <c r="C45" s="17" t="s">
        <v>318</v>
      </c>
      <c r="D45" s="17" t="s">
        <v>344</v>
      </c>
      <c r="E45" s="17"/>
      <c r="F45" s="17"/>
      <c r="G45" s="17"/>
      <c r="H45" s="28" t="s">
        <v>203</v>
      </c>
    </row>
    <row r="46" spans="1:8" ht="15.6" thickBot="1">
      <c r="A46" s="18"/>
      <c r="B46" s="53"/>
      <c r="C46" s="19"/>
      <c r="D46" s="19"/>
      <c r="E46" s="19"/>
      <c r="F46" s="19"/>
      <c r="G46" s="19"/>
      <c r="H46" s="45"/>
    </row>
    <row r="47" spans="1:9" ht="6" customHeight="1">
      <c r="A47" s="46"/>
      <c r="B47" s="31"/>
      <c r="C47" s="30"/>
      <c r="D47" s="30"/>
      <c r="E47" s="30"/>
      <c r="F47" s="30"/>
      <c r="G47" s="30"/>
      <c r="H47" s="30"/>
      <c r="I47" s="8"/>
    </row>
  </sheetData>
  <pageMargins left="0.39370078740157483" right="0.39370078740157483" top="0.39370078740157483" bottom="0" header="0" footer="0"/>
  <pageSetup paperSize="9" scale="60" orientation="landscape" horizontalDpi="200" verticalDpi="200"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14"/>
  <sheetViews>
    <sheetView view="normal" workbookViewId="0">
      <selection pane="topLeft" activeCell="A1" sqref="A1"/>
    </sheetView>
  </sheetViews>
  <sheetFormatPr defaultRowHeight="13.2" baseColWidth="0"/>
  <cols>
    <col min="1" max="1" width="30.28125" style="5" customWidth="1"/>
    <col min="2" max="2" width="108.56640625" style="5" customWidth="1"/>
  </cols>
  <sheetData>
    <row r="1" spans="1:2" s="6" customFormat="1" ht="17.25" customHeight="1">
      <c r="A1" s="20" t="s">
        <v>5</v>
      </c>
      <c r="B1" s="130" t="s">
        <v>23</v>
      </c>
    </row>
    <row r="2" spans="1:2" s="6" customFormat="1" ht="17.25" customHeight="1">
      <c r="A2" s="22" t="s">
        <v>7</v>
      </c>
      <c r="B2" s="131" t="s">
        <v>59</v>
      </c>
    </row>
    <row r="3" spans="1:2" s="6" customFormat="1" ht="17.25" customHeight="1">
      <c r="A3" s="24" t="s">
        <v>6</v>
      </c>
      <c r="B3" s="132" t="s">
        <v>63</v>
      </c>
    </row>
    <row r="4" spans="1:2" s="6" customFormat="1" ht="17.25" customHeight="1">
      <c r="A4" s="22" t="s">
        <v>8</v>
      </c>
      <c r="B4" s="131" t="s">
        <v>59</v>
      </c>
    </row>
    <row r="5" spans="1:2" s="6" customFormat="1" ht="17.25" customHeight="1">
      <c r="A5" s="24" t="s">
        <v>9</v>
      </c>
      <c r="B5" s="132" t="s">
        <v>23</v>
      </c>
    </row>
    <row r="6" spans="1:2" s="6" customFormat="1" ht="17.25" customHeight="1">
      <c r="A6" s="22" t="s">
        <v>4</v>
      </c>
      <c r="B6" s="131" t="s">
        <v>60</v>
      </c>
    </row>
    <row r="7" spans="1:2" s="6" customFormat="1" ht="17.25" customHeight="1">
      <c r="A7" s="24" t="s">
        <v>10</v>
      </c>
      <c r="B7" s="132" t="s">
        <v>345</v>
      </c>
    </row>
    <row r="8" spans="1:2" s="6" customFormat="1" ht="17.25" customHeight="1">
      <c r="A8" s="22" t="s">
        <v>11</v>
      </c>
      <c r="B8" s="131" t="s">
        <v>66</v>
      </c>
    </row>
    <row r="9" spans="1:2" s="6" customFormat="1" ht="17.25" customHeight="1">
      <c r="A9" s="24" t="s">
        <v>12</v>
      </c>
      <c r="B9" s="132" t="s">
        <v>65</v>
      </c>
    </row>
    <row r="10" spans="1:2" s="6" customFormat="1" ht="17.25" customHeight="1">
      <c r="A10" s="22" t="s">
        <v>14</v>
      </c>
      <c r="B10" s="131" t="s">
        <v>346</v>
      </c>
    </row>
    <row r="11" spans="1:2" s="6" customFormat="1" ht="17.25" customHeight="1">
      <c r="A11" s="24" t="s">
        <v>13</v>
      </c>
      <c r="B11" s="132" t="s">
        <v>347</v>
      </c>
    </row>
    <row r="12" spans="1:2" s="6" customFormat="1" ht="17.25" customHeight="1">
      <c r="A12" s="22" t="s">
        <v>15</v>
      </c>
      <c r="B12" s="131" t="s">
        <v>348</v>
      </c>
    </row>
    <row r="13" spans="1:2" s="6" customFormat="1" ht="17.25" customHeight="1">
      <c r="A13" s="24" t="s">
        <v>16</v>
      </c>
      <c r="B13" s="132" t="s">
        <v>349</v>
      </c>
    </row>
    <row r="14" spans="1:2" s="6" customFormat="1" ht="17.25" customHeight="1" thickBot="1">
      <c r="A14" s="26" t="s">
        <v>17</v>
      </c>
      <c r="B14" s="133" t="s">
        <v>347</v>
      </c>
    </row>
  </sheetData>
  <pageMargins left="0.39370078740157483" right="0.39370078740157483" top="0.39370078740157483" bottom="0" header="0.39370078740157483" footer="0"/>
  <pageSetup paperSize="9" orientation="portrait" r:id="rId1"/>
</workshee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2020-01-07T11:44:58Z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