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<sst xmlns="http://schemas.openxmlformats.org/spreadsheetml/2006/main" uniqueCount="114">
  <si>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</si>
  <si>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</si>
  <si>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</si>
  <si>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</si>
  <si>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</si>
  <si>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</si>
  <si>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</si>
  <si>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</si>
  <si>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</si>
  <si>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</si>
  <si>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</si>
  <si>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</si>
  <si>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</si>
  <si>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</si>
  <si>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</si>
  <si>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</si>
  <si>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</si>
  <si>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</si>
  <si>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</si>
  <si>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</si>
  <si>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</si>
  <si>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</si>
  <si>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</si>
  <si>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</si>
  <si>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</si>
  <si>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</si>
  <si>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</si>
  <si>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</si>
  <si>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</si>
  <si>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</si>
  <si>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</si>
  <si>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</si>
  <si>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keyboard button for BC mounting</t>
  </si>
  <si>
    <t>JacdacKeycapButtonBc30 135.PrjPCB</t>
  </si>
  <si>
    <t>BOM hand-build for Variant [JLCPCB] of Project [JacdacKeycapButtonBc30 135.PrjPCB] (No PCB Document Selected)</t>
  </si>
  <si>
    <t>JacdacKeycapButtonBc30</t>
  </si>
  <si>
    <t>135</t>
  </si>
  <si>
    <t>JLCPCB</t>
  </si>
  <si>
    <t>0.2</t>
  </si>
  <si>
    <t>15/09/2023</t>
  </si>
  <si>
    <t>17:54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</si>
  <si>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</si>
  <si>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</si>
  <si>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</si>
  <si>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</si>
  <si>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</si>
  <si>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</si>
  <si>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</si>
  <si>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</si>
  <si>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</si>
  <si>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Res Thick Film 0603 220 Ohm 1% 0.1W(1/10W) ±100ppm/°C Pad SMD T/R</t>
  </si>
  <si>
    <t>RES SMD 1K OHM 1% 1/16W 0402</t>
  </si>
  <si>
    <t>CMOS Low Dropout Regulator (LDO), 300 mA 3.3V, Non-Active Discharge, TSOP5</t>
  </si>
  <si>
    <t>Samsung</t>
  </si>
  <si>
    <t>Nexperia</t>
  </si>
  <si>
    <t>Born Semiconductor</t>
  </si>
  <si>
    <t>Everlight Elec</t>
  </si>
  <si>
    <t>TDK</t>
  </si>
  <si>
    <t>#NAME?</t>
  </si>
  <si>
    <t>Yageo</t>
  </si>
  <si>
    <t>ON Semiconductor</t>
  </si>
  <si>
    <t>CL05C330JB5NNNC</t>
  </si>
  <si>
    <t>CL05A105KP5NNNC</t>
  </si>
  <si>
    <t>BAT54S,235</t>
  </si>
  <si>
    <t>RCLAMP0521P-N</t>
  </si>
  <si>
    <t>19-217/S2C-AQ1R1B/3T</t>
  </si>
  <si>
    <t>MPZ1608S102ATA00</t>
  </si>
  <si>
    <t>RC0402FR-071KL</t>
  </si>
  <si>
    <t>NCP114BSN330T1G</t>
  </si>
  <si>
    <t>C1</t>
  </si>
  <si>
    <t>C2, C3</t>
  </si>
  <si>
    <t>D1</t>
  </si>
  <si>
    <t>D2, D3</t>
  </si>
  <si>
    <t>D6</t>
  </si>
  <si>
    <t>FB1</t>
  </si>
  <si>
    <t>R1</t>
  </si>
  <si>
    <t>R2</t>
  </si>
  <si>
    <t>U1</t>
  </si>
  <si>
    <t>Supplier 1</t>
  </si>
  <si>
    <t>Digi-Key</t>
  </si>
  <si>
    <t>LCSC</t>
  </si>
  <si>
    <t>1276-1272-1-ND</t>
  </si>
  <si>
    <t>1276-1076-1-ND</t>
  </si>
  <si>
    <t>1727-1868-1-ND</t>
  </si>
  <si>
    <t>C146215</t>
  </si>
  <si>
    <t>445-8694-1-ND</t>
  </si>
  <si>
    <t>311-220HRCT-ND</t>
  </si>
  <si>
    <t>311-1.00KLRDKR-ND</t>
  </si>
  <si>
    <t>NCP114BSN330T1GOSCT-ND</t>
  </si>
  <si>
    <t>Supplier Subtotal 1</t>
  </si>
  <si>
    <t>Supplier 2</t>
  </si>
  <si>
    <t>Newark</t>
  </si>
  <si>
    <t>Mouser</t>
  </si>
  <si>
    <t>Farnell</t>
  </si>
  <si>
    <t>82AC9259</t>
  </si>
  <si>
    <t>187-CL05A105KP5NNNC</t>
  </si>
  <si>
    <t>771-BAT54S235</t>
  </si>
  <si>
    <t>810-MPZ1608S102ATA00</t>
  </si>
  <si>
    <t>2421863</t>
  </si>
  <si>
    <t>603-RC0402FR-071KL</t>
  </si>
  <si>
    <t>863-NCP114BSN330T1G</t>
  </si>
  <si>
    <t>Supplier Subtotal 2</t>
  </si>
  <si>
    <t>Supplier 3</t>
  </si>
  <si>
    <t>Rs</t>
  </si>
  <si>
    <t>187-CL05C330JB5NNNC</t>
  </si>
  <si>
    <t>3013329</t>
  </si>
  <si>
    <t>1707990</t>
  </si>
  <si>
    <t>603-RC0603FR-07220RL</t>
  </si>
  <si>
    <t>2132441</t>
  </si>
  <si>
    <t>1263179</t>
  </si>
  <si>
    <t>Supplier Subtotal 3</t>
  </si>
  <si>
    <t>Supplier 4</t>
  </si>
  <si>
    <t>3013373RL</t>
  </si>
  <si>
    <t>1995497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</si>
</sst>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39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31</v>
      </c>
      <c r="B2" s="21" t="s">
        <v>7</v>
      </c>
      <c r="C2" s="21"/>
      <c r="D2" s="96" t="s">
        <v>32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33</v>
      </c>
      <c r="C3" s="5"/>
      <c r="D3" s="96" t="s">
        <v>34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28</v>
      </c>
      <c r="B4" s="98" t="s">
        <v>33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29</v>
      </c>
      <c r="B5" s="98" t="s">
        <v>35</v>
      </c>
      <c r="C5" s="98" t="s">
        <v>36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30</v>
      </c>
      <c r="B6" s="99" t="s">
        <v>37</v>
      </c>
      <c r="C6" s="99" t="s">
        <v>38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39</v>
      </c>
      <c r="C7" s="98" t="s">
        <v>40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45184</v>
      </c>
      <c r="C8" s="25">
        <f ca="1">NOW()</f>
        <v>45184.746466331017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41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42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43</v>
      </c>
      <c r="B13" s="50" t="s">
        <v>20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26</v>
      </c>
      <c r="K13" s="73" t="s">
        <v>27</v>
      </c>
      <c r="L13" s="52" t="s">
        <v>10</v>
      </c>
      <c r="M13" s="63" t="s">
        <v>78</v>
      </c>
      <c r="N13" s="50" t="s">
        <v>8</v>
      </c>
      <c r="O13" s="50" t="s">
        <v>22</v>
      </c>
      <c r="P13" s="50" t="s">
        <v>89</v>
      </c>
      <c r="Q13" s="64" t="s">
        <v>90</v>
      </c>
      <c r="R13" s="50" t="s">
        <v>9</v>
      </c>
      <c r="S13" s="50" t="s">
        <v>23</v>
      </c>
      <c r="T13" s="50" t="s">
        <v>101</v>
      </c>
      <c r="U13" s="64" t="s">
        <v>102</v>
      </c>
      <c r="V13" s="50" t="s">
        <v>17</v>
      </c>
      <c r="W13" s="50" t="s">
        <v>24</v>
      </c>
      <c r="X13" s="50" t="s">
        <v>110</v>
      </c>
      <c r="Y13" s="64" t="s">
        <v>111</v>
      </c>
      <c r="Z13" s="50" t="s">
        <v>18</v>
      </c>
      <c r="AA13" s="50" t="s">
        <v>25</v>
      </c>
      <c r="AB13" s="52" t="s">
        <v>19</v>
      </c>
    </row>
    <row r="14" spans="1:28" s="2" customFormat="1" ht="16.5" customHeight="1">
      <c r="A14" s="53" t="s">
        <v>44</v>
      </c>
      <c r="B14" s="17" t="s">
        <v>53</v>
      </c>
      <c r="C14" s="93" t="s">
        <v>61</v>
      </c>
      <c r="D14" s="42" t="s">
        <v>69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Farnell</v>
      </c>
      <c r="I14" s="82" t="str">
        <f>IF(INDEX($M14:$AB14,$K14-2)&lt;&gt;0, INDEX($M14:$AB14,$K14-2), "")</f>
        <v>3013373RL</v>
      </c>
      <c r="J14" s="83">
        <f>IF(INDEX($M14:$AB14,$K14-1)&lt;&gt;0, INDEX($M14:$AB14,$K14-1), "")</f>
        <v>0.002</v>
      </c>
      <c r="K14" s="82">
        <f>MATCH(MIN($P14,$T14,$X14,$AB14), $M14:$AB14,0)</f>
        <v>16</v>
      </c>
      <c r="L14" s="84">
        <f>IF(MIN($P14,$T14,$X14,$AB14)&lt;&gt;0,MIN($P14,$T14,$X14,$AB14),"")</f>
        <v>2</v>
      </c>
      <c r="M14" s="29" t="s">
        <v>79</v>
      </c>
      <c r="N14" s="17" t="s">
        <v>81</v>
      </c>
      <c r="O14" s="27">
        <v>0.00575</v>
      </c>
      <c r="P14" s="27">
        <v>5.75</v>
      </c>
      <c r="Q14" s="31" t="s">
        <v>91</v>
      </c>
      <c r="R14" s="17" t="s">
        <v>94</v>
      </c>
      <c r="S14" s="27">
        <v>0.006</v>
      </c>
      <c r="T14" s="27">
        <v>6</v>
      </c>
      <c r="U14" s="31" t="s">
        <v>92</v>
      </c>
      <c r="V14" s="17" t="s">
        <v>104</v>
      </c>
      <c r="W14" s="27">
        <v>0.00607</v>
      </c>
      <c r="X14" s="27">
        <v>6.07</v>
      </c>
      <c r="Y14" s="31" t="s">
        <v>93</v>
      </c>
      <c r="Z14" s="17" t="s">
        <v>112</v>
      </c>
      <c r="AA14" s="27">
        <v>0.002</v>
      </c>
      <c r="AB14" s="65">
        <v>2</v>
      </c>
    </row>
    <row r="15" spans="1:28" s="2" customFormat="1" ht="16.5" customHeight="1">
      <c r="A15" s="54" t="s">
        <v>45</v>
      </c>
      <c r="B15" s="11" t="s">
        <v>53</v>
      </c>
      <c r="C15" s="94" t="s">
        <v>62</v>
      </c>
      <c r="D15" s="43" t="s">
        <v>70</v>
      </c>
      <c r="E15" s="11">
        <v>2</v>
      </c>
      <c r="F15" s="76">
        <f t="shared" si="0" ref="F15:F22">E15*$B$10</f>
        <v>2000</v>
      </c>
      <c r="G15"/>
      <c r="H15" s="77" t="str">
        <f>IF(INDEX($M15:$AB15,$K15-3)&lt;&gt;0, INDEX($M15:$AB15,$K15-3), "")</f>
        <v>Mouser</v>
      </c>
      <c r="I15" s="78" t="str">
        <f>IF(INDEX($M15:$AB15,$K15-2)&lt;&gt;0, INDEX($M15:$AB15,$K15-2), "")</f>
        <v>187-CL05A105KP5NNNC</v>
      </c>
      <c r="J15" s="80">
        <f>IF(INDEX($M15:$AB15,$K15-1)&lt;&gt;0, INDEX($M15:$AB15,$K15-1), "")</f>
        <v>0.009</v>
      </c>
      <c r="K15" s="78">
        <f>MATCH(MIN($P15,$T15,$X15,$AB15), $M15:$AB15,0)</f>
        <v>8</v>
      </c>
      <c r="L15" s="79">
        <f>IF(MIN($P15,$T15,$X15,$AB15)&lt;&gt;0,MIN($P15,$T15,$X15,$AB15),"")</f>
        <v>18</v>
      </c>
      <c r="M15" s="30" t="s">
        <v>79</v>
      </c>
      <c r="N15" s="11" t="s">
        <v>82</v>
      </c>
      <c r="O15" s="28">
        <v>0.00903</v>
      </c>
      <c r="P15" s="28">
        <v>18.06</v>
      </c>
      <c r="Q15" s="32" t="s">
        <v>92</v>
      </c>
      <c r="R15" s="11" t="s">
        <v>95</v>
      </c>
      <c r="S15" s="28">
        <v>0.009</v>
      </c>
      <c r="T15" s="28">
        <v>18</v>
      </c>
      <c r="U15" s="32" t="s">
        <v>93</v>
      </c>
      <c r="V15" s="11" t="s">
        <v>105</v>
      </c>
      <c r="W15" s="28">
        <v>0.01092</v>
      </c>
      <c r="X15" s="28">
        <v>21.84</v>
      </c>
      <c r="Y15" s="32"/>
      <c r="Z15" s="11"/>
      <c r="AA15" s="28"/>
      <c r="AB15" s="66"/>
    </row>
    <row r="16" spans="1:28" s="2" customFormat="1" ht="16.5" customHeight="1">
      <c r="A16" s="53" t="s">
        <v>46</v>
      </c>
      <c r="B16" s="17" t="s">
        <v>54</v>
      </c>
      <c r="C16" s="93" t="s">
        <v>63</v>
      </c>
      <c r="D16" s="42" t="s">
        <v>71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Rs</v>
      </c>
      <c r="I16" s="82" t="str">
        <f>IF(INDEX($M16:$AB16,$K16-2)&lt;&gt;0, INDEX($M16:$AB16,$K16-2), "")</f>
        <v>1707990</v>
      </c>
      <c r="J16" s="83">
        <f>IF(INDEX($M16:$AB16,$K16-1)&lt;&gt;0, INDEX($M16:$AB16,$K16-1), "")</f>
        <v>0.035</v>
      </c>
      <c r="K16" s="82">
        <f>MATCH(MIN($P16,$T16,$X16,$AB16), $M16:$AB16,0)</f>
        <v>12</v>
      </c>
      <c r="L16" s="84">
        <f>IF(MIN($P16,$T16,$X16,$AB16)&lt;&gt;0,MIN($P16,$T16,$X16,$AB16),"")</f>
        <v>35</v>
      </c>
      <c r="M16" s="29" t="s">
        <v>79</v>
      </c>
      <c r="N16" s="17" t="s">
        <v>83</v>
      </c>
      <c r="O16" s="27"/>
      <c r="P16" s="27"/>
      <c r="Q16" s="31" t="s">
        <v>92</v>
      </c>
      <c r="R16" s="17" t="s">
        <v>96</v>
      </c>
      <c r="S16" s="27">
        <v>0.03969</v>
      </c>
      <c r="T16" s="27">
        <v>39.69</v>
      </c>
      <c r="U16" s="31" t="s">
        <v>103</v>
      </c>
      <c r="V16" s="17" t="s">
        <v>106</v>
      </c>
      <c r="W16" s="27">
        <v>0.035</v>
      </c>
      <c r="X16" s="27">
        <v>35</v>
      </c>
      <c r="Y16" s="31"/>
      <c r="Z16" s="17"/>
      <c r="AA16" s="27"/>
      <c r="AB16" s="65"/>
    </row>
    <row r="17" spans="1:28" s="2" customFormat="1" ht="16.5" customHeight="1">
      <c r="A17" s="54" t="s">
        <v>47</v>
      </c>
      <c r="B17" s="11" t="s">
        <v>55</v>
      </c>
      <c r="C17" s="94" t="s">
        <v>64</v>
      </c>
      <c r="D17" s="43" t="s">
        <v>72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48</v>
      </c>
      <c r="B18" s="17" t="s">
        <v>56</v>
      </c>
      <c r="C18" s="93" t="s">
        <v>65</v>
      </c>
      <c r="D18" s="42" t="s">
        <v>73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80</v>
      </c>
      <c r="N18" s="17" t="s">
        <v>84</v>
      </c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49</v>
      </c>
      <c r="B19" s="11" t="s">
        <v>57</v>
      </c>
      <c r="C19" s="94" t="s">
        <v>66</v>
      </c>
      <c r="D19" s="43" t="s">
        <v>74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445-8694-1-ND</v>
      </c>
      <c r="J19" s="80">
        <f>IF(INDEX($M19:$AB19,$K19-1)&lt;&gt;0, INDEX($M19:$AB19,$K19-1), "")</f>
        <v>0.025</v>
      </c>
      <c r="K19" s="78">
        <f>MATCH(MIN($P19,$T19,$X19,$AB19), $M19:$AB19,0)</f>
        <v>4</v>
      </c>
      <c r="L19" s="79">
        <f>IF(MIN($P19,$T19,$X19,$AB19)&lt;&gt;0,MIN($P19,$T19,$X19,$AB19),"")</f>
        <v>25</v>
      </c>
      <c r="M19" s="30" t="s">
        <v>79</v>
      </c>
      <c r="N19" s="11" t="s">
        <v>85</v>
      </c>
      <c r="O19" s="28">
        <v>0.025</v>
      </c>
      <c r="P19" s="28">
        <v>25</v>
      </c>
      <c r="Q19" s="32" t="s">
        <v>92</v>
      </c>
      <c r="R19" s="11" t="s">
        <v>97</v>
      </c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50</v>
      </c>
      <c r="B20" s="17" t="s">
        <v>58</v>
      </c>
      <c r="C20" s="93" t="s">
        <v>58</v>
      </c>
      <c r="D20" s="42" t="s">
        <v>75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Rs</v>
      </c>
      <c r="I20" s="82" t="str">
        <f>IF(INDEX($M20:$AB20,$K20-2)&lt;&gt;0, INDEX($M20:$AB20,$K20-2), "")</f>
        <v>1995497</v>
      </c>
      <c r="J20" s="83">
        <f>IF(INDEX($M20:$AB20,$K20-1)&lt;&gt;0, INDEX($M20:$AB20,$K20-1), "")</f>
        <v>0.005</v>
      </c>
      <c r="K20" s="82">
        <f>MATCH(MIN($P20,$T20,$X20,$AB20), $M20:$AB20,0)</f>
        <v>16</v>
      </c>
      <c r="L20" s="84">
        <f>IF(MIN($P20,$T20,$X20,$AB20)&lt;&gt;0,MIN($P20,$T20,$X20,$AB20),"")</f>
        <v>5</v>
      </c>
      <c r="M20" s="29" t="s">
        <v>79</v>
      </c>
      <c r="N20" s="17" t="s">
        <v>86</v>
      </c>
      <c r="O20" s="27">
        <v>0.00728</v>
      </c>
      <c r="P20" s="27">
        <v>7.28</v>
      </c>
      <c r="Q20" s="31" t="s">
        <v>93</v>
      </c>
      <c r="R20" s="17" t="s">
        <v>98</v>
      </c>
      <c r="S20" s="27"/>
      <c r="T20" s="27"/>
      <c r="U20" s="31" t="s">
        <v>92</v>
      </c>
      <c r="V20" s="17" t="s">
        <v>107</v>
      </c>
      <c r="W20" s="27">
        <v>0.00505</v>
      </c>
      <c r="X20" s="27">
        <v>5.05</v>
      </c>
      <c r="Y20" s="31" t="s">
        <v>103</v>
      </c>
      <c r="Z20" s="17" t="s">
        <v>113</v>
      </c>
      <c r="AA20" s="27">
        <v>0.005</v>
      </c>
      <c r="AB20" s="65">
        <v>5</v>
      </c>
    </row>
    <row r="21" spans="1:28" s="2" customFormat="1" ht="16.5" customHeight="1">
      <c r="A21" s="54" t="s">
        <v>51</v>
      </c>
      <c r="B21" s="11" t="s">
        <v>59</v>
      </c>
      <c r="C21" s="94" t="s">
        <v>67</v>
      </c>
      <c r="D21" s="43" t="s">
        <v>76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603-RC0402FR-071KL</v>
      </c>
      <c r="J21" s="80">
        <f>IF(INDEX($M21:$AB21,$K21-1)&lt;&gt;0, INDEX($M21:$AB21,$K21-1), "")</f>
        <v>0.004</v>
      </c>
      <c r="K21" s="78">
        <f>MATCH(MIN($P21,$T21,$X21,$AB21), $M21:$AB21,0)</f>
        <v>8</v>
      </c>
      <c r="L21" s="79">
        <f>IF(MIN($P21,$T21,$X21,$AB21)&lt;&gt;0,MIN($P21,$T21,$X21,$AB21),"")</f>
        <v>4</v>
      </c>
      <c r="M21" s="30" t="s">
        <v>79</v>
      </c>
      <c r="N21" s="11" t="s">
        <v>87</v>
      </c>
      <c r="O21" s="28"/>
      <c r="P21" s="28"/>
      <c r="Q21" s="32" t="s">
        <v>92</v>
      </c>
      <c r="R21" s="11" t="s">
        <v>99</v>
      </c>
      <c r="S21" s="28">
        <v>0.004</v>
      </c>
      <c r="T21" s="28">
        <v>4</v>
      </c>
      <c r="U21" s="32" t="s">
        <v>93</v>
      </c>
      <c r="V21" s="11" t="s">
        <v>108</v>
      </c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52</v>
      </c>
      <c r="B22" s="17" t="s">
        <v>60</v>
      </c>
      <c r="C22" s="93" t="s">
        <v>68</v>
      </c>
      <c r="D22" s="42" t="s">
        <v>77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Rs</v>
      </c>
      <c r="I22" s="82" t="str">
        <f>IF(INDEX($M22:$AB22,$K22-2)&lt;&gt;0, INDEX($M22:$AB22,$K22-2), "")</f>
        <v>1263179</v>
      </c>
      <c r="J22" s="83">
        <f>IF(INDEX($M22:$AB22,$K22-1)&lt;&gt;0, INDEX($M22:$AB22,$K22-1), "")</f>
        <v>0.09199</v>
      </c>
      <c r="K22" s="82">
        <f>MATCH(MIN($P22,$T22,$X22,$AB22), $M22:$AB22,0)</f>
        <v>12</v>
      </c>
      <c r="L22" s="84">
        <f>IF(MIN($P22,$T22,$X22,$AB22)&lt;&gt;0,MIN($P22,$T22,$X22,$AB22),"")</f>
        <v>91.99</v>
      </c>
      <c r="M22" s="29" t="s">
        <v>79</v>
      </c>
      <c r="N22" s="17" t="s">
        <v>88</v>
      </c>
      <c r="O22" s="27">
        <v>0.24143</v>
      </c>
      <c r="P22" s="27">
        <v>241.43</v>
      </c>
      <c r="Q22" s="31" t="s">
        <v>92</v>
      </c>
      <c r="R22" s="17" t="s">
        <v>100</v>
      </c>
      <c r="S22" s="27">
        <v>0.092</v>
      </c>
      <c r="T22" s="27">
        <v>92</v>
      </c>
      <c r="U22" s="31" t="s">
        <v>103</v>
      </c>
      <c r="V22" s="17" t="s">
        <v>109</v>
      </c>
      <c r="W22" s="27">
        <v>0.09199</v>
      </c>
      <c r="X22" s="27">
        <v>91.99</v>
      </c>
      <c r="Y22" s="31"/>
      <c r="Z22" s="17"/>
      <c r="AA22" s="27"/>
      <c r="AB22" s="65"/>
    </row>
    <row r="23" spans="1:28" ht="14.25">
      <c r="A23" s="56" t="s">
        <v>21</v>
      </c>
      <c r="B23" s="39">
        <f>ROW(A22)-ROW(A$13)</f>
        <v>9</v>
      </c>
      <c r="C23" s="34"/>
      <c r="D23" s="36" t="s">
        <v>13</v>
      </c>
      <c r="E23" s="37">
        <f>SUM(E14:E22)</f>
        <v>11</v>
      </c>
      <c r="F23" s="57">
        <f>SUM(F14:F22)</f>
        <v>11000</v>
      </c>
      <c r="H23" s="35"/>
      <c r="I23" s="40" t="s">
        <v>13</v>
      </c>
      <c r="J23" s="41"/>
      <c r="K23" s="41"/>
      <c r="L23" s="85">
        <f>SUM(L14:L22)</f>
        <v>180.99</v>
      </c>
      <c r="M23" s="35"/>
      <c r="N23" s="34"/>
      <c r="O23" s="34"/>
      <c r="P23" s="86"/>
      <c r="Q23" s="34"/>
      <c r="R23" s="34"/>
      <c r="S23" s="34"/>
      <c r="T23" s="86"/>
      <c r="U23" s="34"/>
      <c r="V23" s="34"/>
      <c r="W23" s="34"/>
      <c r="X23" s="86"/>
      <c r="Y23" s="34"/>
      <c r="Z23" s="34"/>
      <c r="AA23" s="34"/>
      <c r="AB23" s="85"/>
    </row>
    <row r="24" spans="1:28" ht="15" thickBot="1">
      <c r="A24" s="58"/>
      <c r="B24" s="59"/>
      <c r="C24" s="59"/>
      <c r="D24" s="59"/>
      <c r="E24" s="59"/>
      <c r="F24" s="60"/>
      <c r="H24" s="58"/>
      <c r="I24" s="68" t="s">
        <v>14</v>
      </c>
      <c r="J24" s="74"/>
      <c r="K24" s="69"/>
      <c r="L24" s="70">
        <f>L23/$B$10</f>
        <v>0.18099</v>
      </c>
      <c r="M24" s="58"/>
      <c r="N24" s="59"/>
      <c r="O24" s="59"/>
      <c r="P24" s="87"/>
      <c r="Q24" s="59"/>
      <c r="R24" s="59"/>
      <c r="S24" s="59"/>
      <c r="T24" s="87"/>
      <c r="U24" s="59"/>
      <c r="V24" s="59"/>
      <c r="W24" s="59"/>
      <c r="X24" s="87"/>
      <c r="Y24" s="59"/>
      <c r="Z24" s="59"/>
      <c r="AA24" s="59"/>
      <c r="AB24" s="88"/>
    </row>
    <row r="25" spans="1:28" ht="6" customHeight="1" thickTop="1">
      <c r="A25" s="45"/>
      <c r="B25" s="46"/>
      <c r="C25" s="46"/>
      <c r="D25" s="47"/>
      <c r="E25" s="48"/>
      <c r="F25" s="47"/>
      <c r="H25" s="47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  <row r="27" spans="14:19">
      <c r="N27" s="2"/>
      <c r="O27" s="2"/>
      <c r="Q27" s="2"/>
      <c r="R27" s="2"/>
      <c r="S27" s="2"/>
    </row>
    <row r="28" spans="11:11">
      <c r="K28" s="1">
        <f>MIN($P27,$T27,$X27,$AB27)</f>
        <v>0</v>
      </c>
    </row>
    <row r="39" spans="1:2">
      <c r="A39" s="1"/>
      <c r="B39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