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<sst xmlns="http://schemas.openxmlformats.org/spreadsheetml/2006/main" uniqueCount="110">
  <si>
    <t>Creation Date:</t>
  </si>
  <si>
    <t>Print Date:</t>
  </si>
  <si>
    <t>Source Data From:</t>
  </si>
  <si>
    <t>Designator</t>
  </si>
  <si>
    <t>Supplier Subtotal 1</t>
  </si>
  <si>
    <t>Currency</t>
  </si>
  <si>
    <t>Best Supplier</t>
  </si>
  <si>
    <t>Best Supplier PN</t>
  </si>
  <si>
    <t>Microsoft Research</t>
  </si>
  <si>
    <t>Supplier Part Number 1</t>
  </si>
  <si>
    <t>Supplier 2</t>
  </si>
  <si>
    <t>Supplier Part Number 2</t>
  </si>
  <si>
    <t>Supplier Subtotal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</si>
  <si>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</si>
  <si>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</si>
  <si>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</si>
  <si>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</si>
  <si>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</si>
  <si>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</si>
  <si>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</si>
  <si>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3</t>
  </si>
  <si>
    <t>Supplier Part Number 3</t>
  </si>
  <si>
    <t>Supplier Subtotal 3</t>
  </si>
  <si>
    <t>#Column Name Error:' Supplier 4</t>
  </si>
  <si>
    <t>#Column Name Error:' Supplier Part Number 4</t>
  </si>
  <si>
    <t>#Column Name Error:' Supplier Subtotal 4</t>
  </si>
  <si>
    <t>Manufacturer</t>
  </si>
  <si>
    <t>number of line items</t>
  </si>
  <si>
    <t>Supplier Unit Price 1</t>
  </si>
  <si>
    <t>Supplier Unit Price 2</t>
  </si>
  <si>
    <t>Supplier Unit Price 3</t>
  </si>
  <si>
    <t>#Column Name Error:' 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</si>
  <si>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</si>
  <si>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</si>
  <si>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</si>
  <si>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</si>
  <si>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</si>
  <si>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</si>
  <si>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bus breakout for module prototyping</t>
  </si>
  <si>
    <t>JacdacPinHeaders 45.PrjPCB</t>
  </si>
  <si>
    <t>Bill of Materials for Project [JacdacPinHeaders 45.PrjPCB] (No PCB Document Selected)</t>
  </si>
  <si>
    <t>JacdacPinHeader</t>
  </si>
  <si>
    <t>45</t>
  </si>
  <si>
    <t>None</t>
  </si>
  <si>
    <t>0.3</t>
  </si>
  <si>
    <t>10/01/2022</t>
  </si>
  <si>
    <t>18:18</t>
  </si>
  <si>
    <t>1000</t>
  </si>
  <si>
    <t>USD</t>
  </si>
  <si>
    <t>Description</t>
  </si>
  <si>
    <t>CAP CER 1UF 10V X5R 0402</t>
  </si>
  <si>
    <t>CAP CER 33PF 50V NP0 0402</t>
  </si>
  <si>
    <t>ROHM - RB161MM-20TR - Schottky-Gleichrichterdiode, 20 V, 1 A, Einfach, SOD-123FL, 2 Pin(s), 350 mV</t>
  </si>
  <si>
    <t>DIODE ARRAY SCHOTTKY 30V SOT23</t>
  </si>
  <si>
    <t>Bidirectional 5V (Max) 6V 16V 3.5A (8/20us) 0402 TVS RoHS</t>
  </si>
  <si>
    <t>0603 1k@100MHz 0.8A chip</t>
  </si>
  <si>
    <t>2.54mm, 4x1 way, vertical, square pin, gold plate</t>
  </si>
  <si>
    <t>RES SMD 220 OHM 1% 1/16W 0402</t>
  </si>
  <si>
    <t>6V 260mV @ 200mA(typ) - - Fixed 3.3V SOT-23-5 Linear Voltage Regulators (LDO) ROHS</t>
  </si>
  <si>
    <t>Samsung</t>
  </si>
  <si>
    <t>Rohm</t>
  </si>
  <si>
    <t>Nexperia</t>
  </si>
  <si>
    <t>Born Semiconductor</t>
  </si>
  <si>
    <t>TDK</t>
  </si>
  <si>
    <t>Multicomp</t>
  </si>
  <si>
    <t>Yageo</t>
  </si>
  <si>
    <t>MICRONE(Nanjing Micro One Elec)</t>
  </si>
  <si>
    <t>CL05A105KP5NNNC</t>
  </si>
  <si>
    <t>CL05C330JB51PNC</t>
  </si>
  <si>
    <t>RB161MM-20TR</t>
  </si>
  <si>
    <t>BAT54S,235</t>
  </si>
  <si>
    <t>RCLAMP0521P-N</t>
  </si>
  <si>
    <t>MPZ1608S102ATA00</t>
  </si>
  <si>
    <t>2211S-04G</t>
  </si>
  <si>
    <t>RC0402FR-07220RL</t>
  </si>
  <si>
    <t>ME6211C33M5G-N</t>
  </si>
  <si>
    <t>C1, C2</t>
  </si>
  <si>
    <t>C3</t>
  </si>
  <si>
    <t>D1</t>
  </si>
  <si>
    <t>D2</t>
  </si>
  <si>
    <t>D3, D4</t>
  </si>
  <si>
    <t>FB1</t>
  </si>
  <si>
    <t>J2</t>
  </si>
  <si>
    <t>R1</t>
  </si>
  <si>
    <t>U1</t>
  </si>
  <si>
    <t>Supplier 1</t>
  </si>
  <si>
    <t>Digi-Key</t>
  </si>
  <si>
    <t>Farnell</t>
  </si>
  <si>
    <t>LCSC</t>
  </si>
  <si>
    <t>1276-1076-1-ND</t>
  </si>
  <si>
    <t>1276-6515-1-ND</t>
  </si>
  <si>
    <t>RB161MM-20TR-ND</t>
  </si>
  <si>
    <t>1727-1868-1-ND</t>
  </si>
  <si>
    <t>445-8694-1-ND</t>
  </si>
  <si>
    <t>1593413</t>
  </si>
  <si>
    <t>311-220LRCT-ND</t>
  </si>
  <si>
    <t>Mouser</t>
  </si>
  <si>
    <t>RSComponents</t>
  </si>
  <si>
    <t>187-CL05A105KP5NNNC</t>
  </si>
  <si>
    <t>187-CL05C330JB51PNC</t>
  </si>
  <si>
    <t>1246775</t>
  </si>
  <si>
    <t>771-BAT54S235</t>
  </si>
  <si>
    <t>810-MPZ1608S102ATA00</t>
  </si>
  <si>
    <t>603-RC0402FR-07220RL</t>
  </si>
  <si>
    <t>Future Electronics</t>
  </si>
  <si>
    <t>3013329</t>
  </si>
  <si>
    <t>6022520</t>
  </si>
  <si>
    <t>755-RB161MM-20TR</t>
  </si>
  <si>
    <t>1707990</t>
  </si>
  <si>
    <t>2147864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</si>
</sst>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39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37</v>
      </c>
      <c r="B2" s="21" t="s">
        <v>8</v>
      </c>
      <c r="C2" s="21"/>
      <c r="D2" s="96" t="s">
        <v>38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39</v>
      </c>
      <c r="C3" s="5"/>
      <c r="D3" s="96" t="s">
        <v>40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34</v>
      </c>
      <c r="B4" s="98" t="s">
        <v>39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35</v>
      </c>
      <c r="B5" s="98" t="s">
        <v>41</v>
      </c>
      <c r="C5" s="98" t="s">
        <v>42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36</v>
      </c>
      <c r="B6" s="99" t="s">
        <v>43</v>
      </c>
      <c r="C6" s="99" t="s">
        <v>44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45</v>
      </c>
      <c r="C7" s="98" t="s">
        <v>46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44571</v>
      </c>
      <c r="C8" s="25">
        <f ca="1">NOW()</f>
        <v>44571.763009710645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18</v>
      </c>
      <c r="B10" s="100" t="s">
        <v>47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5</v>
      </c>
      <c r="B11" s="100" t="s">
        <v>48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49</v>
      </c>
      <c r="B13" s="50" t="s">
        <v>26</v>
      </c>
      <c r="C13" s="50" t="s">
        <v>19</v>
      </c>
      <c r="D13" s="50" t="s">
        <v>3</v>
      </c>
      <c r="E13" s="51" t="s">
        <v>15</v>
      </c>
      <c r="F13" s="52" t="s">
        <v>14</v>
      </c>
      <c r="G13"/>
      <c r="H13" s="63" t="s">
        <v>6</v>
      </c>
      <c r="I13" s="50" t="s">
        <v>7</v>
      </c>
      <c r="J13" s="50" t="s">
        <v>32</v>
      </c>
      <c r="K13" s="73" t="s">
        <v>33</v>
      </c>
      <c r="L13" s="52" t="s">
        <v>13</v>
      </c>
      <c r="M13" s="63" t="s">
        <v>85</v>
      </c>
      <c r="N13" s="50" t="s">
        <v>9</v>
      </c>
      <c r="O13" s="50" t="s">
        <v>28</v>
      </c>
      <c r="P13" s="50" t="s">
        <v>4</v>
      </c>
      <c r="Q13" s="64" t="s">
        <v>10</v>
      </c>
      <c r="R13" s="50" t="s">
        <v>11</v>
      </c>
      <c r="S13" s="50" t="s">
        <v>29</v>
      </c>
      <c r="T13" s="50" t="s">
        <v>12</v>
      </c>
      <c r="U13" s="64" t="s">
        <v>20</v>
      </c>
      <c r="V13" s="50" t="s">
        <v>21</v>
      </c>
      <c r="W13" s="50" t="s">
        <v>30</v>
      </c>
      <c r="X13" s="50" t="s">
        <v>22</v>
      </c>
      <c r="Y13" s="64" t="s">
        <v>23</v>
      </c>
      <c r="Z13" s="50" t="s">
        <v>24</v>
      </c>
      <c r="AA13" s="50" t="s">
        <v>31</v>
      </c>
      <c r="AB13" s="52" t="s">
        <v>25</v>
      </c>
    </row>
    <row r="14" spans="1:28" s="2" customFormat="1" ht="16.5" customHeight="1">
      <c r="A14" s="53" t="s">
        <v>50</v>
      </c>
      <c r="B14" s="17" t="s">
        <v>59</v>
      </c>
      <c r="C14" s="93" t="s">
        <v>67</v>
      </c>
      <c r="D14" s="42" t="s">
        <v>76</v>
      </c>
      <c r="E14" s="17">
        <v>2</v>
      </c>
      <c r="F14" s="75">
        <f>E14*$B$10</f>
        <v>2000</v>
      </c>
      <c r="G14"/>
      <c r="H14" s="81" t="str">
        <f>IF(INDEX($M14:$AB14,$K14-3)&lt;&gt;0, INDEX($M14:$AB14,$K14-3), "")</f>
        <v>Digi-Key</v>
      </c>
      <c r="I14" s="82" t="str">
        <f>IF(INDEX($M14:$AB14,$K14-2)&lt;&gt;0, INDEX($M14:$AB14,$K14-2), "")</f>
        <v>1276-1076-1-ND</v>
      </c>
      <c r="J14" s="83">
        <f>IF(INDEX($M14:$AB14,$K14-1)&lt;&gt;0, INDEX($M14:$AB14,$K14-1), "")</f>
        <v>0.00983</v>
      </c>
      <c r="K14" s="82">
        <f>MATCH(MIN($P14,$T14,$X14,$AB14), $M14:$AB14,0)</f>
        <v>4</v>
      </c>
      <c r="L14" s="84">
        <f>IF(MIN($P14,$T14,$X14,$AB14)&lt;&gt;0,MIN($P14,$T14,$X14,$AB14),"")</f>
        <v>19.66</v>
      </c>
      <c r="M14" s="29" t="s">
        <v>86</v>
      </c>
      <c r="N14" s="17" t="s">
        <v>89</v>
      </c>
      <c r="O14" s="27">
        <v>0.00983</v>
      </c>
      <c r="P14" s="27">
        <v>19.66</v>
      </c>
      <c r="Q14" s="31" t="s">
        <v>96</v>
      </c>
      <c r="R14" s="17" t="s">
        <v>98</v>
      </c>
      <c r="S14" s="27">
        <v>0.01</v>
      </c>
      <c r="T14" s="27">
        <v>20</v>
      </c>
      <c r="U14" s="31" t="s">
        <v>87</v>
      </c>
      <c r="V14" s="17" t="s">
        <v>105</v>
      </c>
      <c r="W14" s="27">
        <v>0.01223</v>
      </c>
      <c r="X14" s="27">
        <v>24.46</v>
      </c>
      <c r="Y14" s="31"/>
      <c r="Z14" s="17"/>
      <c r="AA14" s="27"/>
      <c r="AB14" s="65"/>
    </row>
    <row r="15" spans="1:28" s="2" customFormat="1" ht="16.5" customHeight="1">
      <c r="A15" s="54" t="s">
        <v>51</v>
      </c>
      <c r="B15" s="11" t="s">
        <v>59</v>
      </c>
      <c r="C15" s="94" t="s">
        <v>68</v>
      </c>
      <c r="D15" s="43" t="s">
        <v>77</v>
      </c>
      <c r="E15" s="11">
        <v>1</v>
      </c>
      <c r="F15" s="76">
        <f t="shared" si="0" ref="F15:F22">E15*$B$10</f>
        <v>1000</v>
      </c>
      <c r="G15"/>
      <c r="H15" s="77" t="str">
        <f>IF(INDEX($M15:$AB15,$K15-3)&lt;&gt;0, INDEX($M15:$AB15,$K15-3), "")</f>
        <v>Digi-Key</v>
      </c>
      <c r="I15" s="78" t="str">
        <f>IF(INDEX($M15:$AB15,$K15-2)&lt;&gt;0, INDEX($M15:$AB15,$K15-2), "")</f>
        <v>1276-6515-1-ND</v>
      </c>
      <c r="J15" s="80">
        <f>IF(INDEX($M15:$AB15,$K15-1)&lt;&gt;0, INDEX($M15:$AB15,$K15-1), "")</f>
        <v>0.01122</v>
      </c>
      <c r="K15" s="78">
        <f>MATCH(MIN($P15,$T15,$X15,$AB15), $M15:$AB15,0)</f>
        <v>4</v>
      </c>
      <c r="L15" s="79">
        <f>IF(MIN($P15,$T15,$X15,$AB15)&lt;&gt;0,MIN($P15,$T15,$X15,$AB15),"")</f>
        <v>11.22</v>
      </c>
      <c r="M15" s="30" t="s">
        <v>86</v>
      </c>
      <c r="N15" s="11" t="s">
        <v>90</v>
      </c>
      <c r="O15" s="28">
        <v>0.01122</v>
      </c>
      <c r="P15" s="28">
        <v>11.22</v>
      </c>
      <c r="Q15" s="32" t="s">
        <v>96</v>
      </c>
      <c r="R15" s="11" t="s">
        <v>99</v>
      </c>
      <c r="S15" s="28">
        <v>0.013</v>
      </c>
      <c r="T15" s="28">
        <v>13</v>
      </c>
      <c r="U15" s="32" t="s">
        <v>104</v>
      </c>
      <c r="V15" s="11" t="s">
        <v>106</v>
      </c>
      <c r="W15" s="28"/>
      <c r="X15" s="28"/>
      <c r="Y15" s="32"/>
      <c r="Z15" s="11"/>
      <c r="AA15" s="28"/>
      <c r="AB15" s="66"/>
    </row>
    <row r="16" spans="1:28" s="2" customFormat="1" ht="16.5" customHeight="1">
      <c r="A16" s="53" t="s">
        <v>52</v>
      </c>
      <c r="B16" s="17" t="s">
        <v>60</v>
      </c>
      <c r="C16" s="93" t="s">
        <v>69</v>
      </c>
      <c r="D16" s="42" t="s">
        <v>78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RSComponents</v>
      </c>
      <c r="I16" s="82" t="str">
        <f>IF(INDEX($M16:$AB16,$K16-2)&lt;&gt;0, INDEX($M16:$AB16,$K16-2), "")</f>
        <v>1246775</v>
      </c>
      <c r="J16" s="83">
        <f>IF(INDEX($M16:$AB16,$K16-1)&lt;&gt;0, INDEX($M16:$AB16,$K16-1), "")</f>
        <v>0.11</v>
      </c>
      <c r="K16" s="82">
        <f>MATCH(MIN($P16,$T16,$X16,$AB16), $M16:$AB16,0)</f>
        <v>8</v>
      </c>
      <c r="L16" s="84">
        <f>IF(MIN($P16,$T16,$X16,$AB16)&lt;&gt;0,MIN($P16,$T16,$X16,$AB16),"")</f>
        <v>110</v>
      </c>
      <c r="M16" s="29" t="s">
        <v>86</v>
      </c>
      <c r="N16" s="17" t="s">
        <v>91</v>
      </c>
      <c r="O16" s="27">
        <v>0.169</v>
      </c>
      <c r="P16" s="27">
        <v>169</v>
      </c>
      <c r="Q16" s="31" t="s">
        <v>97</v>
      </c>
      <c r="R16" s="17" t="s">
        <v>100</v>
      </c>
      <c r="S16" s="27">
        <v>0.11</v>
      </c>
      <c r="T16" s="27">
        <v>110</v>
      </c>
      <c r="U16" s="31" t="s">
        <v>96</v>
      </c>
      <c r="V16" s="17" t="s">
        <v>107</v>
      </c>
      <c r="W16" s="27"/>
      <c r="X16" s="27"/>
      <c r="Y16" s="31"/>
      <c r="Z16" s="17"/>
      <c r="AA16" s="27"/>
      <c r="AB16" s="65"/>
    </row>
    <row r="17" spans="1:28" s="2" customFormat="1" ht="16.5" customHeight="1">
      <c r="A17" s="54" t="s">
        <v>53</v>
      </c>
      <c r="B17" s="11" t="s">
        <v>61</v>
      </c>
      <c r="C17" s="94" t="s">
        <v>70</v>
      </c>
      <c r="D17" s="43" t="s">
        <v>79</v>
      </c>
      <c r="E17" s="11">
        <v>1</v>
      </c>
      <c r="F17" s="76">
        <f>E17*$B$10</f>
        <v>1000</v>
      </c>
      <c r="G17"/>
      <c r="H17" s="77" t="str">
        <f>IF(INDEX($M17:$AB17,$K17-3)&lt;&gt;0, INDEX($M17:$AB17,$K17-3), "")</f>
        <v>Mouser</v>
      </c>
      <c r="I17" s="78" t="str">
        <f>IF(INDEX($M17:$AB17,$K17-2)&lt;&gt;0, INDEX($M17:$AB17,$K17-2), "")</f>
        <v>771-BAT54S235</v>
      </c>
      <c r="J17" s="80">
        <f>IF(INDEX($M17:$AB17,$K17-1)&lt;&gt;0, INDEX($M17:$AB17,$K17-1), "")</f>
        <v>0.03762</v>
      </c>
      <c r="K17" s="78">
        <f>MATCH(MIN($P17,$T17,$X17,$AB17), $M17:$AB17,0)</f>
        <v>8</v>
      </c>
      <c r="L17" s="79">
        <f>IF(MIN($P17,$T17,$X17,$AB17)&lt;&gt;0,MIN($P17,$T17,$X17,$AB17),"")</f>
        <v>37.62</v>
      </c>
      <c r="M17" s="30" t="s">
        <v>86</v>
      </c>
      <c r="N17" s="11" t="s">
        <v>92</v>
      </c>
      <c r="O17" s="28"/>
      <c r="P17" s="28"/>
      <c r="Q17" s="32" t="s">
        <v>96</v>
      </c>
      <c r="R17" s="11" t="s">
        <v>101</v>
      </c>
      <c r="S17" s="28">
        <v>0.03762</v>
      </c>
      <c r="T17" s="28">
        <v>37.62</v>
      </c>
      <c r="U17" s="32" t="s">
        <v>97</v>
      </c>
      <c r="V17" s="11" t="s">
        <v>108</v>
      </c>
      <c r="W17" s="28">
        <v>0.038</v>
      </c>
      <c r="X17" s="28">
        <v>38</v>
      </c>
      <c r="Y17" s="32"/>
      <c r="Z17" s="11"/>
      <c r="AA17" s="28"/>
      <c r="AB17" s="66"/>
    </row>
    <row r="18" spans="1:28" s="2" customFormat="1" ht="16.5" customHeight="1">
      <c r="A18" s="53" t="s">
        <v>54</v>
      </c>
      <c r="B18" s="17" t="s">
        <v>62</v>
      </c>
      <c r="C18" s="93" t="s">
        <v>71</v>
      </c>
      <c r="D18" s="42" t="s">
        <v>80</v>
      </c>
      <c r="E18" s="17">
        <v>2</v>
      </c>
      <c r="F18" s="75">
        <f>E18*$B$10</f>
        <v>2000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/>
      <c r="N18" s="17"/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55</v>
      </c>
      <c r="B19" s="11" t="s">
        <v>63</v>
      </c>
      <c r="C19" s="94" t="s">
        <v>72</v>
      </c>
      <c r="D19" s="43" t="s">
        <v>81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Digi-Key</v>
      </c>
      <c r="I19" s="78" t="str">
        <f>IF(INDEX($M19:$AB19,$K19-2)&lt;&gt;0, INDEX($M19:$AB19,$K19-2), "")</f>
        <v>445-8694-1-ND</v>
      </c>
      <c r="J19" s="80">
        <f>IF(INDEX($M19:$AB19,$K19-1)&lt;&gt;0, INDEX($M19:$AB19,$K19-1), "")</f>
        <v>0.02717</v>
      </c>
      <c r="K19" s="78">
        <f>MATCH(MIN($P19,$T19,$X19,$AB19), $M19:$AB19,0)</f>
        <v>4</v>
      </c>
      <c r="L19" s="79">
        <f>IF(MIN($P19,$T19,$X19,$AB19)&lt;&gt;0,MIN($P19,$T19,$X19,$AB19),"")</f>
        <v>27.17</v>
      </c>
      <c r="M19" s="30" t="s">
        <v>86</v>
      </c>
      <c r="N19" s="11" t="s">
        <v>93</v>
      </c>
      <c r="O19" s="28">
        <v>0.02717</v>
      </c>
      <c r="P19" s="28">
        <v>27.17</v>
      </c>
      <c r="Q19" s="32" t="s">
        <v>96</v>
      </c>
      <c r="R19" s="11" t="s">
        <v>102</v>
      </c>
      <c r="S19" s="28">
        <v>0.028</v>
      </c>
      <c r="T19" s="28">
        <v>28</v>
      </c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56</v>
      </c>
      <c r="B20" s="17" t="s">
        <v>64</v>
      </c>
      <c r="C20" s="93" t="s">
        <v>73</v>
      </c>
      <c r="D20" s="42" t="s">
        <v>82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Farnell</v>
      </c>
      <c r="I20" s="82" t="str">
        <f>IF(INDEX($M20:$AB20,$K20-2)&lt;&gt;0, INDEX($M20:$AB20,$K20-2), "")</f>
        <v>1593413</v>
      </c>
      <c r="J20" s="83">
        <f>IF(INDEX($M20:$AB20,$K20-1)&lt;&gt;0, INDEX($M20:$AB20,$K20-1), "")</f>
        <v>0.02365</v>
      </c>
      <c r="K20" s="82">
        <f>MATCH(MIN($P20,$T20,$X20,$AB20), $M20:$AB20,0)</f>
        <v>4</v>
      </c>
      <c r="L20" s="84">
        <f>IF(MIN($P20,$T20,$X20,$AB20)&lt;&gt;0,MIN($P20,$T20,$X20,$AB20),"")</f>
        <v>23.65</v>
      </c>
      <c r="M20" s="29" t="s">
        <v>87</v>
      </c>
      <c r="N20" s="17" t="s">
        <v>94</v>
      </c>
      <c r="O20" s="27">
        <v>0.02365</v>
      </c>
      <c r="P20" s="27">
        <v>23.65</v>
      </c>
      <c r="Q20" s="31"/>
      <c r="R20" s="17"/>
      <c r="S20" s="27"/>
      <c r="T20" s="27"/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57</v>
      </c>
      <c r="B21" s="11" t="s">
        <v>65</v>
      </c>
      <c r="C21" s="94" t="s">
        <v>74</v>
      </c>
      <c r="D21" s="43" t="s">
        <v>83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Mouser</v>
      </c>
      <c r="I21" s="78" t="str">
        <f>IF(INDEX($M21:$AB21,$K21-2)&lt;&gt;0, INDEX($M21:$AB21,$K21-2), "")</f>
        <v>603-RC0402FR-07220RL</v>
      </c>
      <c r="J21" s="80">
        <f>IF(INDEX($M21:$AB21,$K21-1)&lt;&gt;0, INDEX($M21:$AB21,$K21-1), "")</f>
        <v>0.00299</v>
      </c>
      <c r="K21" s="78">
        <f>MATCH(MIN($P21,$T21,$X21,$AB21), $M21:$AB21,0)</f>
        <v>8</v>
      </c>
      <c r="L21" s="79">
        <f>IF(MIN($P21,$T21,$X21,$AB21)&lt;&gt;0,MIN($P21,$T21,$X21,$AB21),"")</f>
        <v>2.99</v>
      </c>
      <c r="M21" s="30" t="s">
        <v>86</v>
      </c>
      <c r="N21" s="11" t="s">
        <v>95</v>
      </c>
      <c r="O21" s="28"/>
      <c r="P21" s="28"/>
      <c r="Q21" s="32" t="s">
        <v>96</v>
      </c>
      <c r="R21" s="11" t="s">
        <v>103</v>
      </c>
      <c r="S21" s="28">
        <v>0.00299</v>
      </c>
      <c r="T21" s="28">
        <v>2.99</v>
      </c>
      <c r="U21" s="32" t="s">
        <v>87</v>
      </c>
      <c r="V21" s="11" t="s">
        <v>109</v>
      </c>
      <c r="W21" s="28">
        <v>0.003</v>
      </c>
      <c r="X21" s="28">
        <v>3</v>
      </c>
      <c r="Y21" s="32"/>
      <c r="Z21" s="11"/>
      <c r="AA21" s="28"/>
      <c r="AB21" s="66"/>
    </row>
    <row r="22" spans="1:28" s="2" customFormat="1" ht="16.5" customHeight="1">
      <c r="A22" s="53" t="s">
        <v>58</v>
      </c>
      <c r="B22" s="17" t="s">
        <v>66</v>
      </c>
      <c r="C22" s="93" t="s">
        <v>75</v>
      </c>
      <c r="D22" s="42" t="s">
        <v>84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#N/A</v>
      </c>
      <c r="I22" s="82" t="str">
        <f>IF(INDEX($M22:$AB22,$K22-2)&lt;&gt;0, INDEX($M22:$AB22,$K22-2), "")</f>
        <v>#N/A</v>
      </c>
      <c r="J22" s="83" t="str">
        <f>IF(INDEX($M22:$AB22,$K22-1)&lt;&gt;0, INDEX($M22:$AB22,$K22-1), "")</f>
        <v>#N/A</v>
      </c>
      <c r="K22" s="82" t="str">
        <f>MATCH(MIN($P22,$T22,$X22,$AB22), $M22:$AB22,0)</f>
        <v>#N/A</v>
      </c>
      <c r="L22" s="84" t="str">
        <f>IF(MIN($P22,$T22,$X22,$AB22)&lt;&gt;0,MIN($P22,$T22,$X22,$AB22),"")</f>
        <v/>
      </c>
      <c r="M22" s="29" t="s">
        <v>88</v>
      </c>
      <c r="N22" s="17"/>
      <c r="O22" s="27"/>
      <c r="P22" s="27"/>
      <c r="Q22" s="31"/>
      <c r="R22" s="17"/>
      <c r="S22" s="27"/>
      <c r="T22" s="27"/>
      <c r="U22" s="31"/>
      <c r="V22" s="17"/>
      <c r="W22" s="27"/>
      <c r="X22" s="27"/>
      <c r="Y22" s="31"/>
      <c r="Z22" s="17"/>
      <c r="AA22" s="27"/>
      <c r="AB22" s="65"/>
    </row>
    <row r="23" spans="1:28" ht="14.25">
      <c r="A23" s="56" t="s">
        <v>27</v>
      </c>
      <c r="B23" s="39">
        <f>ROW(A22)-ROW(A$13)</f>
        <v>9</v>
      </c>
      <c r="C23" s="34"/>
      <c r="D23" s="36" t="s">
        <v>16</v>
      </c>
      <c r="E23" s="37">
        <f>SUM(E14:E22)</f>
        <v>11</v>
      </c>
      <c r="F23" s="57">
        <f>SUM(F14:F22)</f>
        <v>11000</v>
      </c>
      <c r="H23" s="35"/>
      <c r="I23" s="40" t="s">
        <v>16</v>
      </c>
      <c r="J23" s="41"/>
      <c r="K23" s="41"/>
      <c r="L23" s="85">
        <f>SUM(L14:L22)</f>
        <v>232.31000000000003</v>
      </c>
      <c r="M23" s="35"/>
      <c r="N23" s="34"/>
      <c r="O23" s="34"/>
      <c r="P23" s="86"/>
      <c r="Q23" s="34"/>
      <c r="R23" s="34"/>
      <c r="S23" s="34"/>
      <c r="T23" s="86"/>
      <c r="U23" s="34"/>
      <c r="V23" s="34"/>
      <c r="W23" s="34"/>
      <c r="X23" s="86"/>
      <c r="Y23" s="34"/>
      <c r="Z23" s="34"/>
      <c r="AA23" s="34"/>
      <c r="AB23" s="85"/>
    </row>
    <row r="24" spans="1:28" ht="15" thickBot="1">
      <c r="A24" s="58"/>
      <c r="B24" s="59"/>
      <c r="C24" s="59"/>
      <c r="D24" s="59"/>
      <c r="E24" s="59"/>
      <c r="F24" s="60"/>
      <c r="H24" s="58"/>
      <c r="I24" s="68" t="s">
        <v>17</v>
      </c>
      <c r="J24" s="74"/>
      <c r="K24" s="69"/>
      <c r="L24" s="70">
        <f>L23/$B$10</f>
        <v>0.23231</v>
      </c>
      <c r="M24" s="58"/>
      <c r="N24" s="59"/>
      <c r="O24" s="59"/>
      <c r="P24" s="87"/>
      <c r="Q24" s="59"/>
      <c r="R24" s="59"/>
      <c r="S24" s="59"/>
      <c r="T24" s="87"/>
      <c r="U24" s="59"/>
      <c r="V24" s="59"/>
      <c r="W24" s="59"/>
      <c r="X24" s="87"/>
      <c r="Y24" s="59"/>
      <c r="Z24" s="59"/>
      <c r="AA24" s="59"/>
      <c r="AB24" s="88"/>
    </row>
    <row r="25" spans="1:28" ht="6" customHeight="1" thickTop="1">
      <c r="A25" s="45"/>
      <c r="B25" s="46"/>
      <c r="C25" s="46"/>
      <c r="D25" s="47"/>
      <c r="E25" s="48"/>
      <c r="F25" s="47"/>
      <c r="H25" s="47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</row>
    <row r="27" spans="14:19">
      <c r="N27" s="2"/>
      <c r="O27" s="2"/>
      <c r="Q27" s="2"/>
      <c r="R27" s="2"/>
      <c r="S27" s="2"/>
    </row>
    <row r="28" spans="11:11">
      <c r="K28" s="1">
        <f>MIN($P27,$T27,$X27,$AB27)</f>
        <v>0</v>
      </c>
    </row>
    <row r="39" spans="1:2">
      <c r="A39" s="1"/>
      <c r="B39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