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<sst xmlns="http://schemas.openxmlformats.org/spreadsheetml/2006/main" uniqueCount="118">
  <si>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</si>
  <si>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</si>
  <si>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</si>
  <si>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</si>
  <si>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</si>
  <si>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</si>
  <si>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</si>
  <si>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</si>
  <si>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</si>
  <si>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</si>
  <si>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</si>
  <si>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</si>
  <si>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</si>
  <si>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</si>
  <si>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</si>
  <si>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</si>
  <si>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</si>
  <si>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</si>
  <si>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</si>
  <si>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</si>
  <si>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</si>
  <si>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</si>
  <si>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</si>
  <si>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</si>
  <si>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</si>
  <si>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</si>
  <si>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</si>
  <si>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</si>
  <si>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</si>
  <si>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</si>
  <si>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</si>
  <si>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</si>
  <si>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G0-based single RGB LED/breakout (3.0mm EC design)</t>
  </si>
  <si>
    <t>JacdacRgbLed1Ec30 77.PrjPCB</t>
  </si>
  <si>
    <t>BOM hand-build for Project [JacdacRgbLed1Ec30 77.PrjPCB] (No PCB Document Selected)</t>
  </si>
  <si>
    <t>JacdacRgbLed1Ec30</t>
  </si>
  <si>
    <t>77</t>
  </si>
  <si>
    <t>None</t>
  </si>
  <si>
    <t>0.3</t>
  </si>
  <si>
    <t>02/03/2022</t>
  </si>
  <si>
    <t>11:42</t>
  </si>
  <si>
    <t>1000</t>
  </si>
  <si>
    <t>USD</t>
  </si>
  <si>
    <t>Description</t>
  </si>
  <si>
    <t>Cap 33PF 50V 0603 SMD 5% NP0</t>
  </si>
  <si>
    <t>SMD Multilayer Ceramic Capacitor, 1 µF, 16 V, 0603 [1608 Metric], ± 10%, X5R, CL Series</t>
  </si>
  <si>
    <t>DIODE ARRAY SCHOTTKY 30V SOT23</t>
  </si>
  <si>
    <t>Bidirectional 5V (Max) 6V 16V 3.5A (8/20us) 0402 TVS RoHS</t>
  </si>
  <si>
    <t>LED ORANGE DIFFUSED 0603 SMD</t>
  </si>
  <si>
    <t>1615 Light Emitting Diodes (LED) RoHS</t>
  </si>
  <si>
    <t>0603 1k@100MHz 0.8A chip</t>
  </si>
  <si>
    <t>Res Thick Film 0603 220 Ohm 1% 0.1W(1/10W) ±100ppm/°C Pad SMD T/R</t>
  </si>
  <si>
    <t>Res General Purpose Thick Film 0603 150 Ohm 1% 1/10W ±100ppm/°C Molded SMD Paper T/R</t>
  </si>
  <si>
    <t>Res Thick Film 0603 30 Ohm 1% 0.1W(1/10W) ±100ppm/C Pad SMD T/R</t>
  </si>
  <si>
    <t>6V 260mV @ 200mA(typ) - - Fixed 3.3V SOT-23-5 Linear Voltage Regulators (LDO) ROHS</t>
  </si>
  <si>
    <t>MCU 32-Bit STM32G031 ARM Cortex-M0+ RISC 32KB Flash 1.7V to 3.6V 20-Pin TSSOP Tube</t>
  </si>
  <si>
    <t>Nexperia</t>
  </si>
  <si>
    <t>TDK</t>
  </si>
  <si>
    <t>STMicroelectronics</t>
  </si>
  <si>
    <t>BAT54S</t>
  </si>
  <si>
    <t>MPZ1608S102ATA00</t>
  </si>
  <si>
    <t>STM32G0 (see BOM)</t>
  </si>
  <si>
    <t>C1</t>
  </si>
  <si>
    <t>C2, C3, C4</t>
  </si>
  <si>
    <t>D1</t>
  </si>
  <si>
    <t>D2, D3, D4, D5</t>
  </si>
  <si>
    <t>D6, D7</t>
  </si>
  <si>
    <t>D8</t>
  </si>
  <si>
    <t>FB1</t>
  </si>
  <si>
    <t>R1</t>
  </si>
  <si>
    <t>R2, R3, R6</t>
  </si>
  <si>
    <t>R4, R5</t>
  </si>
  <si>
    <t>U1</t>
  </si>
  <si>
    <t>U2</t>
  </si>
  <si>
    <t>Supplier 1</t>
  </si>
  <si>
    <t>Digi-Key</t>
  </si>
  <si>
    <t>LCSC</t>
  </si>
  <si>
    <t>311-1064-2-ND</t>
  </si>
  <si>
    <t>1276-1034-1-ND</t>
  </si>
  <si>
    <t>1727-1868-1-ND</t>
  </si>
  <si>
    <t>C316043</t>
  </si>
  <si>
    <t>C146215</t>
  </si>
  <si>
    <t>C779813</t>
  </si>
  <si>
    <t>445-8694-1-ND</t>
  </si>
  <si>
    <t>311-220HRCT-ND</t>
  </si>
  <si>
    <t>311-150HRCT-ND</t>
  </si>
  <si>
    <t>311-30.0HRCT-ND</t>
  </si>
  <si>
    <t>C82942</t>
  </si>
  <si>
    <t>497-19774-ND</t>
  </si>
  <si>
    <t>Supplier Subtotal 1</t>
  </si>
  <si>
    <t>Supplier 2</t>
  </si>
  <si>
    <t>Farnell</t>
  </si>
  <si>
    <t>Mouser</t>
  </si>
  <si>
    <t>2408499</t>
  </si>
  <si>
    <t>3013384</t>
  </si>
  <si>
    <t>771-BAT54S235</t>
  </si>
  <si>
    <t>810-MPZ1608S102ATA00</t>
  </si>
  <si>
    <t>9238409</t>
  </si>
  <si>
    <t>9238387</t>
  </si>
  <si>
    <t>3495813</t>
  </si>
  <si>
    <t>3246918</t>
  </si>
  <si>
    <t>Supplier Subtotal 2</t>
  </si>
  <si>
    <t>Supplier 3</t>
  </si>
  <si>
    <t>RSComponents</t>
  </si>
  <si>
    <t>2006492</t>
  </si>
  <si>
    <t>7664780</t>
  </si>
  <si>
    <t>1707990</t>
  </si>
  <si>
    <t>1995497</t>
  </si>
  <si>
    <t>1995464</t>
  </si>
  <si>
    <t>603-RC0603FR-0730RL</t>
  </si>
  <si>
    <t>1939834</t>
  </si>
  <si>
    <t>Supplier Subtotal 3</t>
  </si>
  <si>
    <t>Supplier 4</t>
  </si>
  <si>
    <t>603-C0603JRNPO9BN330</t>
  </si>
  <si>
    <t>187-CL10A105KO8NNNC</t>
  </si>
  <si>
    <t>603-RC0603FR-07220RL</t>
  </si>
  <si>
    <t>603-RC0603FR-07150RL</t>
  </si>
  <si>
    <t>C529333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</si>
</sst>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2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31</v>
      </c>
      <c r="B2" s="21" t="s">
        <v>7</v>
      </c>
      <c r="C2" s="21"/>
      <c r="D2" s="96" t="s">
        <v>32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33</v>
      </c>
      <c r="C3" s="5"/>
      <c r="D3" s="96" t="s">
        <v>34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28</v>
      </c>
      <c r="B4" s="98" t="s">
        <v>33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29</v>
      </c>
      <c r="B5" s="98" t="s">
        <v>35</v>
      </c>
      <c r="C5" s="98" t="s">
        <v>36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30</v>
      </c>
      <c r="B6" s="99" t="s">
        <v>37</v>
      </c>
      <c r="C6" s="99" t="s">
        <v>38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39</v>
      </c>
      <c r="C7" s="98" t="s">
        <v>40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44622</v>
      </c>
      <c r="C8" s="25">
        <f ca="1">NOW()</f>
        <v>44622.48788803241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41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42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43</v>
      </c>
      <c r="B13" s="50" t="s">
        <v>20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26</v>
      </c>
      <c r="K13" s="73" t="s">
        <v>27</v>
      </c>
      <c r="L13" s="52" t="s">
        <v>10</v>
      </c>
      <c r="M13" s="63" t="s">
        <v>74</v>
      </c>
      <c r="N13" s="50" t="s">
        <v>8</v>
      </c>
      <c r="O13" s="50" t="s">
        <v>22</v>
      </c>
      <c r="P13" s="50" t="s">
        <v>89</v>
      </c>
      <c r="Q13" s="64" t="s">
        <v>90</v>
      </c>
      <c r="R13" s="50" t="s">
        <v>9</v>
      </c>
      <c r="S13" s="50" t="s">
        <v>23</v>
      </c>
      <c r="T13" s="50" t="s">
        <v>101</v>
      </c>
      <c r="U13" s="64" t="s">
        <v>102</v>
      </c>
      <c r="V13" s="50" t="s">
        <v>17</v>
      </c>
      <c r="W13" s="50" t="s">
        <v>24</v>
      </c>
      <c r="X13" s="50" t="s">
        <v>111</v>
      </c>
      <c r="Y13" s="64" t="s">
        <v>112</v>
      </c>
      <c r="Z13" s="50" t="s">
        <v>18</v>
      </c>
      <c r="AA13" s="50" t="s">
        <v>25</v>
      </c>
      <c r="AB13" s="52" t="s">
        <v>19</v>
      </c>
    </row>
    <row r="14" spans="1:28" s="2" customFormat="1" ht="16.5" customHeight="1">
      <c r="A14" s="53" t="s">
        <v>44</v>
      </c>
      <c r="B14" s="17"/>
      <c r="C14" s="93"/>
      <c r="D14" s="42" t="s">
        <v>62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Mouser</v>
      </c>
      <c r="I14" s="82" t="str">
        <f>IF(INDEX($M14:$AB14,$K14-2)&lt;&gt;0, INDEX($M14:$AB14,$K14-2), "")</f>
        <v>603-C0603JRNPO9BN330</v>
      </c>
      <c r="J14" s="83">
        <f>IF(INDEX($M14:$AB14,$K14-1)&lt;&gt;0, INDEX($M14:$AB14,$K14-1), "")</f>
        <v>0.011</v>
      </c>
      <c r="K14" s="82">
        <f>MATCH(MIN($P14,$T14,$X14,$AB14), $M14:$AB14,0)</f>
        <v>16</v>
      </c>
      <c r="L14" s="84">
        <f>IF(MIN($P14,$T14,$X14,$AB14)&lt;&gt;0,MIN($P14,$T14,$X14,$AB14),"")</f>
        <v>11</v>
      </c>
      <c r="M14" s="29" t="s">
        <v>75</v>
      </c>
      <c r="N14" s="17" t="s">
        <v>77</v>
      </c>
      <c r="O14" s="27">
        <v>0.01865</v>
      </c>
      <c r="P14" s="27">
        <v>18.65</v>
      </c>
      <c r="Q14" s="31" t="s">
        <v>91</v>
      </c>
      <c r="R14" s="17" t="s">
        <v>93</v>
      </c>
      <c r="S14" s="27"/>
      <c r="T14" s="27"/>
      <c r="U14" s="31" t="s">
        <v>103</v>
      </c>
      <c r="V14" s="17" t="s">
        <v>104</v>
      </c>
      <c r="W14" s="27"/>
      <c r="X14" s="27"/>
      <c r="Y14" s="31" t="s">
        <v>92</v>
      </c>
      <c r="Z14" s="17" t="s">
        <v>113</v>
      </c>
      <c r="AA14" s="27">
        <v>0.011</v>
      </c>
      <c r="AB14" s="65">
        <v>11</v>
      </c>
    </row>
    <row r="15" spans="1:28" s="2" customFormat="1" ht="16.5" customHeight="1">
      <c r="A15" s="54" t="s">
        <v>45</v>
      </c>
      <c r="B15" s="11"/>
      <c r="C15" s="94"/>
      <c r="D15" s="43" t="s">
        <v>63</v>
      </c>
      <c r="E15" s="11">
        <v>3</v>
      </c>
      <c r="F15" s="76">
        <f t="shared" si="0" ref="F15:F25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1276-1034-1-ND</v>
      </c>
      <c r="J15" s="80">
        <f>IF(INDEX($M15:$AB15,$K15-1)&lt;&gt;0, INDEX($M15:$AB15,$K15-1), "")</f>
        <v>0.00898</v>
      </c>
      <c r="K15" s="78">
        <f>MATCH(MIN($P15,$T15,$X15,$AB15), $M15:$AB15,0)</f>
        <v>4</v>
      </c>
      <c r="L15" s="79">
        <f>IF(MIN($P15,$T15,$X15,$AB15)&lt;&gt;0,MIN($P15,$T15,$X15,$AB15),"")</f>
        <v>26.94</v>
      </c>
      <c r="M15" s="30" t="s">
        <v>75</v>
      </c>
      <c r="N15" s="11" t="s">
        <v>78</v>
      </c>
      <c r="O15" s="28">
        <v>0.00898</v>
      </c>
      <c r="P15" s="28">
        <v>26.94</v>
      </c>
      <c r="Q15" s="32" t="s">
        <v>91</v>
      </c>
      <c r="R15" s="11" t="s">
        <v>94</v>
      </c>
      <c r="S15" s="28">
        <v>0.009</v>
      </c>
      <c r="T15" s="28">
        <v>27</v>
      </c>
      <c r="U15" s="32" t="s">
        <v>103</v>
      </c>
      <c r="V15" s="11" t="s">
        <v>105</v>
      </c>
      <c r="W15" s="28">
        <v>0.01065</v>
      </c>
      <c r="X15" s="28">
        <v>31.96</v>
      </c>
      <c r="Y15" s="32" t="s">
        <v>92</v>
      </c>
      <c r="Z15" s="11" t="s">
        <v>114</v>
      </c>
      <c r="AA15" s="28"/>
      <c r="AB15" s="66"/>
    </row>
    <row r="16" spans="1:28" s="2" customFormat="1" ht="16.5" customHeight="1">
      <c r="A16" s="53" t="s">
        <v>46</v>
      </c>
      <c r="B16" s="17" t="s">
        <v>56</v>
      </c>
      <c r="C16" s="93" t="s">
        <v>59</v>
      </c>
      <c r="D16" s="42" t="s">
        <v>64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0.03762</v>
      </c>
      <c r="K16" s="82">
        <f>MATCH(MIN($P16,$T16,$X16,$AB16), $M16:$AB16,0)</f>
        <v>8</v>
      </c>
      <c r="L16" s="84">
        <f>IF(MIN($P16,$T16,$X16,$AB16)&lt;&gt;0,MIN($P16,$T16,$X16,$AB16),"")</f>
        <v>37.62</v>
      </c>
      <c r="M16" s="29" t="s">
        <v>75</v>
      </c>
      <c r="N16" s="17" t="s">
        <v>79</v>
      </c>
      <c r="O16" s="27"/>
      <c r="P16" s="27"/>
      <c r="Q16" s="31" t="s">
        <v>92</v>
      </c>
      <c r="R16" s="17" t="s">
        <v>95</v>
      </c>
      <c r="S16" s="27">
        <v>0.03762</v>
      </c>
      <c r="T16" s="27">
        <v>37.62</v>
      </c>
      <c r="U16" s="31" t="s">
        <v>103</v>
      </c>
      <c r="V16" s="17" t="s">
        <v>106</v>
      </c>
      <c r="W16" s="27">
        <v>0.038</v>
      </c>
      <c r="X16" s="27">
        <v>38</v>
      </c>
      <c r="Y16" s="31"/>
      <c r="Z16" s="17"/>
      <c r="AA16" s="27"/>
      <c r="AB16" s="65"/>
    </row>
    <row r="17" spans="1:28" s="2" customFormat="1" ht="16.5" customHeight="1">
      <c r="A17" s="54" t="s">
        <v>47</v>
      </c>
      <c r="B17" s="11"/>
      <c r="C17" s="94"/>
      <c r="D17" s="43" t="s">
        <v>65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 t="s">
        <v>76</v>
      </c>
      <c r="N17" s="11" t="s">
        <v>80</v>
      </c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48</v>
      </c>
      <c r="B18" s="17"/>
      <c r="C18" s="93"/>
      <c r="D18" s="42" t="s">
        <v>66</v>
      </c>
      <c r="E18" s="17">
        <v>2</v>
      </c>
      <c r="F18" s="75">
        <f>E18*$B$10</f>
        <v>2000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76</v>
      </c>
      <c r="N18" s="17" t="s">
        <v>81</v>
      </c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49</v>
      </c>
      <c r="B19" s="11"/>
      <c r="C19" s="94"/>
      <c r="D19" s="43" t="s">
        <v>67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 t="s">
        <v>76</v>
      </c>
      <c r="N19" s="11" t="s">
        <v>82</v>
      </c>
      <c r="O19" s="28"/>
      <c r="P19" s="28"/>
      <c r="Q19" s="32"/>
      <c r="R19" s="11"/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50</v>
      </c>
      <c r="B20" s="17" t="s">
        <v>57</v>
      </c>
      <c r="C20" s="93" t="s">
        <v>60</v>
      </c>
      <c r="D20" s="42" t="s">
        <v>68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Digi-Key</v>
      </c>
      <c r="I20" s="82" t="str">
        <f>IF(INDEX($M20:$AB20,$K20-2)&lt;&gt;0, INDEX($M20:$AB20,$K20-2), "")</f>
        <v>445-8694-1-ND</v>
      </c>
      <c r="J20" s="83">
        <f>IF(INDEX($M20:$AB20,$K20-1)&lt;&gt;0, INDEX($M20:$AB20,$K20-1), "")</f>
        <v>0.02717</v>
      </c>
      <c r="K20" s="82">
        <f>MATCH(MIN($P20,$T20,$X20,$AB20), $M20:$AB20,0)</f>
        <v>4</v>
      </c>
      <c r="L20" s="84">
        <f>IF(MIN($P20,$T20,$X20,$AB20)&lt;&gt;0,MIN($P20,$T20,$X20,$AB20),"")</f>
        <v>27.17</v>
      </c>
      <c r="M20" s="29" t="s">
        <v>75</v>
      </c>
      <c r="N20" s="17" t="s">
        <v>83</v>
      </c>
      <c r="O20" s="27">
        <v>0.02717</v>
      </c>
      <c r="P20" s="27">
        <v>27.17</v>
      </c>
      <c r="Q20" s="31" t="s">
        <v>92</v>
      </c>
      <c r="R20" s="17" t="s">
        <v>96</v>
      </c>
      <c r="S20" s="27">
        <v>0.028</v>
      </c>
      <c r="T20" s="27">
        <v>28</v>
      </c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51</v>
      </c>
      <c r="B21" s="11"/>
      <c r="C21" s="94"/>
      <c r="D21" s="43" t="s">
        <v>69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RSComponents</v>
      </c>
      <c r="I21" s="78" t="str">
        <f>IF(INDEX($M21:$AB21,$K21-2)&lt;&gt;0, INDEX($M21:$AB21,$K21-2), "")</f>
        <v>1995497</v>
      </c>
      <c r="J21" s="80">
        <f>IF(INDEX($M21:$AB21,$K21-1)&lt;&gt;0, INDEX($M21:$AB21,$K21-1), "")</f>
        <v>0.004</v>
      </c>
      <c r="K21" s="78">
        <f>MATCH(MIN($P21,$T21,$X21,$AB21), $M21:$AB21,0)</f>
        <v>12</v>
      </c>
      <c r="L21" s="79">
        <f>IF(MIN($P21,$T21,$X21,$AB21)&lt;&gt;0,MIN($P21,$T21,$X21,$AB21),"")</f>
        <v>4</v>
      </c>
      <c r="M21" s="30" t="s">
        <v>75</v>
      </c>
      <c r="N21" s="11" t="s">
        <v>84</v>
      </c>
      <c r="O21" s="28">
        <v>0.00932</v>
      </c>
      <c r="P21" s="28">
        <v>9.32</v>
      </c>
      <c r="Q21" s="32" t="s">
        <v>91</v>
      </c>
      <c r="R21" s="11" t="s">
        <v>97</v>
      </c>
      <c r="S21" s="28">
        <v>0.00436</v>
      </c>
      <c r="T21" s="28">
        <v>4.36</v>
      </c>
      <c r="U21" s="32" t="s">
        <v>103</v>
      </c>
      <c r="V21" s="11" t="s">
        <v>107</v>
      </c>
      <c r="W21" s="28">
        <v>0.004</v>
      </c>
      <c r="X21" s="28">
        <v>4</v>
      </c>
      <c r="Y21" s="32" t="s">
        <v>92</v>
      </c>
      <c r="Z21" s="11" t="s">
        <v>115</v>
      </c>
      <c r="AA21" s="28">
        <v>0.00533</v>
      </c>
      <c r="AB21" s="66">
        <v>5.33</v>
      </c>
    </row>
    <row r="22" spans="1:28" s="2" customFormat="1" ht="16.5" customHeight="1">
      <c r="A22" s="53" t="s">
        <v>52</v>
      </c>
      <c r="B22" s="17"/>
      <c r="C22" s="93"/>
      <c r="D22" s="42" t="s">
        <v>70</v>
      </c>
      <c r="E22" s="17">
        <v>3</v>
      </c>
      <c r="F22" s="75">
        <f>E22*$B$10</f>
        <v>3000</v>
      </c>
      <c r="G22"/>
      <c r="H22" s="81" t="str">
        <f>IF(INDEX($M22:$AB22,$K22-3)&lt;&gt;0, INDEX($M22:$AB22,$K22-3), "")</f>
        <v>Farnell</v>
      </c>
      <c r="I22" s="82" t="str">
        <f>IF(INDEX($M22:$AB22,$K22-2)&lt;&gt;0, INDEX($M22:$AB22,$K22-2), "")</f>
        <v>9238387</v>
      </c>
      <c r="J22" s="83">
        <f>IF(INDEX($M22:$AB22,$K22-1)&lt;&gt;0, INDEX($M22:$AB22,$K22-1), "")</f>
        <v>0.00378</v>
      </c>
      <c r="K22" s="82">
        <f>MATCH(MIN($P22,$T22,$X22,$AB22), $M22:$AB22,0)</f>
        <v>8</v>
      </c>
      <c r="L22" s="84">
        <f>IF(MIN($P22,$T22,$X22,$AB22)&lt;&gt;0,MIN($P22,$T22,$X22,$AB22),"")</f>
        <v>11.34</v>
      </c>
      <c r="M22" s="29" t="s">
        <v>75</v>
      </c>
      <c r="N22" s="17" t="s">
        <v>85</v>
      </c>
      <c r="O22" s="27">
        <v>0.00799</v>
      </c>
      <c r="P22" s="27">
        <v>23.97</v>
      </c>
      <c r="Q22" s="31" t="s">
        <v>91</v>
      </c>
      <c r="R22" s="17" t="s">
        <v>98</v>
      </c>
      <c r="S22" s="27">
        <v>0.00378</v>
      </c>
      <c r="T22" s="27">
        <v>11.34</v>
      </c>
      <c r="U22" s="31" t="s">
        <v>103</v>
      </c>
      <c r="V22" s="17" t="s">
        <v>108</v>
      </c>
      <c r="W22" s="27">
        <v>0.004</v>
      </c>
      <c r="X22" s="27">
        <v>12</v>
      </c>
      <c r="Y22" s="31" t="s">
        <v>92</v>
      </c>
      <c r="Z22" s="17" t="s">
        <v>116</v>
      </c>
      <c r="AA22" s="27">
        <v>0.00519</v>
      </c>
      <c r="AB22" s="65">
        <v>15.58</v>
      </c>
    </row>
    <row r="23" spans="1:28" s="2" customFormat="1" ht="16.5" customHeight="1">
      <c r="A23" s="54" t="s">
        <v>53</v>
      </c>
      <c r="B23" s="11"/>
      <c r="C23" s="94"/>
      <c r="D23" s="43" t="s">
        <v>71</v>
      </c>
      <c r="E23" s="11">
        <v>2</v>
      </c>
      <c r="F23" s="76">
        <f>E23*$B$10</f>
        <v>2000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603-RC0603FR-0730RL</v>
      </c>
      <c r="J23" s="80">
        <f>IF(INDEX($M23:$AB23,$K23-1)&lt;&gt;0, INDEX($M23:$AB23,$K23-1), "")</f>
        <v>0.004</v>
      </c>
      <c r="K23" s="78">
        <f>MATCH(MIN($P23,$T23,$X23,$AB23), $M23:$AB23,0)</f>
        <v>12</v>
      </c>
      <c r="L23" s="79">
        <f>IF(MIN($P23,$T23,$X23,$AB23)&lt;&gt;0,MIN($P23,$T23,$X23,$AB23),"")</f>
        <v>8</v>
      </c>
      <c r="M23" s="30" t="s">
        <v>75</v>
      </c>
      <c r="N23" s="11" t="s">
        <v>86</v>
      </c>
      <c r="O23" s="28">
        <v>0.00436</v>
      </c>
      <c r="P23" s="28">
        <v>8.72</v>
      </c>
      <c r="Q23" s="32" t="s">
        <v>91</v>
      </c>
      <c r="R23" s="11" t="s">
        <v>99</v>
      </c>
      <c r="S23" s="28">
        <v>0.00533</v>
      </c>
      <c r="T23" s="28">
        <v>10.65</v>
      </c>
      <c r="U23" s="32" t="s">
        <v>92</v>
      </c>
      <c r="V23" s="11" t="s">
        <v>109</v>
      </c>
      <c r="W23" s="28">
        <v>0.004</v>
      </c>
      <c r="X23" s="28">
        <v>8</v>
      </c>
      <c r="Y23" s="32"/>
      <c r="Z23" s="11"/>
      <c r="AA23" s="28"/>
      <c r="AB23" s="66"/>
    </row>
    <row r="24" spans="1:28" s="2" customFormat="1" ht="16.5" customHeight="1">
      <c r="A24" s="53" t="s">
        <v>54</v>
      </c>
      <c r="B24" s="17"/>
      <c r="C24" s="93"/>
      <c r="D24" s="42" t="s">
        <v>72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76</v>
      </c>
      <c r="N24" s="17" t="s">
        <v>87</v>
      </c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55</v>
      </c>
      <c r="B25" s="11" t="s">
        <v>58</v>
      </c>
      <c r="C25" s="94" t="s">
        <v>61</v>
      </c>
      <c r="D25" s="43" t="s">
        <v>73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Farnell</v>
      </c>
      <c r="I25" s="78" t="str">
        <f>IF(INDEX($M25:$AB25,$K25-2)&lt;&gt;0, INDEX($M25:$AB25,$K25-2), "")</f>
        <v>3246918</v>
      </c>
      <c r="J25" s="80">
        <f>IF(INDEX($M25:$AB25,$K25-1)&lt;&gt;0, INDEX($M25:$AB25,$K25-1), "")</f>
        <v>1.63</v>
      </c>
      <c r="K25" s="78">
        <f>MATCH(MIN($P25,$T25,$X25,$AB25), $M25:$AB25,0)</f>
        <v>8</v>
      </c>
      <c r="L25" s="79">
        <f>IF(MIN($P25,$T25,$X25,$AB25)&lt;&gt;0,MIN($P25,$T25,$X25,$AB25),"")</f>
        <v>1631.6</v>
      </c>
      <c r="M25" s="30" t="s">
        <v>75</v>
      </c>
      <c r="N25" s="11" t="s">
        <v>88</v>
      </c>
      <c r="O25" s="28">
        <v>2.14</v>
      </c>
      <c r="P25" s="28">
        <v>2144.22</v>
      </c>
      <c r="Q25" s="32" t="s">
        <v>91</v>
      </c>
      <c r="R25" s="11" t="s">
        <v>100</v>
      </c>
      <c r="S25" s="28">
        <v>1.63</v>
      </c>
      <c r="T25" s="28">
        <v>1631.6</v>
      </c>
      <c r="U25" s="32" t="s">
        <v>103</v>
      </c>
      <c r="V25" s="11" t="s">
        <v>110</v>
      </c>
      <c r="W25" s="28">
        <v>4.6</v>
      </c>
      <c r="X25" s="28">
        <v>4598.53</v>
      </c>
      <c r="Y25" s="32" t="s">
        <v>76</v>
      </c>
      <c r="Z25" s="11" t="s">
        <v>117</v>
      </c>
      <c r="AA25" s="28"/>
      <c r="AB25" s="66"/>
    </row>
    <row r="26" spans="1:28" ht="14.25">
      <c r="A26" s="56" t="s">
        <v>21</v>
      </c>
      <c r="B26" s="39">
        <f>ROW(A25)-ROW(A$13)</f>
        <v>12</v>
      </c>
      <c r="C26" s="34"/>
      <c r="D26" s="36" t="s">
        <v>13</v>
      </c>
      <c r="E26" s="37">
        <f>SUM(E14:E25)</f>
        <v>21</v>
      </c>
      <c r="F26" s="57">
        <f>SUM(F14:F25)</f>
        <v>21000</v>
      </c>
      <c r="H26" s="35"/>
      <c r="I26" s="40" t="s">
        <v>13</v>
      </c>
      <c r="J26" s="41"/>
      <c r="K26" s="41"/>
      <c r="L26" s="85">
        <f>SUM(L14:L25)</f>
        <v>1757.6699999999998</v>
      </c>
      <c r="M26" s="35"/>
      <c r="N26" s="34"/>
      <c r="O26" s="34"/>
      <c r="P26" s="86"/>
      <c r="Q26" s="34"/>
      <c r="R26" s="34"/>
      <c r="S26" s="34"/>
      <c r="T26" s="86"/>
      <c r="U26" s="34"/>
      <c r="V26" s="34"/>
      <c r="W26" s="34"/>
      <c r="X26" s="86"/>
      <c r="Y26" s="34"/>
      <c r="Z26" s="34"/>
      <c r="AA26" s="34"/>
      <c r="AB26" s="85"/>
    </row>
    <row r="27" spans="1:28" ht="15" thickBot="1">
      <c r="A27" s="58"/>
      <c r="B27" s="59"/>
      <c r="C27" s="59"/>
      <c r="D27" s="59"/>
      <c r="E27" s="59"/>
      <c r="F27" s="60"/>
      <c r="H27" s="58"/>
      <c r="I27" s="68" t="s">
        <v>14</v>
      </c>
      <c r="J27" s="74"/>
      <c r="K27" s="69"/>
      <c r="L27" s="70">
        <f>L26/$B$10</f>
        <v>1.75767</v>
      </c>
      <c r="M27" s="58"/>
      <c r="N27" s="59"/>
      <c r="O27" s="59"/>
      <c r="P27" s="87"/>
      <c r="Q27" s="59"/>
      <c r="R27" s="59"/>
      <c r="S27" s="59"/>
      <c r="T27" s="87"/>
      <c r="U27" s="59"/>
      <c r="V27" s="59"/>
      <c r="W27" s="59"/>
      <c r="X27" s="87"/>
      <c r="Y27" s="59"/>
      <c r="Z27" s="59"/>
      <c r="AA27" s="59"/>
      <c r="AB27" s="88"/>
    </row>
    <row r="28" spans="1:28" ht="6" customHeight="1" thickTop="1">
      <c r="A28" s="45"/>
      <c r="B28" s="46"/>
      <c r="C28" s="46"/>
      <c r="D28" s="47"/>
      <c r="E28" s="48"/>
      <c r="F28" s="47"/>
      <c r="H28" s="47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30" spans="14:19">
      <c r="N30" s="2"/>
      <c r="O30" s="2"/>
      <c r="Q30" s="2"/>
      <c r="R30" s="2"/>
      <c r="S30" s="2"/>
    </row>
    <row r="31" spans="11:11">
      <c r="K31" s="1">
        <f>MIN($P30,$T30,$X30,$AB30)</f>
        <v>0</v>
      </c>
    </row>
    <row r="42" spans="1:2">
      <c r="A42" s="1"/>
      <c r="B42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