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<sst xmlns="http://schemas.openxmlformats.org/spreadsheetml/2006/main" uniqueCount="134">
  <si>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</si>
  <si>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</si>
  <si>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</si>
  <si>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</si>
  <si>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</si>
  <si>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</si>
  <si>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</si>
  <si>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</si>
  <si>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</si>
  <si>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</si>
  <si>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</si>
  <si>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</si>
  <si>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</si>
  <si>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</si>
  <si>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</si>
  <si>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</si>
  <si>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</si>
  <si>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</si>
  <si>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Manufacturer</t>
  </si>
  <si>
    <t>number of line items</t>
  </si>
  <si>
    <t>Supplier Unit Price 1</t>
  </si>
  <si>
    <t>Supplier Unit Price 2</t>
  </si>
  <si>
    <t>Supplier Unit Price 3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</si>
  <si>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</si>
  <si>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</si>
  <si>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</si>
  <si>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</si>
  <si>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</si>
  <si>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</si>
  <si>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adapter reference design for the BBC micro:bit V2</t>
  </si>
  <si>
    <t>JacDacMicroBitShieldLP 29.PrjPCB</t>
  </si>
  <si>
    <t>Bill of Materials for Project [JacDacMicroBitShieldLP 29.PrjPCB] (No PCB Document Selected)</t>
  </si>
  <si>
    <t>JacdacMicroBitShieldLP</t>
  </si>
  <si>
    <t>29</t>
  </si>
  <si>
    <t>None</t>
  </si>
  <si>
    <t>0.6</t>
  </si>
  <si>
    <t>03/12/2021</t>
  </si>
  <si>
    <t>19:26</t>
  </si>
  <si>
    <t>1000</t>
  </si>
  <si>
    <t>USD</t>
  </si>
  <si>
    <t>Description</t>
  </si>
  <si>
    <t>CAP CER 33PF 50V NP0 0402</t>
  </si>
  <si>
    <t>CAP CER 10UF 10V X5R 0603</t>
  </si>
  <si>
    <t>CAP CER 4.7UF 10V X5R 0402</t>
  </si>
  <si>
    <t>DIODE ARRAY SCHOTTKY 30V SOT23</t>
  </si>
  <si>
    <t>Bidirectional 5V (Max) 6V 16V 3.5A (8/20us) 0402 TVS RoHS</t>
  </si>
  <si>
    <t>DIODE SCHOTTKY 20V 1A SOD123FL</t>
  </si>
  <si>
    <t>0603 1k@100MHz 0.8A chip</t>
  </si>
  <si>
    <t>"Same plane" 1x40p 1.27mm Dongguan Yuliang BBC micro:bit edge connector</t>
  </si>
  <si>
    <t>Inductor, Shielded, 10uH, 600mA, SMD; NRH Series; Inductance:10 H; Inductance Tolerance: 20%; Inductor Construction:Shielded; DC Resistance Max:0.35ohm; RMS Current (Irms):620mA; Saturation Current (Isat):600mA ;RoHS Compliant: Yes</t>
  </si>
  <si>
    <t>RES SMD 220 OHM 1% 1/16W 0402</t>
  </si>
  <si>
    <t>RES SMD 137K OHM 1% 1/16W 0402</t>
  </si>
  <si>
    <t>RES SMD 1M OHM 1% 1/16W 0402</t>
  </si>
  <si>
    <t>IC REG BST ADJ 0.22A SYNC SOT23</t>
  </si>
  <si>
    <t>POWER LOAD SWITCH, HIGH SIDE, SOT-23-6; Power Load Switch Type:High Side; Input Voltage:6.5V; Current Limit:1.7A; On State Resistance:0.085ohm; Distribution Switch Case Style:SOT-23; No. of Pins:6; Thermal Protection:Yes; On / Enable;RoHS Compliant: Yes</t>
  </si>
  <si>
    <t>Samsung</t>
  </si>
  <si>
    <t>Nexperia</t>
  </si>
  <si>
    <t>Born Semiconductor</t>
  </si>
  <si>
    <t>ON Semiconductor</t>
  </si>
  <si>
    <t>TDK</t>
  </si>
  <si>
    <t>Dongguan Yuliang</t>
  </si>
  <si>
    <t>Taiyo Yuden</t>
  </si>
  <si>
    <t>Uniroyal Elec</t>
  </si>
  <si>
    <t>Yageo</t>
  </si>
  <si>
    <t>CL05C330JB51PNC</t>
  </si>
  <si>
    <t>CL10A106KP8NNNC</t>
  </si>
  <si>
    <t>CL05A475MP5NRNC</t>
  </si>
  <si>
    <t>BAT54S,235</t>
  </si>
  <si>
    <t>RCLAMP0521P-N</t>
  </si>
  <si>
    <t>MBR120VLSFT3G</t>
  </si>
  <si>
    <t>MPZ1608S102ATA00</t>
  </si>
  <si>
    <t>MIC127-140-D01</t>
  </si>
  <si>
    <t>NRH3010T100MN</t>
  </si>
  <si>
    <t>0402WGF2200TCE</t>
  </si>
  <si>
    <t>RC0402FR-07137KL</t>
  </si>
  <si>
    <t>0402WGF1004TCE</t>
  </si>
  <si>
    <t>TLV61220DBVR</t>
  </si>
  <si>
    <t>TPS2553DBVR</t>
  </si>
  <si>
    <t>C1</t>
  </si>
  <si>
    <t>C2, C4</t>
  </si>
  <si>
    <t>C7, C9, C12</t>
  </si>
  <si>
    <t>D1</t>
  </si>
  <si>
    <t>D2, D3, D4, D5, D6, D7</t>
  </si>
  <si>
    <t>D8</t>
  </si>
  <si>
    <t>FB1</t>
  </si>
  <si>
    <t>J1</t>
  </si>
  <si>
    <t>L1</t>
  </si>
  <si>
    <t>R1</t>
  </si>
  <si>
    <t>R2</t>
  </si>
  <si>
    <t>R3, R7</t>
  </si>
  <si>
    <t>U4</t>
  </si>
  <si>
    <t>U5</t>
  </si>
  <si>
    <t>Supplier 1</t>
  </si>
  <si>
    <t>Digi-Key</t>
  </si>
  <si>
    <t>1276-6515-1-ND</t>
  </si>
  <si>
    <t>1276-1192-1-ND</t>
  </si>
  <si>
    <t>1276-1482-2-ND</t>
  </si>
  <si>
    <t>1727-1868-1-ND</t>
  </si>
  <si>
    <t>MBR120VLSFT3GOSCT-ND</t>
  </si>
  <si>
    <t>445-8694-1-ND</t>
  </si>
  <si>
    <t>587-2575-1-ND</t>
  </si>
  <si>
    <t>YAG2972CT-ND</t>
  </si>
  <si>
    <t>296-30547-1-ND</t>
  </si>
  <si>
    <t>296-32464-1-ND</t>
  </si>
  <si>
    <t>Supplier Subtotal 1</t>
  </si>
  <si>
    <t>Supplier 2</t>
  </si>
  <si>
    <t>Mouser</t>
  </si>
  <si>
    <t>Future Electronics</t>
  </si>
  <si>
    <t>Avnet</t>
  </si>
  <si>
    <t>Farnell</t>
  </si>
  <si>
    <t>187-CL05C330JB51PNC</t>
  </si>
  <si>
    <t>187-CL10A106KP8NNNC</t>
  </si>
  <si>
    <t>2103694</t>
  </si>
  <si>
    <t>771-BAT54S235</t>
  </si>
  <si>
    <t>863-MBR120VLSFT3G</t>
  </si>
  <si>
    <t>810-MPZ1608S102ATA00</t>
  </si>
  <si>
    <t>963-NRH3010T100MN</t>
  </si>
  <si>
    <t>3007284</t>
  </si>
  <si>
    <t>3124082</t>
  </si>
  <si>
    <t>Supplier Subtotal 2</t>
  </si>
  <si>
    <t>Supplier 3</t>
  </si>
  <si>
    <t>RSComponents</t>
  </si>
  <si>
    <t>6022520</t>
  </si>
  <si>
    <t>3013386</t>
  </si>
  <si>
    <t>1707990</t>
  </si>
  <si>
    <t>1867479</t>
  </si>
  <si>
    <t>603-RC0402FR-07137KL</t>
  </si>
  <si>
    <t>595-TLV61220DBVR</t>
  </si>
  <si>
    <t>595-TPS2553DBVR</t>
  </si>
  <si>
    <t>Supplier Subtotal 3</t>
  </si>
  <si>
    <t>#Column Name Error:' Supplier 4</t>
  </si>
  <si>
    <t>#Column Name Error:' Supplier Part Number 4</t>
  </si>
  <si>
    <t>#Column Name Error:' Supplier Unit Price 4</t>
  </si>
  <si>
    <t>#Column Name Error:' Supplier Subtotal 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</si>
</sst>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4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28</v>
      </c>
      <c r="B2" s="21" t="s">
        <v>7</v>
      </c>
      <c r="C2" s="21"/>
      <c r="D2" s="96" t="s">
        <v>29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30</v>
      </c>
      <c r="C3" s="5"/>
      <c r="D3" s="96" t="s">
        <v>31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25</v>
      </c>
      <c r="B4" s="98" t="s">
        <v>30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26</v>
      </c>
      <c r="B5" s="98" t="s">
        <v>32</v>
      </c>
      <c r="C5" s="98" t="s">
        <v>33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27</v>
      </c>
      <c r="B6" s="99" t="s">
        <v>34</v>
      </c>
      <c r="C6" s="99" t="s">
        <v>35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36</v>
      </c>
      <c r="C7" s="98" t="s">
        <v>37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44533</v>
      </c>
      <c r="C8" s="25">
        <f ca="1">NOW()</f>
        <v>44533.809859386572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38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39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40</v>
      </c>
      <c r="B13" s="50" t="s">
        <v>18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23</v>
      </c>
      <c r="K13" s="73" t="s">
        <v>24</v>
      </c>
      <c r="L13" s="52" t="s">
        <v>10</v>
      </c>
      <c r="M13" s="63" t="s">
        <v>92</v>
      </c>
      <c r="N13" s="50" t="s">
        <v>8</v>
      </c>
      <c r="O13" s="50" t="s">
        <v>20</v>
      </c>
      <c r="P13" s="50" t="s">
        <v>104</v>
      </c>
      <c r="Q13" s="64" t="s">
        <v>105</v>
      </c>
      <c r="R13" s="50" t="s">
        <v>9</v>
      </c>
      <c r="S13" s="50" t="s">
        <v>21</v>
      </c>
      <c r="T13" s="50" t="s">
        <v>119</v>
      </c>
      <c r="U13" s="64" t="s">
        <v>120</v>
      </c>
      <c r="V13" s="50" t="s">
        <v>17</v>
      </c>
      <c r="W13" s="50" t="s">
        <v>22</v>
      </c>
      <c r="X13" s="50" t="s">
        <v>129</v>
      </c>
      <c r="Y13" s="64" t="s">
        <v>130</v>
      </c>
      <c r="Z13" s="50" t="s">
        <v>131</v>
      </c>
      <c r="AA13" s="50" t="s">
        <v>132</v>
      </c>
      <c r="AB13" s="52" t="s">
        <v>133</v>
      </c>
    </row>
    <row r="14" spans="1:28" s="2" customFormat="1" ht="16.5" customHeight="1">
      <c r="A14" s="53" t="s">
        <v>41</v>
      </c>
      <c r="B14" s="17" t="s">
        <v>55</v>
      </c>
      <c r="C14" s="93" t="s">
        <v>64</v>
      </c>
      <c r="D14" s="42" t="s">
        <v>78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1276-6515-1-ND</v>
      </c>
      <c r="J14" s="83">
        <f>IF(INDEX($M14:$AB14,$K14-1)&lt;&gt;0, INDEX($M14:$AB14,$K14-1), "")</f>
        <v>0.01122</v>
      </c>
      <c r="K14" s="82">
        <f>MATCH(MIN($P14,$T14,$X14,$AB14), $M14:$AB14,0)</f>
        <v>4</v>
      </c>
      <c r="L14" s="84">
        <f>IF(MIN($P14,$T14,$X14,$AB14)&lt;&gt;0,MIN($P14,$T14,$X14,$AB14),"")</f>
        <v>11.22</v>
      </c>
      <c r="M14" s="29" t="s">
        <v>93</v>
      </c>
      <c r="N14" s="17" t="s">
        <v>94</v>
      </c>
      <c r="O14" s="27">
        <v>0.01122</v>
      </c>
      <c r="P14" s="27">
        <v>11.22</v>
      </c>
      <c r="Q14" s="31" t="s">
        <v>106</v>
      </c>
      <c r="R14" s="17" t="s">
        <v>110</v>
      </c>
      <c r="S14" s="27">
        <v>0.013</v>
      </c>
      <c r="T14" s="27">
        <v>13</v>
      </c>
      <c r="U14" s="31" t="s">
        <v>107</v>
      </c>
      <c r="V14" s="17" t="s">
        <v>122</v>
      </c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42</v>
      </c>
      <c r="B15" s="11" t="s">
        <v>55</v>
      </c>
      <c r="C15" s="94" t="s">
        <v>65</v>
      </c>
      <c r="D15" s="43" t="s">
        <v>79</v>
      </c>
      <c r="E15" s="11">
        <v>2</v>
      </c>
      <c r="F15" s="76">
        <f t="shared" si="0" ref="F15:F27">E15*$B$10</f>
        <v>2000</v>
      </c>
      <c r="G15"/>
      <c r="H15" s="77" t="str">
        <f>IF(INDEX($M15:$AB15,$K15-3)&lt;&gt;0, INDEX($M15:$AB15,$K15-3), "")</f>
        <v>Mouser</v>
      </c>
      <c r="I15" s="78" t="str">
        <f>IF(INDEX($M15:$AB15,$K15-2)&lt;&gt;0, INDEX($M15:$AB15,$K15-2), "")</f>
        <v>187-CL10A106KP8NNNC</v>
      </c>
      <c r="J15" s="80">
        <f>IF(INDEX($M15:$AB15,$K15-1)&lt;&gt;0, INDEX($M15:$AB15,$K15-1), "")</f>
        <v>0.041</v>
      </c>
      <c r="K15" s="78">
        <f>MATCH(MIN($P15,$T15,$X15,$AB15), $M15:$AB15,0)</f>
        <v>8</v>
      </c>
      <c r="L15" s="79">
        <f>IF(MIN($P15,$T15,$X15,$AB15)&lt;&gt;0,MIN($P15,$T15,$X15,$AB15),"")</f>
        <v>82</v>
      </c>
      <c r="M15" s="30" t="s">
        <v>93</v>
      </c>
      <c r="N15" s="11" t="s">
        <v>95</v>
      </c>
      <c r="O15" s="28">
        <v>0.04309</v>
      </c>
      <c r="P15" s="28">
        <v>86.18</v>
      </c>
      <c r="Q15" s="32" t="s">
        <v>106</v>
      </c>
      <c r="R15" s="11" t="s">
        <v>111</v>
      </c>
      <c r="S15" s="28">
        <v>0.041</v>
      </c>
      <c r="T15" s="28">
        <v>82</v>
      </c>
      <c r="U15" s="32" t="s">
        <v>109</v>
      </c>
      <c r="V15" s="11" t="s">
        <v>123</v>
      </c>
      <c r="W15" s="28">
        <v>0.06584</v>
      </c>
      <c r="X15" s="28">
        <v>131.68</v>
      </c>
      <c r="Y15" s="32"/>
      <c r="Z15" s="11"/>
      <c r="AA15" s="28"/>
      <c r="AB15" s="66"/>
    </row>
    <row r="16" spans="1:28" s="2" customFormat="1" ht="16.5" customHeight="1">
      <c r="A16" s="53" t="s">
        <v>43</v>
      </c>
      <c r="B16" s="17" t="s">
        <v>55</v>
      </c>
      <c r="C16" s="93" t="s">
        <v>66</v>
      </c>
      <c r="D16" s="42" t="s">
        <v>80</v>
      </c>
      <c r="E16" s="17">
        <v>3</v>
      </c>
      <c r="F16" s="75">
        <f>E16*$B$10</f>
        <v>3000</v>
      </c>
      <c r="G16"/>
      <c r="H16" s="81" t="str">
        <f>IF(INDEX($M16:$AB16,$K16-3)&lt;&gt;0, INDEX($M16:$AB16,$K16-3), "")</f>
        <v>#N/A</v>
      </c>
      <c r="I16" s="82" t="str">
        <f>IF(INDEX($M16:$AB16,$K16-2)&lt;&gt;0, INDEX($M16:$AB16,$K16-2), "")</f>
        <v>#N/A</v>
      </c>
      <c r="J16" s="83" t="str">
        <f>IF(INDEX($M16:$AB16,$K16-1)&lt;&gt;0, INDEX($M16:$AB16,$K16-1), "")</f>
        <v>#N/A</v>
      </c>
      <c r="K16" s="82" t="str">
        <f>MATCH(MIN($P16,$T16,$X16,$AB16), $M16:$AB16,0)</f>
        <v>#N/A</v>
      </c>
      <c r="L16" s="84" t="str">
        <f>IF(MIN($P16,$T16,$X16,$AB16)&lt;&gt;0,MIN($P16,$T16,$X16,$AB16),"")</f>
        <v/>
      </c>
      <c r="M16" s="29" t="s">
        <v>93</v>
      </c>
      <c r="N16" s="17" t="s">
        <v>96</v>
      </c>
      <c r="O16" s="27"/>
      <c r="P16" s="27"/>
      <c r="Q16" s="31" t="s">
        <v>107</v>
      </c>
      <c r="R16" s="17" t="s">
        <v>112</v>
      </c>
      <c r="S16" s="27"/>
      <c r="T16" s="27"/>
      <c r="U16" s="31"/>
      <c r="V16" s="17"/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44</v>
      </c>
      <c r="B17" s="11" t="s">
        <v>56</v>
      </c>
      <c r="C17" s="94" t="s">
        <v>67</v>
      </c>
      <c r="D17" s="43" t="s">
        <v>81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Mouser</v>
      </c>
      <c r="I17" s="78" t="str">
        <f>IF(INDEX($M17:$AB17,$K17-2)&lt;&gt;0, INDEX($M17:$AB17,$K17-2), "")</f>
        <v>771-BAT54S235</v>
      </c>
      <c r="J17" s="80">
        <f>IF(INDEX($M17:$AB17,$K17-1)&lt;&gt;0, INDEX($M17:$AB17,$K17-1), "")</f>
        <v>0.03135</v>
      </c>
      <c r="K17" s="78">
        <f>MATCH(MIN($P17,$T17,$X17,$AB17), $M17:$AB17,0)</f>
        <v>8</v>
      </c>
      <c r="L17" s="79">
        <f>IF(MIN($P17,$T17,$X17,$AB17)&lt;&gt;0,MIN($P17,$T17,$X17,$AB17),"")</f>
        <v>31.35</v>
      </c>
      <c r="M17" s="30" t="s">
        <v>93</v>
      </c>
      <c r="N17" s="11" t="s">
        <v>97</v>
      </c>
      <c r="O17" s="28"/>
      <c r="P17" s="28"/>
      <c r="Q17" s="32" t="s">
        <v>106</v>
      </c>
      <c r="R17" s="11" t="s">
        <v>113</v>
      </c>
      <c r="S17" s="28">
        <v>0.03135</v>
      </c>
      <c r="T17" s="28">
        <v>31.35</v>
      </c>
      <c r="U17" s="32" t="s">
        <v>121</v>
      </c>
      <c r="V17" s="11" t="s">
        <v>124</v>
      </c>
      <c r="W17" s="28">
        <v>0.037</v>
      </c>
      <c r="X17" s="28">
        <v>37</v>
      </c>
      <c r="Y17" s="32"/>
      <c r="Z17" s="11"/>
      <c r="AA17" s="28"/>
      <c r="AB17" s="66"/>
    </row>
    <row r="18" spans="1:28" s="2" customFormat="1" ht="16.5" customHeight="1">
      <c r="A18" s="53" t="s">
        <v>45</v>
      </c>
      <c r="B18" s="17" t="s">
        <v>57</v>
      </c>
      <c r="C18" s="93" t="s">
        <v>68</v>
      </c>
      <c r="D18" s="42" t="s">
        <v>82</v>
      </c>
      <c r="E18" s="17">
        <v>6</v>
      </c>
      <c r="F18" s="75">
        <f>E18*$B$10</f>
        <v>6000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46</v>
      </c>
      <c r="B19" s="11" t="s">
        <v>58</v>
      </c>
      <c r="C19" s="94" t="s">
        <v>69</v>
      </c>
      <c r="D19" s="43" t="s">
        <v>83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RSComponents</v>
      </c>
      <c r="I19" s="78" t="str">
        <f>IF(INDEX($M19:$AB19,$K19-2)&lt;&gt;0, INDEX($M19:$AB19,$K19-2), "")</f>
        <v>1867479</v>
      </c>
      <c r="J19" s="80">
        <f>IF(INDEX($M19:$AB19,$K19-1)&lt;&gt;0, INDEX($M19:$AB19,$K19-1), "")</f>
        <v>0.14596</v>
      </c>
      <c r="K19" s="78">
        <f>MATCH(MIN($P19,$T19,$X19,$AB19), $M19:$AB19,0)</f>
        <v>12</v>
      </c>
      <c r="L19" s="79">
        <f>IF(MIN($P19,$T19,$X19,$AB19)&lt;&gt;0,MIN($P19,$T19,$X19,$AB19),"")</f>
        <v>145.96</v>
      </c>
      <c r="M19" s="30" t="s">
        <v>93</v>
      </c>
      <c r="N19" s="11" t="s">
        <v>98</v>
      </c>
      <c r="O19" s="28"/>
      <c r="P19" s="28"/>
      <c r="Q19" s="32" t="s">
        <v>106</v>
      </c>
      <c r="R19" s="11" t="s">
        <v>114</v>
      </c>
      <c r="S19" s="28">
        <v>0.152</v>
      </c>
      <c r="T19" s="28">
        <v>152</v>
      </c>
      <c r="U19" s="32" t="s">
        <v>121</v>
      </c>
      <c r="V19" s="11" t="s">
        <v>125</v>
      </c>
      <c r="W19" s="28">
        <v>0.14596</v>
      </c>
      <c r="X19" s="28">
        <v>145.96</v>
      </c>
      <c r="Y19" s="32"/>
      <c r="Z19" s="11"/>
      <c r="AA19" s="28"/>
      <c r="AB19" s="66"/>
    </row>
    <row r="20" spans="1:28" s="2" customFormat="1" ht="16.5" customHeight="1">
      <c r="A20" s="53" t="s">
        <v>47</v>
      </c>
      <c r="B20" s="17" t="s">
        <v>59</v>
      </c>
      <c r="C20" s="93" t="s">
        <v>70</v>
      </c>
      <c r="D20" s="42" t="s">
        <v>84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Mouser</v>
      </c>
      <c r="I20" s="82" t="str">
        <f>IF(INDEX($M20:$AB20,$K20-2)&lt;&gt;0, INDEX($M20:$AB20,$K20-2), "")</f>
        <v>810-MPZ1608S102ATA00</v>
      </c>
      <c r="J20" s="83">
        <f>IF(INDEX($M20:$AB20,$K20-1)&lt;&gt;0, INDEX($M20:$AB20,$K20-1), "")</f>
        <v>0.027</v>
      </c>
      <c r="K20" s="82">
        <f>MATCH(MIN($P20,$T20,$X20,$AB20), $M20:$AB20,0)</f>
        <v>8</v>
      </c>
      <c r="L20" s="84">
        <f>IF(MIN($P20,$T20,$X20,$AB20)&lt;&gt;0,MIN($P20,$T20,$X20,$AB20),"")</f>
        <v>27</v>
      </c>
      <c r="M20" s="29" t="s">
        <v>93</v>
      </c>
      <c r="N20" s="17" t="s">
        <v>99</v>
      </c>
      <c r="O20" s="27">
        <v>0.02717</v>
      </c>
      <c r="P20" s="27">
        <v>27.17</v>
      </c>
      <c r="Q20" s="31" t="s">
        <v>106</v>
      </c>
      <c r="R20" s="17" t="s">
        <v>115</v>
      </c>
      <c r="S20" s="27">
        <v>0.027</v>
      </c>
      <c r="T20" s="27">
        <v>27</v>
      </c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48</v>
      </c>
      <c r="B21" s="11" t="s">
        <v>60</v>
      </c>
      <c r="C21" s="94" t="s">
        <v>71</v>
      </c>
      <c r="D21" s="43" t="s">
        <v>85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/>
      <c r="N21" s="11"/>
      <c r="O21" s="28"/>
      <c r="P21" s="28"/>
      <c r="Q21" s="32"/>
      <c r="R21" s="11"/>
      <c r="S21" s="28"/>
      <c r="T21" s="28"/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49</v>
      </c>
      <c r="B22" s="17" t="s">
        <v>61</v>
      </c>
      <c r="C22" s="93" t="s">
        <v>72</v>
      </c>
      <c r="D22" s="42" t="s">
        <v>86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Digi-Key</v>
      </c>
      <c r="I22" s="82" t="str">
        <f>IF(INDEX($M22:$AB22,$K22-2)&lt;&gt;0, INDEX($M22:$AB22,$K22-2), "")</f>
        <v>587-2575-1-ND</v>
      </c>
      <c r="J22" s="83">
        <f>IF(INDEX($M22:$AB22,$K22-1)&lt;&gt;0, INDEX($M22:$AB22,$K22-1), "")</f>
        <v>0.1287</v>
      </c>
      <c r="K22" s="82">
        <f>MATCH(MIN($P22,$T22,$X22,$AB22), $M22:$AB22,0)</f>
        <v>4</v>
      </c>
      <c r="L22" s="84">
        <f>IF(MIN($P22,$T22,$X22,$AB22)&lt;&gt;0,MIN($P22,$T22,$X22,$AB22),"")</f>
        <v>128.7</v>
      </c>
      <c r="M22" s="29" t="s">
        <v>93</v>
      </c>
      <c r="N22" s="17" t="s">
        <v>100</v>
      </c>
      <c r="O22" s="27">
        <v>0.1287</v>
      </c>
      <c r="P22" s="27">
        <v>128.7</v>
      </c>
      <c r="Q22" s="31" t="s">
        <v>106</v>
      </c>
      <c r="R22" s="17" t="s">
        <v>116</v>
      </c>
      <c r="S22" s="27">
        <v>0.129</v>
      </c>
      <c r="T22" s="27">
        <v>129</v>
      </c>
      <c r="U22" s="31"/>
      <c r="V22" s="17"/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50</v>
      </c>
      <c r="B23" s="11" t="s">
        <v>62</v>
      </c>
      <c r="C23" s="94" t="s">
        <v>73</v>
      </c>
      <c r="D23" s="43" t="s">
        <v>87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#N/A</v>
      </c>
      <c r="I23" s="78" t="str">
        <f>IF(INDEX($M23:$AB23,$K23-2)&lt;&gt;0, INDEX($M23:$AB23,$K23-2), "")</f>
        <v>#N/A</v>
      </c>
      <c r="J23" s="80" t="str">
        <f>IF(INDEX($M23:$AB23,$K23-1)&lt;&gt;0, INDEX($M23:$AB23,$K23-1), "")</f>
        <v>#N/A</v>
      </c>
      <c r="K23" s="78" t="str">
        <f>MATCH(MIN($P23,$T23,$X23,$AB23), $M23:$AB23,0)</f>
        <v>#N/A</v>
      </c>
      <c r="L23" s="79" t="str">
        <f>IF(MIN($P23,$T23,$X23,$AB23)&lt;&gt;0,MIN($P23,$T23,$X23,$AB23),"")</f>
        <v/>
      </c>
      <c r="M23" s="30"/>
      <c r="N23" s="11"/>
      <c r="O23" s="28"/>
      <c r="P23" s="28"/>
      <c r="Q23" s="32"/>
      <c r="R23" s="11"/>
      <c r="S23" s="28"/>
      <c r="T23" s="28"/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51</v>
      </c>
      <c r="B24" s="17" t="s">
        <v>63</v>
      </c>
      <c r="C24" s="93" t="s">
        <v>74</v>
      </c>
      <c r="D24" s="42" t="s">
        <v>88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603-RC0402FR-07137KL</v>
      </c>
      <c r="J24" s="83">
        <f>IF(INDEX($M24:$AB24,$K24-1)&lt;&gt;0, INDEX($M24:$AB24,$K24-1), "")</f>
        <v>0.00299</v>
      </c>
      <c r="K24" s="82">
        <f>MATCH(MIN($P24,$T24,$X24,$AB24), $M24:$AB24,0)</f>
        <v>12</v>
      </c>
      <c r="L24" s="84">
        <f>IF(MIN($P24,$T24,$X24,$AB24)&lt;&gt;0,MIN($P24,$T24,$X24,$AB24),"")</f>
        <v>2.99</v>
      </c>
      <c r="M24" s="29" t="s">
        <v>93</v>
      </c>
      <c r="N24" s="17" t="s">
        <v>101</v>
      </c>
      <c r="O24" s="27">
        <v>0.003</v>
      </c>
      <c r="P24" s="27">
        <v>3</v>
      </c>
      <c r="Q24" s="31" t="s">
        <v>108</v>
      </c>
      <c r="R24" s="17" t="s">
        <v>74</v>
      </c>
      <c r="S24" s="27"/>
      <c r="T24" s="27"/>
      <c r="U24" s="31" t="s">
        <v>106</v>
      </c>
      <c r="V24" s="17" t="s">
        <v>126</v>
      </c>
      <c r="W24" s="27">
        <v>0.00299</v>
      </c>
      <c r="X24" s="27">
        <v>2.99</v>
      </c>
      <c r="Y24" s="31"/>
      <c r="Z24" s="17"/>
      <c r="AA24" s="27"/>
      <c r="AB24" s="65"/>
    </row>
    <row r="25" spans="1:28" s="2" customFormat="1" ht="16.5" customHeight="1">
      <c r="A25" s="54" t="s">
        <v>52</v>
      </c>
      <c r="B25" s="11" t="s">
        <v>62</v>
      </c>
      <c r="C25" s="94" t="s">
        <v>75</v>
      </c>
      <c r="D25" s="43" t="s">
        <v>89</v>
      </c>
      <c r="E25" s="11">
        <v>2</v>
      </c>
      <c r="F25" s="76">
        <f>E25*$B$10</f>
        <v>2000</v>
      </c>
      <c r="G25"/>
      <c r="H25" s="77" t="str">
        <f>IF(INDEX($M25:$AB25,$K25-3)&lt;&gt;0, INDEX($M25:$AB25,$K25-3), "")</f>
        <v>#N/A</v>
      </c>
      <c r="I25" s="78" t="str">
        <f>IF(INDEX($M25:$AB25,$K25-2)&lt;&gt;0, INDEX($M25:$AB25,$K25-2), "")</f>
        <v>#N/A</v>
      </c>
      <c r="J25" s="80" t="str">
        <f>IF(INDEX($M25:$AB25,$K25-1)&lt;&gt;0, INDEX($M25:$AB25,$K25-1), "")</f>
        <v>#N/A</v>
      </c>
      <c r="K25" s="78" t="str">
        <f>MATCH(MIN($P25,$T25,$X25,$AB25), $M25:$AB25,0)</f>
        <v>#N/A</v>
      </c>
      <c r="L25" s="79" t="str">
        <f>IF(MIN($P25,$T25,$X25,$AB25)&lt;&gt;0,MIN($P25,$T25,$X25,$AB25),"")</f>
        <v/>
      </c>
      <c r="M25" s="30"/>
      <c r="N25" s="11"/>
      <c r="O25" s="28"/>
      <c r="P25" s="28"/>
      <c r="Q25" s="32"/>
      <c r="R25" s="11"/>
      <c r="S25" s="28"/>
      <c r="T25" s="28"/>
      <c r="U25" s="32"/>
      <c r="V25" s="11"/>
      <c r="W25" s="28"/>
      <c r="X25" s="28"/>
      <c r="Y25" s="32"/>
      <c r="Z25" s="11"/>
      <c r="AA25" s="28"/>
      <c r="AB25" s="66"/>
    </row>
    <row r="26" spans="1:28" s="2" customFormat="1" ht="16.5" customHeight="1">
      <c r="A26" s="53" t="s">
        <v>53</v>
      </c>
      <c r="B26" s="17"/>
      <c r="C26" s="93" t="s">
        <v>76</v>
      </c>
      <c r="D26" s="42" t="s">
        <v>90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Mouser</v>
      </c>
      <c r="I26" s="82" t="str">
        <f>IF(INDEX($M26:$AB26,$K26-2)&lt;&gt;0, INDEX($M26:$AB26,$K26-2), "")</f>
        <v>595-TLV61220DBVR</v>
      </c>
      <c r="J26" s="83">
        <f>IF(INDEX($M26:$AB26,$K26-1)&lt;&gt;0, INDEX($M26:$AB26,$K26-1), "")</f>
        <v>0.525</v>
      </c>
      <c r="K26" s="82">
        <f>MATCH(MIN($P26,$T26,$X26,$AB26), $M26:$AB26,0)</f>
        <v>12</v>
      </c>
      <c r="L26" s="84">
        <f>IF(MIN($P26,$T26,$X26,$AB26)&lt;&gt;0,MIN($P26,$T26,$X26,$AB26),"")</f>
        <v>525</v>
      </c>
      <c r="M26" s="29" t="s">
        <v>93</v>
      </c>
      <c r="N26" s="17" t="s">
        <v>102</v>
      </c>
      <c r="O26" s="27">
        <v>0.5775</v>
      </c>
      <c r="P26" s="27">
        <v>577.5</v>
      </c>
      <c r="Q26" s="31" t="s">
        <v>109</v>
      </c>
      <c r="R26" s="17" t="s">
        <v>117</v>
      </c>
      <c r="S26" s="27">
        <v>0.61</v>
      </c>
      <c r="T26" s="27">
        <v>610</v>
      </c>
      <c r="U26" s="31" t="s">
        <v>106</v>
      </c>
      <c r="V26" s="17" t="s">
        <v>127</v>
      </c>
      <c r="W26" s="27">
        <v>0.525</v>
      </c>
      <c r="X26" s="27">
        <v>525</v>
      </c>
      <c r="Y26" s="31"/>
      <c r="Z26" s="17"/>
      <c r="AA26" s="27"/>
      <c r="AB26" s="65"/>
    </row>
    <row r="27" spans="1:28" s="2" customFormat="1" ht="16.5" customHeight="1">
      <c r="A27" s="54" t="s">
        <v>54</v>
      </c>
      <c r="B27" s="11"/>
      <c r="C27" s="94" t="s">
        <v>77</v>
      </c>
      <c r="D27" s="43" t="s">
        <v>91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Mouser</v>
      </c>
      <c r="I27" s="78" t="str">
        <f>IF(INDEX($M27:$AB27,$K27-2)&lt;&gt;0, INDEX($M27:$AB27,$K27-2), "")</f>
        <v>595-TPS2553DBVR</v>
      </c>
      <c r="J27" s="80">
        <f>IF(INDEX($M27:$AB27,$K27-1)&lt;&gt;0, INDEX($M27:$AB27,$K27-1), "")</f>
        <v>0.448</v>
      </c>
      <c r="K27" s="78">
        <f>MATCH(MIN($P27,$T27,$X27,$AB27), $M27:$AB27,0)</f>
        <v>12</v>
      </c>
      <c r="L27" s="79">
        <f>IF(MIN($P27,$T27,$X27,$AB27)&lt;&gt;0,MIN($P27,$T27,$X27,$AB27),"")</f>
        <v>448</v>
      </c>
      <c r="M27" s="30" t="s">
        <v>93</v>
      </c>
      <c r="N27" s="11" t="s">
        <v>103</v>
      </c>
      <c r="O27" s="28">
        <v>0.455</v>
      </c>
      <c r="P27" s="28">
        <v>455</v>
      </c>
      <c r="Q27" s="32" t="s">
        <v>109</v>
      </c>
      <c r="R27" s="11" t="s">
        <v>118</v>
      </c>
      <c r="S27" s="28">
        <v>0.59617</v>
      </c>
      <c r="T27" s="28">
        <v>596.17</v>
      </c>
      <c r="U27" s="32" t="s">
        <v>106</v>
      </c>
      <c r="V27" s="11" t="s">
        <v>128</v>
      </c>
      <c r="W27" s="28">
        <v>0.448</v>
      </c>
      <c r="X27" s="28">
        <v>448</v>
      </c>
      <c r="Y27" s="32"/>
      <c r="Z27" s="11"/>
      <c r="AA27" s="28"/>
      <c r="AB27" s="66"/>
    </row>
    <row r="28" spans="1:28" ht="14.25">
      <c r="A28" s="56" t="s">
        <v>19</v>
      </c>
      <c r="B28" s="39">
        <f>ROW(A27)-ROW(A$13)</f>
        <v>14</v>
      </c>
      <c r="C28" s="34"/>
      <c r="D28" s="36" t="s">
        <v>13</v>
      </c>
      <c r="E28" s="37">
        <f>SUM(E14:E27)</f>
        <v>23</v>
      </c>
      <c r="F28" s="57">
        <f>SUM(F14:F27)</f>
        <v>23000</v>
      </c>
      <c r="H28" s="35"/>
      <c r="I28" s="40" t="s">
        <v>13</v>
      </c>
      <c r="J28" s="41"/>
      <c r="K28" s="41"/>
      <c r="L28" s="85">
        <f>SUM(L14:L27)</f>
        <v>1402.22</v>
      </c>
      <c r="M28" s="35"/>
      <c r="N28" s="34"/>
      <c r="O28" s="34"/>
      <c r="P28" s="86"/>
      <c r="Q28" s="34"/>
      <c r="R28" s="34"/>
      <c r="S28" s="34"/>
      <c r="T28" s="86"/>
      <c r="U28" s="34"/>
      <c r="V28" s="34"/>
      <c r="W28" s="34"/>
      <c r="X28" s="86"/>
      <c r="Y28" s="34"/>
      <c r="Z28" s="34"/>
      <c r="AA28" s="34"/>
      <c r="AB28" s="85"/>
    </row>
    <row r="29" spans="1:28" ht="15" thickBot="1">
      <c r="A29" s="58"/>
      <c r="B29" s="59"/>
      <c r="C29" s="59"/>
      <c r="D29" s="59"/>
      <c r="E29" s="59"/>
      <c r="F29" s="60"/>
      <c r="H29" s="58"/>
      <c r="I29" s="68" t="s">
        <v>14</v>
      </c>
      <c r="J29" s="74"/>
      <c r="K29" s="69"/>
      <c r="L29" s="70">
        <f>L28/$B$10</f>
        <v>1.40222</v>
      </c>
      <c r="M29" s="58"/>
      <c r="N29" s="59"/>
      <c r="O29" s="59"/>
      <c r="P29" s="87"/>
      <c r="Q29" s="59"/>
      <c r="R29" s="59"/>
      <c r="S29" s="59"/>
      <c r="T29" s="87"/>
      <c r="U29" s="59"/>
      <c r="V29" s="59"/>
      <c r="W29" s="59"/>
      <c r="X29" s="87"/>
      <c r="Y29" s="59"/>
      <c r="Z29" s="59"/>
      <c r="AA29" s="59"/>
      <c r="AB29" s="88"/>
    </row>
    <row r="30" spans="1:28" ht="6" customHeight="1" thickTop="1">
      <c r="A30" s="45"/>
      <c r="B30" s="46"/>
      <c r="C30" s="46"/>
      <c r="D30" s="47"/>
      <c r="E30" s="48"/>
      <c r="F30" s="47"/>
      <c r="H30" s="47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2" spans="14:19">
      <c r="N32" s="2"/>
      <c r="O32" s="2"/>
      <c r="Q32" s="2"/>
      <c r="R32" s="2"/>
      <c r="S32" s="2"/>
    </row>
    <row r="33" spans="11:11">
      <c r="K33" s="1">
        <f>MIN($P32,$T32,$X32,$AB32)</f>
        <v>0</v>
      </c>
    </row>
    <row r="44" spans="1:2">
      <c r="A44" s="1"/>
      <c r="B44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