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<sst xmlns="http://schemas.openxmlformats.org/spreadsheetml/2006/main" uniqueCount="135">
  <si>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</si>
  <si>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</si>
  <si>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</si>
  <si>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</si>
  <si>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</si>
  <si>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</si>
  <si>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</si>
  <si>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</si>
  <si>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</si>
  <si>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</si>
  <si>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</si>
  <si>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</si>
  <si>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</si>
  <si>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</si>
  <si>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</si>
  <si>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</si>
  <si>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</si>
  <si>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</si>
  <si>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</si>
  <si>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</si>
  <si>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</si>
  <si>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</si>
  <si>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Part Number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</si>
  <si>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</si>
  <si>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</si>
  <si>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</si>
  <si>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</si>
  <si>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</si>
  <si>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</si>
  <si>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</si>
  <si>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</si>
  <si>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</si>
  <si>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</si>
  <si>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</si>
  <si>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</si>
  <si>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relative humidity and temperature module</t>
  </si>
  <si>
    <t>JacdacRHTemp 18.PrjPCB</t>
  </si>
  <si>
    <t>Bill of Materials for Variant [JLCPCB] of Project [JacdacRHTemp 18.PrjPCB] (No PCB Document Selected)</t>
  </si>
  <si>
    <t>JacdacRHTemp</t>
  </si>
  <si>
    <t>18</t>
  </si>
  <si>
    <t>JLCPCB</t>
  </si>
  <si>
    <t>1.2</t>
  </si>
  <si>
    <t>03/12/2021</t>
  </si>
  <si>
    <t>14:05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</si>
  <si>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</si>
  <si>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</si>
  <si>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</si>
  <si>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</si>
  <si>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</si>
  <si>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</si>
  <si>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</si>
  <si>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1615 Light Emitting Diodes (LED) RoHS</t>
  </si>
  <si>
    <t>0603 1k@100MHz 0.8A chip</t>
  </si>
  <si>
    <t>RES SMD 220 OHM 1% 1/16W 0402</t>
  </si>
  <si>
    <t>RES SMD 10K OHM 1% 1/16W 0402</t>
  </si>
  <si>
    <t>RES SMD 30 OHM 1% 1/16W 0402</t>
  </si>
  <si>
    <t>RES SMD 150 OHM 1% 1/16W 0402</t>
  </si>
  <si>
    <t>CMOS Low Dropout Regulator (LDO), 300 mA 3.3V, Non-Active Discharge, TSOP5</t>
  </si>
  <si>
    <t>ARM Cortex-M0 STM32F0 Microcontroller IC 32-Bit 48MHz 16KB (16K x 8) FLASH</t>
  </si>
  <si>
    <t>Humidity Temperature Sensor 0 ~ 100% RH I²C ±2% RH 8s Surface Mount</t>
  </si>
  <si>
    <t>Samsung</t>
  </si>
  <si>
    <t>Nexperia</t>
  </si>
  <si>
    <t>Born Semiconductor</t>
  </si>
  <si>
    <t>TUOZHAN</t>
  </si>
  <si>
    <t>TDK</t>
  </si>
  <si>
    <t>Uniroyal Elec</t>
  </si>
  <si>
    <t>UNI-ROYAL(Uniroyal Elec)</t>
  </si>
  <si>
    <t>Yageo</t>
  </si>
  <si>
    <t>ON Semiconductor</t>
  </si>
  <si>
    <t>STMicroelectronics</t>
  </si>
  <si>
    <t>Sensirion</t>
  </si>
  <si>
    <t>CL05C330JB5NNNC</t>
  </si>
  <si>
    <t>CL05A105KP5NNNC</t>
  </si>
  <si>
    <t>BAT54S,235</t>
  </si>
  <si>
    <t>RCLAMP0521P-N</t>
  </si>
  <si>
    <t>TZ-P4-1615RGBTCA1-0.55T</t>
  </si>
  <si>
    <t>MPZ1608S102ATA00</t>
  </si>
  <si>
    <t>0402WGF2200TCE</t>
  </si>
  <si>
    <t>0402WGF1002TCE</t>
  </si>
  <si>
    <t>RC0402FR-0730RL</t>
  </si>
  <si>
    <t>RC0402FR-07150RL</t>
  </si>
  <si>
    <t>NCP114BSN330T1G</t>
  </si>
  <si>
    <t>STM32F030F4P6</t>
  </si>
  <si>
    <t>SHTC3</t>
  </si>
  <si>
    <t>C1</t>
  </si>
  <si>
    <t>C2, C3, C4, C5</t>
  </si>
  <si>
    <t>D1</t>
  </si>
  <si>
    <t>D2, D3</t>
  </si>
  <si>
    <t>D6</t>
  </si>
  <si>
    <t>FB1</t>
  </si>
  <si>
    <t>R1</t>
  </si>
  <si>
    <t>R2, R3</t>
  </si>
  <si>
    <t>R4, R5</t>
  </si>
  <si>
    <t>R6</t>
  </si>
  <si>
    <t>U1</t>
  </si>
  <si>
    <t>U2</t>
  </si>
  <si>
    <t>U3</t>
  </si>
  <si>
    <t>Supplier 1</t>
  </si>
  <si>
    <t>Digi-Key</t>
  </si>
  <si>
    <t>LCSC</t>
  </si>
  <si>
    <t>Farnell</t>
  </si>
  <si>
    <t>1276-1272-1-ND</t>
  </si>
  <si>
    <t>1276-1076-1-ND</t>
  </si>
  <si>
    <t>1727-1868-1-ND</t>
  </si>
  <si>
    <t>445-8694-1-ND</t>
  </si>
  <si>
    <t>311-30LRCT-ND</t>
  </si>
  <si>
    <t>311-150LRCT-ND</t>
  </si>
  <si>
    <t>NCP114BSN330T1GOSCT-ND</t>
  </si>
  <si>
    <t>2393635</t>
  </si>
  <si>
    <t>1649-1100-1-ND</t>
  </si>
  <si>
    <t>Newark</t>
  </si>
  <si>
    <t>Mouser</t>
  </si>
  <si>
    <t>82AC9259</t>
  </si>
  <si>
    <t>187-CL05A105KP5NNNC</t>
  </si>
  <si>
    <t>771-BAT54S235</t>
  </si>
  <si>
    <t>810-MPZ1608S102ATA00</t>
  </si>
  <si>
    <t>603-RC0402FR-0730RL</t>
  </si>
  <si>
    <t>603-RC0402FR-07150RL</t>
  </si>
  <si>
    <t>863-NCP114BSN330T1G</t>
  </si>
  <si>
    <t>497-14044-5-ND</t>
  </si>
  <si>
    <t>403-SHTC3</t>
  </si>
  <si>
    <t>RSComponents</t>
  </si>
  <si>
    <t>187-CL05C330JB5NNNC</t>
  </si>
  <si>
    <t>3013329</t>
  </si>
  <si>
    <t>1707990</t>
  </si>
  <si>
    <t>1458775</t>
  </si>
  <si>
    <t>2421893</t>
  </si>
  <si>
    <t>1263179</t>
  </si>
  <si>
    <t>7925925P</t>
  </si>
  <si>
    <t>3106918</t>
  </si>
  <si>
    <t>Supplier Subtotal 3</t>
  </si>
  <si>
    <t>Supplier 4</t>
  </si>
  <si>
    <t>3013373RL</t>
  </si>
  <si>
    <t>1950668</t>
  </si>
  <si>
    <t>Supplier Subtotal 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</si>
</sst>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3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34</v>
      </c>
      <c r="B2" s="21" t="s">
        <v>8</v>
      </c>
      <c r="C2" s="21"/>
      <c r="D2" s="96" t="s">
        <v>35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36</v>
      </c>
      <c r="C3" s="5"/>
      <c r="D3" s="96" t="s">
        <v>37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31</v>
      </c>
      <c r="B4" s="98" t="s">
        <v>36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32</v>
      </c>
      <c r="B5" s="98" t="s">
        <v>38</v>
      </c>
      <c r="C5" s="98" t="s">
        <v>39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33</v>
      </c>
      <c r="B6" s="99" t="s">
        <v>40</v>
      </c>
      <c r="C6" s="99" t="s">
        <v>41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42</v>
      </c>
      <c r="C7" s="98" t="s">
        <v>43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44533</v>
      </c>
      <c r="C8" s="25">
        <f ca="1">NOW()</f>
        <v>44533.587465393517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44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45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46</v>
      </c>
      <c r="B13" s="50" t="s">
        <v>23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29</v>
      </c>
      <c r="K13" s="73" t="s">
        <v>30</v>
      </c>
      <c r="L13" s="52" t="s">
        <v>13</v>
      </c>
      <c r="M13" s="63" t="s">
        <v>97</v>
      </c>
      <c r="N13" s="50" t="s">
        <v>9</v>
      </c>
      <c r="O13" s="50" t="s">
        <v>25</v>
      </c>
      <c r="P13" s="50" t="s">
        <v>4</v>
      </c>
      <c r="Q13" s="64" t="s">
        <v>10</v>
      </c>
      <c r="R13" s="50" t="s">
        <v>11</v>
      </c>
      <c r="S13" s="50" t="s">
        <v>26</v>
      </c>
      <c r="T13" s="50" t="s">
        <v>12</v>
      </c>
      <c r="U13" s="64" t="s">
        <v>20</v>
      </c>
      <c r="V13" s="50" t="s">
        <v>21</v>
      </c>
      <c r="W13" s="50" t="s">
        <v>27</v>
      </c>
      <c r="X13" s="50" t="s">
        <v>130</v>
      </c>
      <c r="Y13" s="64" t="s">
        <v>131</v>
      </c>
      <c r="Z13" s="50" t="s">
        <v>22</v>
      </c>
      <c r="AA13" s="50" t="s">
        <v>28</v>
      </c>
      <c r="AB13" s="52" t="s">
        <v>134</v>
      </c>
    </row>
    <row r="14" spans="1:28" s="2" customFormat="1" ht="16.5" customHeight="1">
      <c r="A14" s="53" t="s">
        <v>47</v>
      </c>
      <c r="B14" s="17" t="s">
        <v>60</v>
      </c>
      <c r="C14" s="93" t="s">
        <v>71</v>
      </c>
      <c r="D14" s="42" t="s">
        <v>84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1276-1272-1-ND</v>
      </c>
      <c r="J14" s="83">
        <f>IF(INDEX($M14:$AB14,$K14-1)&lt;&gt;0, INDEX($M14:$AB14,$K14-1), "")</f>
        <v>0.00582</v>
      </c>
      <c r="K14" s="82">
        <f>MATCH(MIN($P14,$T14,$X14,$AB14), $M14:$AB14,0)</f>
        <v>4</v>
      </c>
      <c r="L14" s="84">
        <f>IF(MIN($P14,$T14,$X14,$AB14)&lt;&gt;0,MIN($P14,$T14,$X14,$AB14),"")</f>
        <v>5.82</v>
      </c>
      <c r="M14" s="29" t="s">
        <v>98</v>
      </c>
      <c r="N14" s="17" t="s">
        <v>101</v>
      </c>
      <c r="O14" s="27">
        <v>0.00582</v>
      </c>
      <c r="P14" s="27">
        <v>5.82</v>
      </c>
      <c r="Q14" s="31" t="s">
        <v>110</v>
      </c>
      <c r="R14" s="17" t="s">
        <v>112</v>
      </c>
      <c r="S14" s="27">
        <v>0.006</v>
      </c>
      <c r="T14" s="27">
        <v>6</v>
      </c>
      <c r="U14" s="31" t="s">
        <v>111</v>
      </c>
      <c r="V14" s="17" t="s">
        <v>122</v>
      </c>
      <c r="W14" s="27">
        <v>0.00733</v>
      </c>
      <c r="X14" s="27">
        <v>7.33</v>
      </c>
      <c r="Y14" s="31" t="s">
        <v>100</v>
      </c>
      <c r="Z14" s="17" t="s">
        <v>132</v>
      </c>
      <c r="AA14" s="27">
        <v>0.006</v>
      </c>
      <c r="AB14" s="65">
        <v>6</v>
      </c>
    </row>
    <row r="15" spans="1:28" s="2" customFormat="1" ht="16.5" customHeight="1">
      <c r="A15" s="54" t="s">
        <v>48</v>
      </c>
      <c r="B15" s="11" t="s">
        <v>60</v>
      </c>
      <c r="C15" s="94" t="s">
        <v>72</v>
      </c>
      <c r="D15" s="43" t="s">
        <v>85</v>
      </c>
      <c r="E15" s="11">
        <v>4</v>
      </c>
      <c r="F15" s="76">
        <f t="shared" si="0" ref="F15:F26">E15*$B$10</f>
        <v>4000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37.36</v>
      </c>
      <c r="M15" s="30" t="s">
        <v>98</v>
      </c>
      <c r="N15" s="11" t="s">
        <v>102</v>
      </c>
      <c r="O15" s="28">
        <v>0.00934</v>
      </c>
      <c r="P15" s="28">
        <v>37.36</v>
      </c>
      <c r="Q15" s="32" t="s">
        <v>111</v>
      </c>
      <c r="R15" s="11" t="s">
        <v>113</v>
      </c>
      <c r="S15" s="28">
        <v>0.011</v>
      </c>
      <c r="T15" s="28">
        <v>44</v>
      </c>
      <c r="U15" s="32" t="s">
        <v>100</v>
      </c>
      <c r="V15" s="11" t="s">
        <v>123</v>
      </c>
      <c r="W15" s="28">
        <v>0.01107</v>
      </c>
      <c r="X15" s="28">
        <v>44.26</v>
      </c>
      <c r="Y15" s="32"/>
      <c r="Z15" s="11"/>
      <c r="AA15" s="28"/>
      <c r="AB15" s="66"/>
    </row>
    <row r="16" spans="1:28" s="2" customFormat="1" ht="16.5" customHeight="1">
      <c r="A16" s="53" t="s">
        <v>49</v>
      </c>
      <c r="B16" s="17" t="s">
        <v>61</v>
      </c>
      <c r="C16" s="93" t="s">
        <v>73</v>
      </c>
      <c r="D16" s="42" t="s">
        <v>86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98</v>
      </c>
      <c r="N16" s="17" t="s">
        <v>103</v>
      </c>
      <c r="O16" s="27"/>
      <c r="P16" s="27"/>
      <c r="Q16" s="31" t="s">
        <v>111</v>
      </c>
      <c r="R16" s="17" t="s">
        <v>114</v>
      </c>
      <c r="S16" s="27">
        <v>0.03135</v>
      </c>
      <c r="T16" s="27">
        <v>31.35</v>
      </c>
      <c r="U16" s="31" t="s">
        <v>121</v>
      </c>
      <c r="V16" s="17" t="s">
        <v>124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50</v>
      </c>
      <c r="B17" s="11" t="s">
        <v>62</v>
      </c>
      <c r="C17" s="94" t="s">
        <v>74</v>
      </c>
      <c r="D17" s="43" t="s">
        <v>87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51</v>
      </c>
      <c r="B18" s="17" t="s">
        <v>63</v>
      </c>
      <c r="C18" s="93" t="s">
        <v>75</v>
      </c>
      <c r="D18" s="42" t="s">
        <v>88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99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52</v>
      </c>
      <c r="B19" s="11" t="s">
        <v>64</v>
      </c>
      <c r="C19" s="94" t="s">
        <v>76</v>
      </c>
      <c r="D19" s="43" t="s">
        <v>89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810-MPZ1608S102ATA00</v>
      </c>
      <c r="J19" s="80">
        <f>IF(INDEX($M19:$AB19,$K19-1)&lt;&gt;0, INDEX($M19:$AB19,$K19-1), "")</f>
        <v>0.027</v>
      </c>
      <c r="K19" s="78">
        <f>MATCH(MIN($P19,$T19,$X19,$AB19), $M19:$AB19,0)</f>
        <v>8</v>
      </c>
      <c r="L19" s="79">
        <f>IF(MIN($P19,$T19,$X19,$AB19)&lt;&gt;0,MIN($P19,$T19,$X19,$AB19),"")</f>
        <v>27</v>
      </c>
      <c r="M19" s="30" t="s">
        <v>98</v>
      </c>
      <c r="N19" s="11" t="s">
        <v>104</v>
      </c>
      <c r="O19" s="28">
        <v>0.02717</v>
      </c>
      <c r="P19" s="28">
        <v>27.17</v>
      </c>
      <c r="Q19" s="32" t="s">
        <v>111</v>
      </c>
      <c r="R19" s="11" t="s">
        <v>115</v>
      </c>
      <c r="S19" s="28">
        <v>0.027</v>
      </c>
      <c r="T19" s="28">
        <v>27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53</v>
      </c>
      <c r="B20" s="17" t="s">
        <v>65</v>
      </c>
      <c r="C20" s="93" t="s">
        <v>77</v>
      </c>
      <c r="D20" s="42" t="s">
        <v>90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/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54</v>
      </c>
      <c r="B21" s="11" t="s">
        <v>66</v>
      </c>
      <c r="C21" s="94" t="s">
        <v>78</v>
      </c>
      <c r="D21" s="43" t="s">
        <v>91</v>
      </c>
      <c r="E21" s="11">
        <v>2</v>
      </c>
      <c r="F21" s="76">
        <f>E21*$B$10</f>
        <v>2000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 t="s">
        <v>99</v>
      </c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55</v>
      </c>
      <c r="B22" s="17" t="s">
        <v>67</v>
      </c>
      <c r="C22" s="93" t="s">
        <v>79</v>
      </c>
      <c r="D22" s="42" t="s">
        <v>92</v>
      </c>
      <c r="E22" s="17">
        <v>2</v>
      </c>
      <c r="F22" s="75">
        <f>E22*$B$10</f>
        <v>2000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603-RC0402FR-0730RL</v>
      </c>
      <c r="J22" s="83">
        <f>IF(INDEX($M22:$AB22,$K22-1)&lt;&gt;0, INDEX($M22:$AB22,$K22-1), "")</f>
        <v>0.00299</v>
      </c>
      <c r="K22" s="82">
        <f>MATCH(MIN($P22,$T22,$X22,$AB22), $M22:$AB22,0)</f>
        <v>8</v>
      </c>
      <c r="L22" s="84">
        <f>IF(MIN($P22,$T22,$X22,$AB22)&lt;&gt;0,MIN($P22,$T22,$X22,$AB22),"")</f>
        <v>5.98</v>
      </c>
      <c r="M22" s="29" t="s">
        <v>98</v>
      </c>
      <c r="N22" s="17" t="s">
        <v>105</v>
      </c>
      <c r="O22" s="27">
        <v>0.00415</v>
      </c>
      <c r="P22" s="27">
        <v>8.3</v>
      </c>
      <c r="Q22" s="31" t="s">
        <v>111</v>
      </c>
      <c r="R22" s="17" t="s">
        <v>116</v>
      </c>
      <c r="S22" s="27">
        <v>0.00299</v>
      </c>
      <c r="T22" s="27">
        <v>5.98</v>
      </c>
      <c r="U22" s="31" t="s">
        <v>100</v>
      </c>
      <c r="V22" s="17" t="s">
        <v>125</v>
      </c>
      <c r="W22" s="27">
        <v>0.003</v>
      </c>
      <c r="X22" s="27">
        <v>6</v>
      </c>
      <c r="Y22" s="31"/>
      <c r="Z22" s="17"/>
      <c r="AA22" s="27"/>
      <c r="AB22" s="65"/>
    </row>
    <row r="23" spans="1:28" s="2" customFormat="1" ht="16.5" customHeight="1">
      <c r="A23" s="54" t="s">
        <v>56</v>
      </c>
      <c r="B23" s="11" t="s">
        <v>67</v>
      </c>
      <c r="C23" s="94" t="s">
        <v>80</v>
      </c>
      <c r="D23" s="43" t="s">
        <v>93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603-RC0402FR-07150RL</v>
      </c>
      <c r="J23" s="80">
        <f>IF(INDEX($M23:$AB23,$K23-1)&lt;&gt;0, INDEX($M23:$AB23,$K23-1), "")</f>
        <v>0.00299</v>
      </c>
      <c r="K23" s="78">
        <f>MATCH(MIN($P23,$T23,$X23,$AB23), $M23:$AB23,0)</f>
        <v>8</v>
      </c>
      <c r="L23" s="79">
        <f>IF(MIN($P23,$T23,$X23,$AB23)&lt;&gt;0,MIN($P23,$T23,$X23,$AB23),"")</f>
        <v>2.99</v>
      </c>
      <c r="M23" s="30" t="s">
        <v>98</v>
      </c>
      <c r="N23" s="11" t="s">
        <v>106</v>
      </c>
      <c r="O23" s="28"/>
      <c r="P23" s="28"/>
      <c r="Q23" s="32" t="s">
        <v>111</v>
      </c>
      <c r="R23" s="11" t="s">
        <v>117</v>
      </c>
      <c r="S23" s="28">
        <v>0.00299</v>
      </c>
      <c r="T23" s="28">
        <v>2.99</v>
      </c>
      <c r="U23" s="32" t="s">
        <v>100</v>
      </c>
      <c r="V23" s="11" t="s">
        <v>126</v>
      </c>
      <c r="W23" s="28">
        <v>0.003</v>
      </c>
      <c r="X23" s="28">
        <v>3</v>
      </c>
      <c r="Y23" s="32"/>
      <c r="Z23" s="11"/>
      <c r="AA23" s="28"/>
      <c r="AB23" s="66"/>
    </row>
    <row r="24" spans="1:28" s="2" customFormat="1" ht="16.5" customHeight="1">
      <c r="A24" s="53" t="s">
        <v>57</v>
      </c>
      <c r="B24" s="17" t="s">
        <v>68</v>
      </c>
      <c r="C24" s="93" t="s">
        <v>81</v>
      </c>
      <c r="D24" s="42" t="s">
        <v>94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RSComponents</v>
      </c>
      <c r="I24" s="82" t="str">
        <f>IF(INDEX($M24:$AB24,$K24-2)&lt;&gt;0, INDEX($M24:$AB24,$K24-2), "")</f>
        <v>1263179</v>
      </c>
      <c r="J24" s="83">
        <f>IF(INDEX($M24:$AB24,$K24-1)&lt;&gt;0, INDEX($M24:$AB24,$K24-1), "")</f>
        <v>0.09646</v>
      </c>
      <c r="K24" s="82">
        <f>MATCH(MIN($P24,$T24,$X24,$AB24), $M24:$AB24,0)</f>
        <v>12</v>
      </c>
      <c r="L24" s="84">
        <f>IF(MIN($P24,$T24,$X24,$AB24)&lt;&gt;0,MIN($P24,$T24,$X24,$AB24),"")</f>
        <v>96.46</v>
      </c>
      <c r="M24" s="29" t="s">
        <v>98</v>
      </c>
      <c r="N24" s="17" t="s">
        <v>107</v>
      </c>
      <c r="O24" s="27">
        <v>0.388</v>
      </c>
      <c r="P24" s="27">
        <v>388</v>
      </c>
      <c r="Q24" s="31" t="s">
        <v>111</v>
      </c>
      <c r="R24" s="17" t="s">
        <v>118</v>
      </c>
      <c r="S24" s="27">
        <v>0.111</v>
      </c>
      <c r="T24" s="27">
        <v>111</v>
      </c>
      <c r="U24" s="31" t="s">
        <v>121</v>
      </c>
      <c r="V24" s="17" t="s">
        <v>127</v>
      </c>
      <c r="W24" s="27">
        <v>0.09646</v>
      </c>
      <c r="X24" s="27">
        <v>96.46</v>
      </c>
      <c r="Y24" s="31"/>
      <c r="Z24" s="17"/>
      <c r="AA24" s="27"/>
      <c r="AB24" s="65"/>
    </row>
    <row r="25" spans="1:28" s="2" customFormat="1" ht="16.5" customHeight="1">
      <c r="A25" s="54" t="s">
        <v>58</v>
      </c>
      <c r="B25" s="11" t="s">
        <v>69</v>
      </c>
      <c r="C25" s="94" t="s">
        <v>82</v>
      </c>
      <c r="D25" s="43" t="s">
        <v>95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RSComponents</v>
      </c>
      <c r="I25" s="78" t="str">
        <f>IF(INDEX($M25:$AB25,$K25-2)&lt;&gt;0, INDEX($M25:$AB25,$K25-2), "")</f>
        <v>7925925P</v>
      </c>
      <c r="J25" s="80">
        <f>IF(INDEX($M25:$AB25,$K25-1)&lt;&gt;0, INDEX($M25:$AB25,$K25-1), "")</f>
        <v>0.63</v>
      </c>
      <c r="K25" s="78">
        <f>MATCH(MIN($P25,$T25,$X25,$AB25), $M25:$AB25,0)</f>
        <v>12</v>
      </c>
      <c r="L25" s="79">
        <f>IF(MIN($P25,$T25,$X25,$AB25)&lt;&gt;0,MIN($P25,$T25,$X25,$AB25),"")</f>
        <v>630</v>
      </c>
      <c r="M25" s="30" t="s">
        <v>100</v>
      </c>
      <c r="N25" s="11" t="s">
        <v>108</v>
      </c>
      <c r="O25" s="28">
        <v>1.74</v>
      </c>
      <c r="P25" s="28">
        <v>1742.85</v>
      </c>
      <c r="Q25" s="32" t="s">
        <v>98</v>
      </c>
      <c r="R25" s="11" t="s">
        <v>119</v>
      </c>
      <c r="S25" s="28">
        <v>0.934</v>
      </c>
      <c r="T25" s="28">
        <v>934</v>
      </c>
      <c r="U25" s="32" t="s">
        <v>121</v>
      </c>
      <c r="V25" s="11" t="s">
        <v>128</v>
      </c>
      <c r="W25" s="28">
        <v>0.63</v>
      </c>
      <c r="X25" s="28">
        <v>630</v>
      </c>
      <c r="Y25" s="32"/>
      <c r="Z25" s="11"/>
      <c r="AA25" s="28"/>
      <c r="AB25" s="66"/>
    </row>
    <row r="26" spans="1:28" s="2" customFormat="1" ht="16.5" customHeight="1">
      <c r="A26" s="53" t="s">
        <v>59</v>
      </c>
      <c r="B26" s="17" t="s">
        <v>70</v>
      </c>
      <c r="C26" s="93" t="s">
        <v>83</v>
      </c>
      <c r="D26" s="42" t="s">
        <v>96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RSComponents</v>
      </c>
      <c r="I26" s="82" t="str">
        <f>IF(INDEX($M26:$AB26,$K26-2)&lt;&gt;0, INDEX($M26:$AB26,$K26-2), "")</f>
        <v>1950668</v>
      </c>
      <c r="J26" s="83">
        <f>IF(INDEX($M26:$AB26,$K26-1)&lt;&gt;0, INDEX($M26:$AB26,$K26-1), "")</f>
        <v>1.57</v>
      </c>
      <c r="K26" s="82">
        <f>MATCH(MIN($P26,$T26,$X26,$AB26), $M26:$AB26,0)</f>
        <v>16</v>
      </c>
      <c r="L26" s="84">
        <f>IF(MIN($P26,$T26,$X26,$AB26)&lt;&gt;0,MIN($P26,$T26,$X26,$AB26),"")</f>
        <v>1570</v>
      </c>
      <c r="M26" s="29" t="s">
        <v>98</v>
      </c>
      <c r="N26" s="17" t="s">
        <v>109</v>
      </c>
      <c r="O26" s="27"/>
      <c r="P26" s="27"/>
      <c r="Q26" s="31" t="s">
        <v>111</v>
      </c>
      <c r="R26" s="17" t="s">
        <v>120</v>
      </c>
      <c r="S26" s="27"/>
      <c r="T26" s="27"/>
      <c r="U26" s="31" t="s">
        <v>100</v>
      </c>
      <c r="V26" s="17" t="s">
        <v>129</v>
      </c>
      <c r="W26" s="27">
        <v>2.06</v>
      </c>
      <c r="X26" s="27">
        <v>2060.99</v>
      </c>
      <c r="Y26" s="31" t="s">
        <v>121</v>
      </c>
      <c r="Z26" s="17" t="s">
        <v>133</v>
      </c>
      <c r="AA26" s="27">
        <v>1.57</v>
      </c>
      <c r="AB26" s="65">
        <v>1570</v>
      </c>
    </row>
    <row r="27" spans="1:28" ht="14.25">
      <c r="A27" s="56" t="s">
        <v>24</v>
      </c>
      <c r="B27" s="39">
        <f>ROW(A26)-ROW(A$13)</f>
        <v>13</v>
      </c>
      <c r="C27" s="34"/>
      <c r="D27" s="36" t="s">
        <v>16</v>
      </c>
      <c r="E27" s="37">
        <f>SUM(E14:E26)</f>
        <v>19</v>
      </c>
      <c r="F27" s="57">
        <f>SUM(F14:F26)</f>
        <v>19000</v>
      </c>
      <c r="H27" s="35"/>
      <c r="I27" s="40" t="s">
        <v>16</v>
      </c>
      <c r="J27" s="41"/>
      <c r="K27" s="41"/>
      <c r="L27" s="85">
        <f>SUM(L14:L26)</f>
        <v>2406.96</v>
      </c>
      <c r="M27" s="35"/>
      <c r="N27" s="34"/>
      <c r="O27" s="34"/>
      <c r="P27" s="86"/>
      <c r="Q27" s="34"/>
      <c r="R27" s="34"/>
      <c r="S27" s="34"/>
      <c r="T27" s="86"/>
      <c r="U27" s="34"/>
      <c r="V27" s="34"/>
      <c r="W27" s="34"/>
      <c r="X27" s="86"/>
      <c r="Y27" s="34"/>
      <c r="Z27" s="34"/>
      <c r="AA27" s="34"/>
      <c r="AB27" s="85"/>
    </row>
    <row r="28" spans="1:28" ht="15" thickBot="1">
      <c r="A28" s="58"/>
      <c r="B28" s="59"/>
      <c r="C28" s="59"/>
      <c r="D28" s="59"/>
      <c r="E28" s="59"/>
      <c r="F28" s="60"/>
      <c r="H28" s="58"/>
      <c r="I28" s="68" t="s">
        <v>17</v>
      </c>
      <c r="J28" s="74"/>
      <c r="K28" s="69"/>
      <c r="L28" s="70">
        <f>L27/$B$10</f>
        <v>2.40696</v>
      </c>
      <c r="M28" s="58"/>
      <c r="N28" s="59"/>
      <c r="O28" s="59"/>
      <c r="P28" s="87"/>
      <c r="Q28" s="59"/>
      <c r="R28" s="59"/>
      <c r="S28" s="59"/>
      <c r="T28" s="87"/>
      <c r="U28" s="59"/>
      <c r="V28" s="59"/>
      <c r="W28" s="59"/>
      <c r="X28" s="87"/>
      <c r="Y28" s="59"/>
      <c r="Z28" s="59"/>
      <c r="AA28" s="59"/>
      <c r="AB28" s="88"/>
    </row>
    <row r="29" spans="1:28" ht="6" customHeight="1" thickTop="1">
      <c r="A29" s="45"/>
      <c r="B29" s="46"/>
      <c r="C29" s="46"/>
      <c r="D29" s="47"/>
      <c r="E29" s="48"/>
      <c r="F29" s="47"/>
      <c r="H29" s="47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1" spans="14:19">
      <c r="N31" s="2"/>
      <c r="O31" s="2"/>
      <c r="Q31" s="2"/>
      <c r="R31" s="2"/>
      <c r="S31" s="2"/>
    </row>
    <row r="32" spans="11:11">
      <c r="K32" s="1">
        <f>MIN($P31,$T31,$X31,$AB31)</f>
        <v>0</v>
      </c>
    </row>
    <row r="43" spans="1:2">
      <c r="A43" s="1"/>
      <c r="B43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