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<sst xmlns="http://schemas.openxmlformats.org/spreadsheetml/2006/main" uniqueCount="124">
  <si>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</si>
  <si>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</si>
  <si>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</si>
  <si>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</si>
  <si>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</si>
  <si>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</si>
  <si>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</si>
  <si>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</si>
  <si>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</si>
  <si>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</si>
  <si>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</si>
  <si>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</si>
  <si>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</si>
  <si>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</si>
  <si>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</si>
  <si>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</si>
  <si>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</si>
  <si>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</si>
  <si>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Manufacturer</t>
  </si>
  <si>
    <t>number of line items</t>
  </si>
  <si>
    <t>Supplier Unit Price 1</t>
  </si>
  <si>
    <t>Supplier Unit Price 2</t>
  </si>
  <si>
    <t>Supplier Unit Price 3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</si>
  <si>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</si>
  <si>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</si>
  <si>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</si>
  <si>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</si>
  <si>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</si>
  <si>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</si>
  <si>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modules for exposing access switch devices</t>
  </si>
  <si>
    <t>JacdacAccessSwitchInput 34.PrjPCB</t>
  </si>
  <si>
    <t>Bill of Materials for Project [JacdacAccessSwitchInput 34.PrjPCB] (No PCB Document Selected)</t>
  </si>
  <si>
    <t>JacdacAccessSwitchInput</t>
  </si>
  <si>
    <t>34</t>
  </si>
  <si>
    <t>None</t>
  </si>
  <si>
    <t>1.4</t>
  </si>
  <si>
    <t>15/11/2021</t>
  </si>
  <si>
    <t>14:36</t>
  </si>
  <si>
    <t>1000</t>
  </si>
  <si>
    <t>USD</t>
  </si>
  <si>
    <t>Description</t>
  </si>
  <si>
    <t>CAP CER 33PF 50V NP0 0402</t>
  </si>
  <si>
    <t>CAP CER 1UF 10V X5R 0402</t>
  </si>
  <si>
    <t>DIODE ARRAY SCHOTTKY 30V SOT23</t>
  </si>
  <si>
    <t>Bidirectional 5V (Max) 6V 16V 3.5A (8/20us) 0402 TVS RoHS</t>
  </si>
  <si>
    <t>Red, Green, Blue (RGB) 626nm Red, 525nm Green, 470nm Blue LED Indication - Discrete 1.9V Red, 3.4V Green, 3.4V Blue 0606 (1616 Metric)</t>
  </si>
  <si>
    <t>0603 1k@100MHz 0.8A chip</t>
  </si>
  <si>
    <t>4-way 3.5mm jack socket SMD R/A TRRS</t>
  </si>
  <si>
    <t>Hack Connect Mini 1.27 mm pitch 2-row</t>
  </si>
  <si>
    <t>RES SMD 220 OHM 1% 1/16W 0402</t>
  </si>
  <si>
    <t>RES SMD 30 OHM 1% 1/16W 0402</t>
  </si>
  <si>
    <t>RES SMD 150 OHM 1% 1/16W 0402</t>
  </si>
  <si>
    <t>ON SEMICONDUCTOR - NCP114ASN330T1G - LDO Voltage Regulator, Fixed, 1.7 V to 5.5 V in, 3.3 V/300 mA out, 150 mV drop, TSOP-5</t>
  </si>
  <si>
    <t>STMICROELECTRONICS - STM32F030F4P6 - 32 Bit Microcontroller, Value Line, ARM Cortex-M0, 48 MHz, 16 KB, 4 KB, 20, TSSOP RoHS Compliant: Yes</t>
  </si>
  <si>
    <t>Samsung</t>
  </si>
  <si>
    <t>Nexperia</t>
  </si>
  <si>
    <t>Born Semiconductor</t>
  </si>
  <si>
    <t>Broadcom Avago</t>
  </si>
  <si>
    <t>TDK</t>
  </si>
  <si>
    <t>CUI</t>
  </si>
  <si>
    <t>Uniroyal Elec</t>
  </si>
  <si>
    <t>ON Semiconductor</t>
  </si>
  <si>
    <t>STMicroelectronics</t>
  </si>
  <si>
    <t>CL05C330JB51PNC</t>
  </si>
  <si>
    <t>CL05A105KP5NNNC</t>
  </si>
  <si>
    <t>BAT54S,235</t>
  </si>
  <si>
    <t>RCLAMP0521P-N</t>
  </si>
  <si>
    <t>HSMF-C114</t>
  </si>
  <si>
    <t>MPZ1608S102ATA00</t>
  </si>
  <si>
    <t>SJ-43515RS-SMT-TR</t>
  </si>
  <si>
    <t>0402WGF2200TCE</t>
  </si>
  <si>
    <t>0402WGF300JTCE</t>
  </si>
  <si>
    <t>0402WGF1500TCE</t>
  </si>
  <si>
    <t>NCP114ASN330T1G</t>
  </si>
  <si>
    <t>STM32F030F4P6</t>
  </si>
  <si>
    <t>C1</t>
  </si>
  <si>
    <t>C2, C3, C5</t>
  </si>
  <si>
    <t>D1</t>
  </si>
  <si>
    <t>D2, D3</t>
  </si>
  <si>
    <t>D6</t>
  </si>
  <si>
    <t>FB1</t>
  </si>
  <si>
    <t>J3</t>
  </si>
  <si>
    <t>J6</t>
  </si>
  <si>
    <t>R1</t>
  </si>
  <si>
    <t>R4, R5</t>
  </si>
  <si>
    <t>R6</t>
  </si>
  <si>
    <t>U1</t>
  </si>
  <si>
    <t>U2</t>
  </si>
  <si>
    <t>Supplier 1</t>
  </si>
  <si>
    <t>Digi-Key</t>
  </si>
  <si>
    <t>Farnell</t>
  </si>
  <si>
    <t>1276-6515-1-ND</t>
  </si>
  <si>
    <t>1276-1076-1-ND</t>
  </si>
  <si>
    <t>1727-1868-1-ND</t>
  </si>
  <si>
    <t>516-1795-1-ND</t>
  </si>
  <si>
    <t>445-8694-1-ND</t>
  </si>
  <si>
    <t>CP-43515RSSJCT-ND</t>
  </si>
  <si>
    <t>NCP114ASN330T1GOSCT-ND</t>
  </si>
  <si>
    <t>2393635</t>
  </si>
  <si>
    <t>Supplier Subtotal 1</t>
  </si>
  <si>
    <t>Supplier 2</t>
  </si>
  <si>
    <t>Mouser</t>
  </si>
  <si>
    <t>RSComponents</t>
  </si>
  <si>
    <t>187-CL05C330JB51PNC</t>
  </si>
  <si>
    <t>187-CL05A105KP5NNNC</t>
  </si>
  <si>
    <t>771-BAT54S235</t>
  </si>
  <si>
    <t>1058362</t>
  </si>
  <si>
    <t>810-MPZ1608S102ATA00</t>
  </si>
  <si>
    <t>1263178</t>
  </si>
  <si>
    <t>497-14044-5-ND</t>
  </si>
  <si>
    <t>Supplier Subtotal 2</t>
  </si>
  <si>
    <t>Supplier 3</t>
  </si>
  <si>
    <t>Future Electronics</t>
  </si>
  <si>
    <t>6022520</t>
  </si>
  <si>
    <t>3013329</t>
  </si>
  <si>
    <t>1707990</t>
  </si>
  <si>
    <t>630-HSMF-C114</t>
  </si>
  <si>
    <t>863-NCP114ASN330T1G</t>
  </si>
  <si>
    <t>7925925P</t>
  </si>
  <si>
    <t>Supplier Subtotal 3</t>
  </si>
  <si>
    <t>#Column Name Error:' Supplier 4</t>
  </si>
  <si>
    <t>#Column Name Error:' Supplier Part Number 4</t>
  </si>
  <si>
    <t>#Column Name Error:' Supplier Unit Price 4</t>
  </si>
  <si>
    <t>#Column Name Error:' Supplier Subtotal 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</si>
</sst>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3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28</v>
      </c>
      <c r="B2" s="21" t="s">
        <v>7</v>
      </c>
      <c r="C2" s="21"/>
      <c r="D2" s="96" t="s">
        <v>29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30</v>
      </c>
      <c r="C3" s="5"/>
      <c r="D3" s="96" t="s">
        <v>31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25</v>
      </c>
      <c r="B4" s="98" t="s">
        <v>30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26</v>
      </c>
      <c r="B5" s="98" t="s">
        <v>32</v>
      </c>
      <c r="C5" s="98" t="s">
        <v>33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27</v>
      </c>
      <c r="B6" s="99" t="s">
        <v>34</v>
      </c>
      <c r="C6" s="99" t="s">
        <v>35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36</v>
      </c>
      <c r="C7" s="98" t="s">
        <v>37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44515</v>
      </c>
      <c r="C8" s="25">
        <f ca="1">NOW()</f>
        <v>44515.608826469906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38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39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40</v>
      </c>
      <c r="B13" s="50" t="s">
        <v>18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23</v>
      </c>
      <c r="K13" s="73" t="s">
        <v>24</v>
      </c>
      <c r="L13" s="52" t="s">
        <v>10</v>
      </c>
      <c r="M13" s="63" t="s">
        <v>88</v>
      </c>
      <c r="N13" s="50" t="s">
        <v>8</v>
      </c>
      <c r="O13" s="50" t="s">
        <v>20</v>
      </c>
      <c r="P13" s="50" t="s">
        <v>99</v>
      </c>
      <c r="Q13" s="64" t="s">
        <v>100</v>
      </c>
      <c r="R13" s="50" t="s">
        <v>9</v>
      </c>
      <c r="S13" s="50" t="s">
        <v>21</v>
      </c>
      <c r="T13" s="50" t="s">
        <v>110</v>
      </c>
      <c r="U13" s="64" t="s">
        <v>111</v>
      </c>
      <c r="V13" s="50" t="s">
        <v>17</v>
      </c>
      <c r="W13" s="50" t="s">
        <v>22</v>
      </c>
      <c r="X13" s="50" t="s">
        <v>119</v>
      </c>
      <c r="Y13" s="64" t="s">
        <v>120</v>
      </c>
      <c r="Z13" s="50" t="s">
        <v>121</v>
      </c>
      <c r="AA13" s="50" t="s">
        <v>122</v>
      </c>
      <c r="AB13" s="52" t="s">
        <v>123</v>
      </c>
    </row>
    <row r="14" spans="1:28" s="2" customFormat="1" ht="16.5" customHeight="1">
      <c r="A14" s="53" t="s">
        <v>41</v>
      </c>
      <c r="B14" s="17" t="s">
        <v>54</v>
      </c>
      <c r="C14" s="93" t="s">
        <v>63</v>
      </c>
      <c r="D14" s="42" t="s">
        <v>75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1276-6515-1-ND</v>
      </c>
      <c r="J14" s="83">
        <f>IF(INDEX($M14:$AB14,$K14-1)&lt;&gt;0, INDEX($M14:$AB14,$K14-1), "")</f>
        <v>0.01122</v>
      </c>
      <c r="K14" s="82">
        <f>MATCH(MIN($P14,$T14,$X14,$AB14), $M14:$AB14,0)</f>
        <v>4</v>
      </c>
      <c r="L14" s="84">
        <f>IF(MIN($P14,$T14,$X14,$AB14)&lt;&gt;0,MIN($P14,$T14,$X14,$AB14),"")</f>
        <v>11.22</v>
      </c>
      <c r="M14" s="29" t="s">
        <v>89</v>
      </c>
      <c r="N14" s="17" t="s">
        <v>91</v>
      </c>
      <c r="O14" s="27">
        <v>0.01122</v>
      </c>
      <c r="P14" s="27">
        <v>11.22</v>
      </c>
      <c r="Q14" s="31" t="s">
        <v>101</v>
      </c>
      <c r="R14" s="17" t="s">
        <v>103</v>
      </c>
      <c r="S14" s="27">
        <v>0.013</v>
      </c>
      <c r="T14" s="27">
        <v>13</v>
      </c>
      <c r="U14" s="31" t="s">
        <v>112</v>
      </c>
      <c r="V14" s="17" t="s">
        <v>113</v>
      </c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42</v>
      </c>
      <c r="B15" s="11" t="s">
        <v>54</v>
      </c>
      <c r="C15" s="94" t="s">
        <v>64</v>
      </c>
      <c r="D15" s="43" t="s">
        <v>76</v>
      </c>
      <c r="E15" s="11">
        <v>3</v>
      </c>
      <c r="F15" s="76">
        <f t="shared" si="0" ref="F15:F26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0.00934</v>
      </c>
      <c r="K15" s="78">
        <f>MATCH(MIN($P15,$T15,$X15,$AB15), $M15:$AB15,0)</f>
        <v>4</v>
      </c>
      <c r="L15" s="79">
        <f>IF(MIN($P15,$T15,$X15,$AB15)&lt;&gt;0,MIN($P15,$T15,$X15,$AB15),"")</f>
        <v>28.02</v>
      </c>
      <c r="M15" s="30" t="s">
        <v>89</v>
      </c>
      <c r="N15" s="11" t="s">
        <v>92</v>
      </c>
      <c r="O15" s="28">
        <v>0.00934</v>
      </c>
      <c r="P15" s="28">
        <v>28.02</v>
      </c>
      <c r="Q15" s="32" t="s">
        <v>101</v>
      </c>
      <c r="R15" s="11" t="s">
        <v>104</v>
      </c>
      <c r="S15" s="28">
        <v>0.012</v>
      </c>
      <c r="T15" s="28">
        <v>36</v>
      </c>
      <c r="U15" s="32" t="s">
        <v>90</v>
      </c>
      <c r="V15" s="11" t="s">
        <v>114</v>
      </c>
      <c r="W15" s="28">
        <v>0.01245</v>
      </c>
      <c r="X15" s="28">
        <v>37.35</v>
      </c>
      <c r="Y15" s="32"/>
      <c r="Z15" s="11"/>
      <c r="AA15" s="28"/>
      <c r="AB15" s="66"/>
    </row>
    <row r="16" spans="1:28" s="2" customFormat="1" ht="16.5" customHeight="1">
      <c r="A16" s="53" t="s">
        <v>43</v>
      </c>
      <c r="B16" s="17" t="s">
        <v>55</v>
      </c>
      <c r="C16" s="93" t="s">
        <v>65</v>
      </c>
      <c r="D16" s="42" t="s">
        <v>77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0.03135</v>
      </c>
      <c r="K16" s="82">
        <f>MATCH(MIN($P16,$T16,$X16,$AB16), $M16:$AB16,0)</f>
        <v>8</v>
      </c>
      <c r="L16" s="84">
        <f>IF(MIN($P16,$T16,$X16,$AB16)&lt;&gt;0,MIN($P16,$T16,$X16,$AB16),"")</f>
        <v>31.35</v>
      </c>
      <c r="M16" s="29" t="s">
        <v>89</v>
      </c>
      <c r="N16" s="17" t="s">
        <v>93</v>
      </c>
      <c r="O16" s="27"/>
      <c r="P16" s="27"/>
      <c r="Q16" s="31" t="s">
        <v>101</v>
      </c>
      <c r="R16" s="17" t="s">
        <v>105</v>
      </c>
      <c r="S16" s="27">
        <v>0.03135</v>
      </c>
      <c r="T16" s="27">
        <v>31.35</v>
      </c>
      <c r="U16" s="31" t="s">
        <v>102</v>
      </c>
      <c r="V16" s="17" t="s">
        <v>115</v>
      </c>
      <c r="W16" s="27">
        <v>0.037</v>
      </c>
      <c r="X16" s="27">
        <v>37</v>
      </c>
      <c r="Y16" s="31"/>
      <c r="Z16" s="17"/>
      <c r="AA16" s="27"/>
      <c r="AB16" s="65"/>
    </row>
    <row r="17" spans="1:28" s="2" customFormat="1" ht="16.5" customHeight="1">
      <c r="A17" s="54" t="s">
        <v>44</v>
      </c>
      <c r="B17" s="11" t="s">
        <v>56</v>
      </c>
      <c r="C17" s="94" t="s">
        <v>66</v>
      </c>
      <c r="D17" s="43" t="s">
        <v>78</v>
      </c>
      <c r="E17" s="11">
        <v>2</v>
      </c>
      <c r="F17" s="76">
        <f>E17*$B$10</f>
        <v>2000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45</v>
      </c>
      <c r="B18" s="17" t="s">
        <v>57</v>
      </c>
      <c r="C18" s="93" t="s">
        <v>67</v>
      </c>
      <c r="D18" s="42" t="s">
        <v>79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Mouser</v>
      </c>
      <c r="I18" s="82" t="str">
        <f>IF(INDEX($M18:$AB18,$K18-2)&lt;&gt;0, INDEX($M18:$AB18,$K18-2), "")</f>
        <v>630-HSMF-C114</v>
      </c>
      <c r="J18" s="83">
        <f>IF(INDEX($M18:$AB18,$K18-1)&lt;&gt;0, INDEX($M18:$AB18,$K18-1), "")</f>
        <v>0.764</v>
      </c>
      <c r="K18" s="82">
        <f>MATCH(MIN($P18,$T18,$X18,$AB18), $M18:$AB18,0)</f>
        <v>12</v>
      </c>
      <c r="L18" s="84">
        <f>IF(MIN($P18,$T18,$X18,$AB18)&lt;&gt;0,MIN($P18,$T18,$X18,$AB18),"")</f>
        <v>764</v>
      </c>
      <c r="M18" s="29" t="s">
        <v>89</v>
      </c>
      <c r="N18" s="17" t="s">
        <v>94</v>
      </c>
      <c r="O18" s="27">
        <v>1.72</v>
      </c>
      <c r="P18" s="27">
        <v>1715.19</v>
      </c>
      <c r="Q18" s="31" t="s">
        <v>90</v>
      </c>
      <c r="R18" s="17" t="s">
        <v>106</v>
      </c>
      <c r="S18" s="27">
        <v>0.77625</v>
      </c>
      <c r="T18" s="27">
        <v>776.25</v>
      </c>
      <c r="U18" s="31" t="s">
        <v>101</v>
      </c>
      <c r="V18" s="17" t="s">
        <v>116</v>
      </c>
      <c r="W18" s="27">
        <v>0.764</v>
      </c>
      <c r="X18" s="27">
        <v>764</v>
      </c>
      <c r="Y18" s="31"/>
      <c r="Z18" s="17"/>
      <c r="AA18" s="27"/>
      <c r="AB18" s="65"/>
    </row>
    <row r="19" spans="1:28" s="2" customFormat="1" ht="16.5" customHeight="1">
      <c r="A19" s="54" t="s">
        <v>46</v>
      </c>
      <c r="B19" s="11" t="s">
        <v>58</v>
      </c>
      <c r="C19" s="94" t="s">
        <v>68</v>
      </c>
      <c r="D19" s="43" t="s">
        <v>80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Mouser</v>
      </c>
      <c r="I19" s="78" t="str">
        <f>IF(INDEX($M19:$AB19,$K19-2)&lt;&gt;0, INDEX($M19:$AB19,$K19-2), "")</f>
        <v>810-MPZ1608S102ATA00</v>
      </c>
      <c r="J19" s="80">
        <f>IF(INDEX($M19:$AB19,$K19-1)&lt;&gt;0, INDEX($M19:$AB19,$K19-1), "")</f>
        <v>0.027</v>
      </c>
      <c r="K19" s="78">
        <f>MATCH(MIN($P19,$T19,$X19,$AB19), $M19:$AB19,0)</f>
        <v>8</v>
      </c>
      <c r="L19" s="79">
        <f>IF(MIN($P19,$T19,$X19,$AB19)&lt;&gt;0,MIN($P19,$T19,$X19,$AB19),"")</f>
        <v>27</v>
      </c>
      <c r="M19" s="30" t="s">
        <v>89</v>
      </c>
      <c r="N19" s="11" t="s">
        <v>95</v>
      </c>
      <c r="O19" s="28">
        <v>0.02717</v>
      </c>
      <c r="P19" s="28">
        <v>27.17</v>
      </c>
      <c r="Q19" s="32" t="s">
        <v>101</v>
      </c>
      <c r="R19" s="11" t="s">
        <v>107</v>
      </c>
      <c r="S19" s="28">
        <v>0.027</v>
      </c>
      <c r="T19" s="28">
        <v>27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47</v>
      </c>
      <c r="B20" s="17" t="s">
        <v>59</v>
      </c>
      <c r="C20" s="93" t="s">
        <v>69</v>
      </c>
      <c r="D20" s="42" t="s">
        <v>81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Digi-Key</v>
      </c>
      <c r="I20" s="82" t="str">
        <f>IF(INDEX($M20:$AB20,$K20-2)&lt;&gt;0, INDEX($M20:$AB20,$K20-2), "")</f>
        <v>CP-43515RSSJCT-ND</v>
      </c>
      <c r="J20" s="83">
        <f>IF(INDEX($M20:$AB20,$K20-1)&lt;&gt;0, INDEX($M20:$AB20,$K20-1), "")</f>
        <v>0.666</v>
      </c>
      <c r="K20" s="82">
        <f>MATCH(MIN($P20,$T20,$X20,$AB20), $M20:$AB20,0)</f>
        <v>4</v>
      </c>
      <c r="L20" s="84">
        <f>IF(MIN($P20,$T20,$X20,$AB20)&lt;&gt;0,MIN($P20,$T20,$X20,$AB20),"")</f>
        <v>666</v>
      </c>
      <c r="M20" s="29" t="s">
        <v>89</v>
      </c>
      <c r="N20" s="17" t="s">
        <v>96</v>
      </c>
      <c r="O20" s="27">
        <v>0.666</v>
      </c>
      <c r="P20" s="27">
        <v>666</v>
      </c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48</v>
      </c>
      <c r="B21" s="11"/>
      <c r="C21" s="94"/>
      <c r="D21" s="43" t="s">
        <v>82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#N/A</v>
      </c>
      <c r="I21" s="78" t="str">
        <f>IF(INDEX($M21:$AB21,$K21-2)&lt;&gt;0, INDEX($M21:$AB21,$K21-2), "")</f>
        <v>#N/A</v>
      </c>
      <c r="J21" s="80" t="str">
        <f>IF(INDEX($M21:$AB21,$K21-1)&lt;&gt;0, INDEX($M21:$AB21,$K21-1), "")</f>
        <v>#N/A</v>
      </c>
      <c r="K21" s="78" t="str">
        <f>MATCH(MIN($P21,$T21,$X21,$AB21), $M21:$AB21,0)</f>
        <v>#N/A</v>
      </c>
      <c r="L21" s="79" t="str">
        <f>IF(MIN($P21,$T21,$X21,$AB21)&lt;&gt;0,MIN($P21,$T21,$X21,$AB21),"")</f>
        <v/>
      </c>
      <c r="M21" s="30"/>
      <c r="N21" s="11"/>
      <c r="O21" s="28"/>
      <c r="P21" s="28"/>
      <c r="Q21" s="32"/>
      <c r="R21" s="11"/>
      <c r="S21" s="28"/>
      <c r="T21" s="28"/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49</v>
      </c>
      <c r="B22" s="17" t="s">
        <v>60</v>
      </c>
      <c r="C22" s="93" t="s">
        <v>70</v>
      </c>
      <c r="D22" s="42" t="s">
        <v>83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#N/A</v>
      </c>
      <c r="I22" s="82" t="str">
        <f>IF(INDEX($M22:$AB22,$K22-2)&lt;&gt;0, INDEX($M22:$AB22,$K22-2), "")</f>
        <v>#N/A</v>
      </c>
      <c r="J22" s="83" t="str">
        <f>IF(INDEX($M22:$AB22,$K22-1)&lt;&gt;0, INDEX($M22:$AB22,$K22-1), "")</f>
        <v>#N/A</v>
      </c>
      <c r="K22" s="82" t="str">
        <f>MATCH(MIN($P22,$T22,$X22,$AB22), $M22:$AB22,0)</f>
        <v>#N/A</v>
      </c>
      <c r="L22" s="84" t="str">
        <f>IF(MIN($P22,$T22,$X22,$AB22)&lt;&gt;0,MIN($P22,$T22,$X22,$AB22),"")</f>
        <v/>
      </c>
      <c r="M22" s="29"/>
      <c r="N22" s="17"/>
      <c r="O22" s="27"/>
      <c r="P22" s="27"/>
      <c r="Q22" s="31"/>
      <c r="R22" s="17"/>
      <c r="S22" s="27"/>
      <c r="T22" s="27"/>
      <c r="U22" s="31"/>
      <c r="V22" s="17"/>
      <c r="W22" s="27"/>
      <c r="X22" s="27"/>
      <c r="Y22" s="31"/>
      <c r="Z22" s="17"/>
      <c r="AA22" s="27"/>
      <c r="AB22" s="65"/>
    </row>
    <row r="23" spans="1:28" s="2" customFormat="1" ht="16.5" customHeight="1">
      <c r="A23" s="54" t="s">
        <v>50</v>
      </c>
      <c r="B23" s="11" t="s">
        <v>60</v>
      </c>
      <c r="C23" s="94" t="s">
        <v>71</v>
      </c>
      <c r="D23" s="43" t="s">
        <v>84</v>
      </c>
      <c r="E23" s="11">
        <v>2</v>
      </c>
      <c r="F23" s="76">
        <f>E23*$B$10</f>
        <v>2000</v>
      </c>
      <c r="G23"/>
      <c r="H23" s="77" t="str">
        <f>IF(INDEX($M23:$AB23,$K23-3)&lt;&gt;0, INDEX($M23:$AB23,$K23-3), "")</f>
        <v>#N/A</v>
      </c>
      <c r="I23" s="78" t="str">
        <f>IF(INDEX($M23:$AB23,$K23-2)&lt;&gt;0, INDEX($M23:$AB23,$K23-2), "")</f>
        <v>#N/A</v>
      </c>
      <c r="J23" s="80" t="str">
        <f>IF(INDEX($M23:$AB23,$K23-1)&lt;&gt;0, INDEX($M23:$AB23,$K23-1), "")</f>
        <v>#N/A</v>
      </c>
      <c r="K23" s="78" t="str">
        <f>MATCH(MIN($P23,$T23,$X23,$AB23), $M23:$AB23,0)</f>
        <v>#N/A</v>
      </c>
      <c r="L23" s="79" t="str">
        <f>IF(MIN($P23,$T23,$X23,$AB23)&lt;&gt;0,MIN($P23,$T23,$X23,$AB23),"")</f>
        <v/>
      </c>
      <c r="M23" s="30"/>
      <c r="N23" s="11"/>
      <c r="O23" s="28"/>
      <c r="P23" s="28"/>
      <c r="Q23" s="32"/>
      <c r="R23" s="11"/>
      <c r="S23" s="28"/>
      <c r="T23" s="28"/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51</v>
      </c>
      <c r="B24" s="17" t="s">
        <v>60</v>
      </c>
      <c r="C24" s="93" t="s">
        <v>72</v>
      </c>
      <c r="D24" s="42" t="s">
        <v>85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/>
      <c r="N24" s="17"/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52</v>
      </c>
      <c r="B25" s="11" t="s">
        <v>61</v>
      </c>
      <c r="C25" s="94" t="s">
        <v>73</v>
      </c>
      <c r="D25" s="43" t="s">
        <v>86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Mouser</v>
      </c>
      <c r="I25" s="78" t="str">
        <f>IF(INDEX($M25:$AB25,$K25-2)&lt;&gt;0, INDEX($M25:$AB25,$K25-2), "")</f>
        <v>863-NCP114ASN330T1G</v>
      </c>
      <c r="J25" s="80">
        <f>IF(INDEX($M25:$AB25,$K25-1)&lt;&gt;0, INDEX($M25:$AB25,$K25-1), "")</f>
        <v>0.09646</v>
      </c>
      <c r="K25" s="78">
        <f>MATCH(MIN($P25,$T25,$X25,$AB25), $M25:$AB25,0)</f>
        <v>12</v>
      </c>
      <c r="L25" s="79">
        <f>IF(MIN($P25,$T25,$X25,$AB25)&lt;&gt;0,MIN($P25,$T25,$X25,$AB25),"")</f>
        <v>96.46</v>
      </c>
      <c r="M25" s="30" t="s">
        <v>89</v>
      </c>
      <c r="N25" s="11" t="s">
        <v>97</v>
      </c>
      <c r="O25" s="28">
        <v>0.116</v>
      </c>
      <c r="P25" s="28">
        <v>116</v>
      </c>
      <c r="Q25" s="32" t="s">
        <v>102</v>
      </c>
      <c r="R25" s="11" t="s">
        <v>108</v>
      </c>
      <c r="S25" s="28">
        <v>0.111</v>
      </c>
      <c r="T25" s="28">
        <v>111</v>
      </c>
      <c r="U25" s="32" t="s">
        <v>101</v>
      </c>
      <c r="V25" s="11" t="s">
        <v>117</v>
      </c>
      <c r="W25" s="28">
        <v>0.09646</v>
      </c>
      <c r="X25" s="28">
        <v>96.46</v>
      </c>
      <c r="Y25" s="32"/>
      <c r="Z25" s="11"/>
      <c r="AA25" s="28"/>
      <c r="AB25" s="66"/>
    </row>
    <row r="26" spans="1:28" s="2" customFormat="1" ht="16.5" customHeight="1">
      <c r="A26" s="53" t="s">
        <v>53</v>
      </c>
      <c r="B26" s="17" t="s">
        <v>62</v>
      </c>
      <c r="C26" s="93" t="s">
        <v>74</v>
      </c>
      <c r="D26" s="42" t="s">
        <v>87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Digi-Key</v>
      </c>
      <c r="I26" s="82" t="str">
        <f>IF(INDEX($M26:$AB26,$K26-2)&lt;&gt;0, INDEX($M26:$AB26,$K26-2), "")</f>
        <v>497-14044-5-ND</v>
      </c>
      <c r="J26" s="83">
        <f>IF(INDEX($M26:$AB26,$K26-1)&lt;&gt;0, INDEX($M26:$AB26,$K26-1), "")</f>
        <v>0.849</v>
      </c>
      <c r="K26" s="82">
        <f>MATCH(MIN($P26,$T26,$X26,$AB26), $M26:$AB26,0)</f>
        <v>8</v>
      </c>
      <c r="L26" s="84">
        <f>IF(MIN($P26,$T26,$X26,$AB26)&lt;&gt;0,MIN($P26,$T26,$X26,$AB26),"")</f>
        <v>849</v>
      </c>
      <c r="M26" s="29" t="s">
        <v>90</v>
      </c>
      <c r="N26" s="17" t="s">
        <v>98</v>
      </c>
      <c r="O26" s="27">
        <v>1.67</v>
      </c>
      <c r="P26" s="27">
        <v>1673.69</v>
      </c>
      <c r="Q26" s="31" t="s">
        <v>89</v>
      </c>
      <c r="R26" s="17" t="s">
        <v>109</v>
      </c>
      <c r="S26" s="27">
        <v>0.849</v>
      </c>
      <c r="T26" s="27">
        <v>849</v>
      </c>
      <c r="U26" s="31" t="s">
        <v>102</v>
      </c>
      <c r="V26" s="17" t="s">
        <v>118</v>
      </c>
      <c r="W26" s="27">
        <v>0.875</v>
      </c>
      <c r="X26" s="27">
        <v>875</v>
      </c>
      <c r="Y26" s="31"/>
      <c r="Z26" s="17"/>
      <c r="AA26" s="27"/>
      <c r="AB26" s="65"/>
    </row>
    <row r="27" spans="1:28" ht="14.25">
      <c r="A27" s="56" t="s">
        <v>19</v>
      </c>
      <c r="B27" s="39">
        <f>ROW(A26)-ROW(A$13)</f>
        <v>13</v>
      </c>
      <c r="C27" s="34"/>
      <c r="D27" s="36" t="s">
        <v>13</v>
      </c>
      <c r="E27" s="37">
        <f>SUM(E14:E26)</f>
        <v>17</v>
      </c>
      <c r="F27" s="57">
        <f>SUM(F14:F26)</f>
        <v>17000</v>
      </c>
      <c r="H27" s="35"/>
      <c r="I27" s="40" t="s">
        <v>13</v>
      </c>
      <c r="J27" s="41"/>
      <c r="K27" s="41"/>
      <c r="L27" s="85">
        <f>SUM(L14:L26)</f>
        <v>2473.05</v>
      </c>
      <c r="M27" s="35"/>
      <c r="N27" s="34"/>
      <c r="O27" s="34"/>
      <c r="P27" s="86"/>
      <c r="Q27" s="34"/>
      <c r="R27" s="34"/>
      <c r="S27" s="34"/>
      <c r="T27" s="86"/>
      <c r="U27" s="34"/>
      <c r="V27" s="34"/>
      <c r="W27" s="34"/>
      <c r="X27" s="86"/>
      <c r="Y27" s="34"/>
      <c r="Z27" s="34"/>
      <c r="AA27" s="34"/>
      <c r="AB27" s="85"/>
    </row>
    <row r="28" spans="1:28" ht="15" thickBot="1">
      <c r="A28" s="58"/>
      <c r="B28" s="59"/>
      <c r="C28" s="59"/>
      <c r="D28" s="59"/>
      <c r="E28" s="59"/>
      <c r="F28" s="60"/>
      <c r="H28" s="58"/>
      <c r="I28" s="68" t="s">
        <v>14</v>
      </c>
      <c r="J28" s="74"/>
      <c r="K28" s="69"/>
      <c r="L28" s="70">
        <f>L27/$B$10</f>
        <v>2.47305</v>
      </c>
      <c r="M28" s="58"/>
      <c r="N28" s="59"/>
      <c r="O28" s="59"/>
      <c r="P28" s="87"/>
      <c r="Q28" s="59"/>
      <c r="R28" s="59"/>
      <c r="S28" s="59"/>
      <c r="T28" s="87"/>
      <c r="U28" s="59"/>
      <c r="V28" s="59"/>
      <c r="W28" s="59"/>
      <c r="X28" s="87"/>
      <c r="Y28" s="59"/>
      <c r="Z28" s="59"/>
      <c r="AA28" s="59"/>
      <c r="AB28" s="88"/>
    </row>
    <row r="29" spans="1:28" ht="6" customHeight="1" thickTop="1">
      <c r="A29" s="45"/>
      <c r="B29" s="46"/>
      <c r="C29" s="46"/>
      <c r="D29" s="47"/>
      <c r="E29" s="48"/>
      <c r="F29" s="47"/>
      <c r="H29" s="47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1" spans="14:19">
      <c r="N31" s="2"/>
      <c r="O31" s="2"/>
      <c r="Q31" s="2"/>
      <c r="R31" s="2"/>
      <c r="S31" s="2"/>
    </row>
    <row r="32" spans="11:11">
      <c r="K32" s="1">
        <f>MIN($P31,$T31,$X31,$AB31)</f>
        <v>0</v>
      </c>
    </row>
    <row r="43" spans="1:2">
      <c r="A43" s="1"/>
      <c r="B43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