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EA2D9534-FDD1-4163-8530-0E0C2649AE4C}" xr6:coauthVersionLast="47" xr6:coauthVersionMax="47" xr10:uidLastSave="{00000000-0000-0000-0000-000000000000}"/>
  <bookViews>
    <workbookView xWindow="19095" yWindow="0" windowWidth="19410" windowHeight="20985" activeTab="1" xr2:uid="{432C428B-38F2-40D4-B093-3E544D75CE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P29" i="2"/>
  <c r="P28" i="2"/>
  <c r="P23" i="2"/>
  <c r="P24" i="2"/>
  <c r="P22" i="2"/>
  <c r="P19" i="2"/>
  <c r="P18" i="2"/>
  <c r="E39" i="2"/>
  <c r="F39" i="2"/>
  <c r="G39" i="2"/>
  <c r="H39" i="2"/>
  <c r="I39" i="2"/>
  <c r="D39" i="2"/>
  <c r="S18" i="2" l="1"/>
  <c r="S9" i="2" s="1"/>
  <c r="S4" i="2"/>
  <c r="O9" i="2"/>
  <c r="N9" i="2"/>
  <c r="O7" i="2"/>
  <c r="O36" i="2"/>
  <c r="S36" i="2"/>
  <c r="S28" i="2"/>
  <c r="S20" i="2"/>
  <c r="S21" i="2" s="1"/>
  <c r="O28" i="2"/>
  <c r="L7" i="1"/>
  <c r="L5" i="1"/>
  <c r="K35" i="2"/>
  <c r="K36" i="2" s="1"/>
  <c r="L8" i="1" s="1"/>
  <c r="I35" i="2"/>
  <c r="I36" i="2" s="1"/>
  <c r="J35" i="2"/>
  <c r="J36" i="2" s="1"/>
  <c r="H35" i="2"/>
  <c r="H36" i="2" s="1"/>
  <c r="G35" i="2"/>
  <c r="G36" i="2" s="1"/>
  <c r="F36" i="2"/>
  <c r="R18" i="2"/>
  <c r="R7" i="2" s="1"/>
  <c r="M5" i="1"/>
  <c r="R4" i="2"/>
  <c r="N7" i="2"/>
  <c r="R28" i="2"/>
  <c r="N20" i="2"/>
  <c r="N26" i="2" s="1"/>
  <c r="O20" i="2"/>
  <c r="O21" i="2" s="1"/>
  <c r="P20" i="2"/>
  <c r="P21" i="2" s="1"/>
  <c r="Q20" i="2"/>
  <c r="Q21" i="2" s="1"/>
  <c r="M20" i="2"/>
  <c r="M26" i="2" s="1"/>
  <c r="M30" i="2" s="1"/>
  <c r="N28" i="2"/>
  <c r="S7" i="2" l="1"/>
  <c r="R9" i="2"/>
  <c r="S26" i="2"/>
  <c r="S30" i="2" s="1"/>
  <c r="O26" i="2"/>
  <c r="R20" i="2"/>
  <c r="R21" i="2" s="1"/>
  <c r="P26" i="2"/>
  <c r="P30" i="2" s="1"/>
  <c r="N21" i="2"/>
  <c r="O30" i="2"/>
  <c r="M21" i="2"/>
  <c r="Q26" i="2"/>
  <c r="Q30" i="2" s="1"/>
  <c r="N30" i="2"/>
  <c r="R26" i="2" l="1"/>
  <c r="R30" i="2" s="1"/>
  <c r="D20" i="2"/>
  <c r="D21" i="2" s="1"/>
  <c r="E20" i="2"/>
  <c r="E26" i="2" s="1"/>
  <c r="F20" i="2"/>
  <c r="F26" i="2" s="1"/>
  <c r="G20" i="2"/>
  <c r="G21" i="2" s="1"/>
  <c r="H20" i="2"/>
  <c r="H26" i="2" s="1"/>
  <c r="C20" i="2"/>
  <c r="C26" i="2" s="1"/>
  <c r="C27" i="2" s="1"/>
  <c r="D2" i="2"/>
  <c r="E2" i="2" s="1"/>
  <c r="F2" i="2" s="1"/>
  <c r="G2" i="2" s="1"/>
  <c r="H2" i="2" s="1"/>
  <c r="I2" i="2" s="1"/>
  <c r="J2" i="2" s="1"/>
  <c r="K2" i="2" s="1"/>
  <c r="J32" i="2"/>
  <c r="J33" i="2" s="1"/>
  <c r="I32" i="2"/>
  <c r="I33" i="2" s="1"/>
  <c r="K33" i="2"/>
  <c r="I20" i="2"/>
  <c r="I26" i="2" s="1"/>
  <c r="K4" i="2"/>
  <c r="J4" i="2"/>
  <c r="K18" i="2"/>
  <c r="J18" i="2"/>
  <c r="L4" i="1"/>
  <c r="K20" i="2" l="1"/>
  <c r="K30" i="2" s="1"/>
  <c r="K39" i="2"/>
  <c r="J20" i="2"/>
  <c r="J26" i="2" s="1"/>
  <c r="J30" i="2" s="1"/>
  <c r="J39" i="2"/>
  <c r="D26" i="2"/>
  <c r="D30" i="2" s="1"/>
  <c r="C21" i="2"/>
  <c r="F27" i="2"/>
  <c r="F30" i="2"/>
  <c r="F32" i="2" s="1"/>
  <c r="F33" i="2" s="1"/>
  <c r="H27" i="2"/>
  <c r="H30" i="2"/>
  <c r="H32" i="2" s="1"/>
  <c r="H33" i="2" s="1"/>
  <c r="E27" i="2"/>
  <c r="E30" i="2"/>
  <c r="D27" i="2"/>
  <c r="G26" i="2"/>
  <c r="H21" i="2"/>
  <c r="F21" i="2"/>
  <c r="E21" i="2"/>
  <c r="K7" i="2"/>
  <c r="J7" i="2"/>
  <c r="J27" i="2"/>
  <c r="K27" i="2"/>
  <c r="J9" i="2"/>
  <c r="K9" i="2"/>
  <c r="I27" i="2"/>
  <c r="I30" i="2"/>
  <c r="I21" i="2"/>
  <c r="J21" i="2"/>
  <c r="K21" i="2"/>
  <c r="G30" i="2" l="1"/>
  <c r="G32" i="2" s="1"/>
  <c r="G33" i="2" s="1"/>
  <c r="G27" i="2"/>
</calcChain>
</file>

<file path=xl/sharedStrings.xml><?xml version="1.0" encoding="utf-8"?>
<sst xmlns="http://schemas.openxmlformats.org/spreadsheetml/2006/main" count="90" uniqueCount="90">
  <si>
    <t>Chegg</t>
  </si>
  <si>
    <t>Price</t>
  </si>
  <si>
    <t>S.O</t>
  </si>
  <si>
    <t>MC</t>
  </si>
  <si>
    <t>Cash</t>
  </si>
  <si>
    <t>Debt</t>
  </si>
  <si>
    <t>EV</t>
  </si>
  <si>
    <t>Ticker</t>
  </si>
  <si>
    <t>$CHGG</t>
  </si>
  <si>
    <t>fiscal year</t>
  </si>
  <si>
    <t>CEO</t>
  </si>
  <si>
    <t>Inc</t>
  </si>
  <si>
    <t>Business</t>
  </si>
  <si>
    <t>helps learners learn with confidence</t>
  </si>
  <si>
    <t>24/7 on demand support</t>
  </si>
  <si>
    <t>leverage ai</t>
  </si>
  <si>
    <t>aim to build personalized coaching and analytics so students can assess and compare their progress with others</t>
  </si>
  <si>
    <t>2 service categories</t>
  </si>
  <si>
    <t>Subscription</t>
  </si>
  <si>
    <t>Chegg Study pack, Chegg study, Chegg writing, Cheg math and Busuu offerings that can be accesses internationally</t>
  </si>
  <si>
    <t>Skills &amp; other</t>
  </si>
  <si>
    <t>Chegg skills, ad services, print textbooks and eToextbook offerings</t>
  </si>
  <si>
    <t>subscr service subs</t>
  </si>
  <si>
    <t># in millions</t>
  </si>
  <si>
    <t>employees</t>
  </si>
  <si>
    <t>acquired Busuu in 2022</t>
  </si>
  <si>
    <t>revenue</t>
  </si>
  <si>
    <t>subscr service rev</t>
  </si>
  <si>
    <t>skills &amp; other subs</t>
  </si>
  <si>
    <t>skills &amp; other rev</t>
  </si>
  <si>
    <t>subscr service % of rev</t>
  </si>
  <si>
    <t>skills &amp; other % of rev</t>
  </si>
  <si>
    <t>cost of  rev</t>
  </si>
  <si>
    <t>r&amp;d</t>
  </si>
  <si>
    <t>s&amp;m</t>
  </si>
  <si>
    <t>gross profit</t>
  </si>
  <si>
    <t>income (loss) from operations</t>
  </si>
  <si>
    <t>income tax benefit (provision)</t>
  </si>
  <si>
    <t>net income</t>
  </si>
  <si>
    <t>rev per subcr sub</t>
  </si>
  <si>
    <t>gross margin</t>
  </si>
  <si>
    <t>gross margin w/ op expenses</t>
  </si>
  <si>
    <t>total other income (expense)</t>
  </si>
  <si>
    <t>cash @ beginning of period</t>
  </si>
  <si>
    <t>cash @ end of period</t>
  </si>
  <si>
    <t>cash change between periods</t>
  </si>
  <si>
    <t>q123</t>
  </si>
  <si>
    <t>q223</t>
  </si>
  <si>
    <t>q323</t>
  </si>
  <si>
    <t>q423</t>
  </si>
  <si>
    <t>q124</t>
  </si>
  <si>
    <t>q224</t>
  </si>
  <si>
    <t>impairment expense</t>
  </si>
  <si>
    <t>q2 ER call notes</t>
  </si>
  <si>
    <t>integrate AI into Chegg Stufy</t>
  </si>
  <si>
    <t>want to evolve Chegg from solutions-based study platform to one that suports the whole student with 360 degrees of individsualized academic and functional support</t>
  </si>
  <si>
    <t>70% o fsubs are engaging in conversational instruction</t>
  </si>
  <si>
    <t>students asking more questions</t>
  </si>
  <si>
    <t># of questions asked increased 74% yoy</t>
  </si>
  <si>
    <t>in H1 '24, students asked 16.2 million questions. 109% yoy increase</t>
  </si>
  <si>
    <t>key differentiators:</t>
  </si>
  <si>
    <t xml:space="preserve">obsessed with studying students. Have more than a decade of insigts into students needs, motications, and behaviors. </t>
  </si>
  <si>
    <t xml:space="preserve">applied deep learning science from an in house team to create vertixalized user experience </t>
  </si>
  <si>
    <t>step by step solutions, jargon free explanations, simplified convepts to maske learning accessable</t>
  </si>
  <si>
    <t>basic sub - $14.95</t>
  </si>
  <si>
    <t>study pack - $19.95</t>
  </si>
  <si>
    <t>chegg writing servi cece - $9.95</t>
  </si>
  <si>
    <t>chegg math solver - 9.95</t>
  </si>
  <si>
    <t>in a study of 11k students globally, 47% said receiving inorrect info with Gen AI was a top concern</t>
  </si>
  <si>
    <t>this lack of trust led 67% of students to spend additional time verifying the info they get - inefficient and Chegg can do beter</t>
  </si>
  <si>
    <t>chegg brand awareness</t>
  </si>
  <si>
    <t>75% of US college students have heard of chegg</t>
  </si>
  <si>
    <t>Chegg Perks program expansion</t>
  </si>
  <si>
    <t>Tinder, DoorDash, Comm and others to enrich the value of a Chegg sub</t>
  </si>
  <si>
    <t>hamper down on 6 key markets:</t>
  </si>
  <si>
    <t>canada, Austraslia, UK, Turkey, South Korea, Mexico</t>
  </si>
  <si>
    <t>chegg study pack subs</t>
  </si>
  <si>
    <t>study pack monthy retention</t>
  </si>
  <si>
    <t>US rev</t>
  </si>
  <si>
    <t>Intl Rev</t>
  </si>
  <si>
    <t>g&amp;a</t>
  </si>
  <si>
    <t>op cash flow</t>
  </si>
  <si>
    <t>capex</t>
  </si>
  <si>
    <t>fcf</t>
  </si>
  <si>
    <t xml:space="preserve"> </t>
  </si>
  <si>
    <t>ev / fcf</t>
  </si>
  <si>
    <t>q324</t>
  </si>
  <si>
    <t>total questions asked</t>
  </si>
  <si>
    <t>study pack rev</t>
  </si>
  <si>
    <t>rev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</si>
</sst>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_);\(0.00\)"/>
    <numFmt numFmtId="165" formatCode="0.0_);\(0.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8" fontId="0" fillId="0" borderId="0" xfId="0" applyNumberFormat="1"/>
    <xf numFmtId="16" fontId="0" fillId="0" borderId="0" xfId="0" applyNumberFormat="1"/>
    <xf numFmtId="3" fontId="0" fillId="0" borderId="0" xfId="0" applyNumberFormat="1"/>
    <xf numFmtId="0" fontId="2" fillId="0" borderId="0" xfId="0" applyFont="1"/>
    <xf numFmtId="17" fontId="0" fillId="0" borderId="0" xfId="0" applyNumberFormat="1"/>
    <xf numFmtId="9" fontId="0" fillId="0" borderId="0" xfId="1" applyFont="1"/>
    <xf numFmtId="164" fontId="0" fillId="0" borderId="0" xfId="0" applyNumberFormat="1"/>
    <xf numFmtId="164" fontId="2" fillId="0" borderId="0" xfId="0" applyNumberFormat="1" applyFont="1"/>
    <xf numFmtId="9" fontId="2" fillId="0" borderId="0" xfId="1" applyFont="1"/>
    <xf numFmtId="9" fontId="1" fillId="0" borderId="0" xfId="1" applyFont="1"/>
    <xf numFmtId="165" fontId="0" fillId="0" borderId="0" xfId="0" applyNumberForma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165" fontId="0" fillId="0" borderId="1" xfId="0" applyNumberFormat="1" applyBorder="1"/>
    <xf numFmtId="164" fontId="2" fillId="0" borderId="1" xfId="0" applyNumberFormat="1" applyFont="1" applyBorder="1"/>
    <xf numFmtId="9" fontId="1" fillId="0" borderId="1" xfId="1" applyFont="1" applyBorder="1"/>
    <xf numFmtId="9" fontId="2" fillId="0" borderId="1" xfId="1" applyFont="1" applyBorder="1"/>
    <xf numFmtId="164" fontId="0" fillId="0" borderId="1" xfId="0" applyNumberFormat="1" applyBorder="1"/>
    <xf numFmtId="165" fontId="2" fillId="0" borderId="0" xfId="0" applyNumberFormat="1" applyFont="1"/>
    <xf numFmtId="10" fontId="0" fillId="0" borderId="0" xfId="0" applyNumberFormat="1"/>
    <xf numFmtId="0" fontId="2" fillId="0" borderId="0" xfId="0" applyFont="1" applyBorder="1"/>
    <xf numFmtId="0" fontId="0" fillId="0" borderId="0" xfId="0" applyBorder="1"/>
    <xf numFmtId="9" fontId="0" fillId="0" borderId="0" xfId="1" applyFont="1" applyBorder="1"/>
    <xf numFmtId="165" fontId="0" fillId="0" borderId="0" xfId="0" applyNumberFormat="1" applyBorder="1"/>
    <xf numFmtId="164" fontId="2" fillId="0" borderId="0" xfId="0" applyNumberFormat="1" applyFont="1" applyBorder="1"/>
    <xf numFmtId="9" fontId="1" fillId="0" borderId="0" xfId="1" applyFont="1" applyBorder="1"/>
    <xf numFmtId="9" fontId="2" fillId="0" borderId="0" xfId="1" applyFont="1" applyBorder="1"/>
    <xf numFmtId="164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4A93-4D95-4F7A-9086-2F359A67F391}">
  <dimension ref="B1:M47"/>
  <sheetViews>
    <sheetView topLeftCell="A21" zoomScale="120" zoomScaleNormal="120" workbookViewId="0">
      <selection activeCell="L7" sqref="L7"/>
    </sheetView>
  </sheetViews>
  <sheetFormatPr defaultRowHeight="15" x14ac:dyDescent="0.25"/>
  <cols>
    <col min="12" max="12" width="16.42578125" bestFit="1" customWidth="1"/>
  </cols>
  <sheetData>
    <row r="1" spans="2:13" ht="24" x14ac:dyDescent="0.4">
      <c r="B1" s="1" t="s">
        <v>0</v>
      </c>
    </row>
    <row r="2" spans="2:13" x14ac:dyDescent="0.25">
      <c r="K2" t="s">
        <v>1</v>
      </c>
      <c r="L2" s="2">
        <v>1.7</v>
      </c>
    </row>
    <row r="3" spans="2:13" x14ac:dyDescent="0.25">
      <c r="B3" t="s">
        <v>7</v>
      </c>
      <c r="C3" t="s">
        <v>8</v>
      </c>
      <c r="K3" t="s">
        <v>2</v>
      </c>
      <c r="L3" s="4">
        <v>102.9</v>
      </c>
    </row>
    <row r="4" spans="2:13" x14ac:dyDescent="0.25">
      <c r="B4" t="s">
        <v>9</v>
      </c>
      <c r="C4" s="3">
        <v>45657</v>
      </c>
      <c r="K4" t="s">
        <v>3</v>
      </c>
      <c r="L4" s="2">
        <f>L3*L2</f>
        <v>174.93</v>
      </c>
    </row>
    <row r="5" spans="2:13" x14ac:dyDescent="0.25">
      <c r="B5" t="s">
        <v>10</v>
      </c>
      <c r="K5" t="s">
        <v>4</v>
      </c>
      <c r="L5">
        <f>152+209</f>
        <v>361</v>
      </c>
      <c r="M5">
        <f>135.7+212</f>
        <v>347.7</v>
      </c>
    </row>
    <row r="6" spans="2:13" x14ac:dyDescent="0.25">
      <c r="B6" t="s">
        <v>11</v>
      </c>
      <c r="C6" s="6">
        <v>38534</v>
      </c>
      <c r="K6" t="s">
        <v>5</v>
      </c>
      <c r="L6">
        <v>518</v>
      </c>
    </row>
    <row r="7" spans="2:13" x14ac:dyDescent="0.25">
      <c r="B7" t="s">
        <v>24</v>
      </c>
      <c r="C7">
        <v>1979</v>
      </c>
      <c r="K7" t="s">
        <v>6</v>
      </c>
      <c r="L7" s="2">
        <f>L4-L5+L6</f>
        <v>331.93</v>
      </c>
    </row>
    <row r="8" spans="2:13" x14ac:dyDescent="0.25">
      <c r="K8" t="s">
        <v>85</v>
      </c>
      <c r="L8" s="2">
        <f>L7/Sheet2!K36</f>
        <v>2.035131820968731</v>
      </c>
    </row>
    <row r="9" spans="2:13" x14ac:dyDescent="0.25">
      <c r="B9" t="s">
        <v>12</v>
      </c>
    </row>
    <row r="10" spans="2:13" x14ac:dyDescent="0.25">
      <c r="C10" t="s">
        <v>13</v>
      </c>
    </row>
    <row r="11" spans="2:13" x14ac:dyDescent="0.25">
      <c r="C11" t="s">
        <v>14</v>
      </c>
    </row>
    <row r="12" spans="2:13" x14ac:dyDescent="0.25">
      <c r="C12" t="s">
        <v>15</v>
      </c>
    </row>
    <row r="13" spans="2:13" x14ac:dyDescent="0.25">
      <c r="C13" t="s">
        <v>16</v>
      </c>
    </row>
    <row r="14" spans="2:13" x14ac:dyDescent="0.25">
      <c r="C14" s="5" t="s">
        <v>17</v>
      </c>
    </row>
    <row r="15" spans="2:13" x14ac:dyDescent="0.25">
      <c r="D15" t="s">
        <v>18</v>
      </c>
    </row>
    <row r="16" spans="2:13" x14ac:dyDescent="0.25">
      <c r="E16" t="s">
        <v>19</v>
      </c>
    </row>
    <row r="17" spans="2:5" x14ac:dyDescent="0.25">
      <c r="D17" t="s">
        <v>20</v>
      </c>
    </row>
    <row r="18" spans="2:5" x14ac:dyDescent="0.25">
      <c r="E18" t="s">
        <v>21</v>
      </c>
    </row>
    <row r="19" spans="2:5" x14ac:dyDescent="0.25">
      <c r="C19" t="s">
        <v>64</v>
      </c>
    </row>
    <row r="20" spans="2:5" x14ac:dyDescent="0.25">
      <c r="C20" t="s">
        <v>65</v>
      </c>
    </row>
    <row r="21" spans="2:5" x14ac:dyDescent="0.25">
      <c r="C21" t="s">
        <v>66</v>
      </c>
    </row>
    <row r="22" spans="2:5" x14ac:dyDescent="0.25">
      <c r="C22" t="s">
        <v>67</v>
      </c>
    </row>
    <row r="26" spans="2:5" x14ac:dyDescent="0.25">
      <c r="B26" t="s">
        <v>25</v>
      </c>
    </row>
    <row r="29" spans="2:5" x14ac:dyDescent="0.25">
      <c r="B29" t="s">
        <v>53</v>
      </c>
    </row>
    <row r="30" spans="2:5" x14ac:dyDescent="0.25">
      <c r="C30" t="s">
        <v>54</v>
      </c>
    </row>
    <row r="31" spans="2:5" x14ac:dyDescent="0.25">
      <c r="C31" t="s">
        <v>55</v>
      </c>
    </row>
    <row r="32" spans="2:5" x14ac:dyDescent="0.25">
      <c r="C32" t="s">
        <v>56</v>
      </c>
    </row>
    <row r="33" spans="3:5" x14ac:dyDescent="0.25">
      <c r="C33" t="s">
        <v>57</v>
      </c>
    </row>
    <row r="34" spans="3:5" x14ac:dyDescent="0.25">
      <c r="D34" t="s">
        <v>58</v>
      </c>
    </row>
    <row r="35" spans="3:5" x14ac:dyDescent="0.25">
      <c r="D35" t="s">
        <v>59</v>
      </c>
    </row>
    <row r="36" spans="3:5" x14ac:dyDescent="0.25">
      <c r="C36" t="s">
        <v>60</v>
      </c>
    </row>
    <row r="37" spans="3:5" x14ac:dyDescent="0.25">
      <c r="D37" t="s">
        <v>61</v>
      </c>
    </row>
    <row r="38" spans="3:5" x14ac:dyDescent="0.25">
      <c r="E38" t="s">
        <v>62</v>
      </c>
    </row>
    <row r="39" spans="3:5" x14ac:dyDescent="0.25">
      <c r="E39" t="s">
        <v>63</v>
      </c>
    </row>
    <row r="40" spans="3:5" x14ac:dyDescent="0.25">
      <c r="D40" t="s">
        <v>68</v>
      </c>
    </row>
    <row r="41" spans="3:5" x14ac:dyDescent="0.25">
      <c r="E41" t="s">
        <v>69</v>
      </c>
    </row>
    <row r="42" spans="3:5" x14ac:dyDescent="0.25">
      <c r="D42" t="s">
        <v>70</v>
      </c>
    </row>
    <row r="43" spans="3:5" x14ac:dyDescent="0.25">
      <c r="E43" t="s">
        <v>71</v>
      </c>
    </row>
    <row r="44" spans="3:5" x14ac:dyDescent="0.25">
      <c r="C44" t="s">
        <v>72</v>
      </c>
    </row>
    <row r="45" spans="3:5" x14ac:dyDescent="0.25">
      <c r="D45" t="s">
        <v>73</v>
      </c>
    </row>
    <row r="46" spans="3:5" x14ac:dyDescent="0.25">
      <c r="C46" t="s">
        <v>74</v>
      </c>
    </row>
    <row r="47" spans="3:5" x14ac:dyDescent="0.25">
      <c r="D47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E67F-4CE9-44B8-9C6B-F08A6351E538}">
  <dimension ref="B1:S42"/>
  <sheetViews>
    <sheetView tabSelected="1" zoomScale="160" zoomScaleNormal="160" workbookViewId="0">
      <pane xSplit="2" ySplit="2" topLeftCell="J18" activePane="bottomRight" state="frozen"/>
      <selection pane="topRight" activeCell="C1" sqref="C1"/>
      <selection pane="bottomLeft" activeCell="A3" sqref="A3"/>
      <selection pane="bottomRight" activeCell="L30" sqref="L30"/>
    </sheetView>
  </sheetViews>
  <sheetFormatPr defaultRowHeight="15" x14ac:dyDescent="0.25"/>
  <cols>
    <col min="2" max="2" width="26.28515625" customWidth="1"/>
  </cols>
  <sheetData>
    <row r="1" spans="2:19" x14ac:dyDescent="0.25">
      <c r="B1" t="s">
        <v>23</v>
      </c>
    </row>
    <row r="2" spans="2:19" x14ac:dyDescent="0.25">
      <c r="C2" s="5">
        <v>2015</v>
      </c>
      <c r="D2" s="5">
        <f>C2+1</f>
        <v>2016</v>
      </c>
      <c r="E2" s="5">
        <f t="shared" ref="E2:K2" si="0">D2+1</f>
        <v>2017</v>
      </c>
      <c r="F2" s="5">
        <f t="shared" si="0"/>
        <v>2018</v>
      </c>
      <c r="G2" s="5">
        <f t="shared" si="0"/>
        <v>2019</v>
      </c>
      <c r="H2" s="5">
        <f t="shared" si="0"/>
        <v>2020</v>
      </c>
      <c r="I2" s="5">
        <f t="shared" si="0"/>
        <v>2021</v>
      </c>
      <c r="J2" s="5">
        <f t="shared" si="0"/>
        <v>2022</v>
      </c>
      <c r="K2" s="13">
        <f t="shared" si="0"/>
        <v>2023</v>
      </c>
      <c r="L2" s="23"/>
      <c r="M2" s="5" t="s">
        <v>46</v>
      </c>
      <c r="N2" s="5" t="s">
        <v>47</v>
      </c>
      <c r="O2" s="5" t="s">
        <v>48</v>
      </c>
      <c r="P2" s="5" t="s">
        <v>49</v>
      </c>
      <c r="Q2" s="5" t="s">
        <v>50</v>
      </c>
      <c r="R2" s="5" t="s">
        <v>51</v>
      </c>
      <c r="S2" s="5" t="s">
        <v>86</v>
      </c>
    </row>
    <row r="3" spans="2:19" x14ac:dyDescent="0.25">
      <c r="B3" t="s">
        <v>22</v>
      </c>
      <c r="I3">
        <v>7.8</v>
      </c>
      <c r="J3">
        <v>8.1</v>
      </c>
      <c r="K3" s="14">
        <v>7.7</v>
      </c>
      <c r="L3" s="24"/>
      <c r="R3">
        <v>4.4000000000000004</v>
      </c>
      <c r="S3">
        <v>3.8</v>
      </c>
    </row>
    <row r="4" spans="2:19" x14ac:dyDescent="0.25">
      <c r="B4" t="s">
        <v>39</v>
      </c>
      <c r="J4">
        <f>J6/J3</f>
        <v>82.962962962962962</v>
      </c>
      <c r="K4" s="14">
        <f>K6/K3</f>
        <v>83.181818181818187</v>
      </c>
      <c r="L4" s="24"/>
      <c r="R4">
        <f>R6/R3</f>
        <v>33.363636363636367</v>
      </c>
      <c r="S4">
        <f>S6/S3</f>
        <v>31.526315789473685</v>
      </c>
    </row>
    <row r="5" spans="2:19" x14ac:dyDescent="0.25">
      <c r="B5" t="s">
        <v>28</v>
      </c>
      <c r="K5" s="14"/>
      <c r="L5" s="24"/>
    </row>
    <row r="6" spans="2:19" x14ac:dyDescent="0.25">
      <c r="B6" t="s">
        <v>27</v>
      </c>
      <c r="J6">
        <v>672</v>
      </c>
      <c r="K6" s="14">
        <v>640.5</v>
      </c>
      <c r="L6" s="24"/>
      <c r="N6">
        <v>165.9</v>
      </c>
      <c r="O6">
        <v>139.9</v>
      </c>
      <c r="R6">
        <v>146.80000000000001</v>
      </c>
      <c r="S6">
        <v>119.8</v>
      </c>
    </row>
    <row r="7" spans="2:19" x14ac:dyDescent="0.25">
      <c r="B7" t="s">
        <v>30</v>
      </c>
      <c r="J7" s="7">
        <f>J6/J18</f>
        <v>0.87625505281001437</v>
      </c>
      <c r="K7" s="15">
        <f>K6/K18</f>
        <v>0.89417841686444233</v>
      </c>
      <c r="L7" s="25"/>
      <c r="N7" s="7">
        <f>N6/N18</f>
        <v>0.90705303444505192</v>
      </c>
      <c r="O7" s="7">
        <f>O6/O18</f>
        <v>0.88600379987333755</v>
      </c>
      <c r="P7" s="7"/>
      <c r="Q7" s="7"/>
      <c r="R7" s="7">
        <f>R6/R18</f>
        <v>0.89950980392156876</v>
      </c>
      <c r="S7" s="7">
        <f>S6/S18</f>
        <v>0.87701317715959004</v>
      </c>
    </row>
    <row r="8" spans="2:19" x14ac:dyDescent="0.25">
      <c r="B8" t="s">
        <v>29</v>
      </c>
      <c r="J8">
        <v>94.9</v>
      </c>
      <c r="K8" s="14">
        <v>75.8</v>
      </c>
      <c r="L8" s="24"/>
      <c r="N8">
        <v>17</v>
      </c>
      <c r="O8">
        <v>17.899999999999999</v>
      </c>
      <c r="R8">
        <v>16.3</v>
      </c>
      <c r="S8">
        <v>16.8</v>
      </c>
    </row>
    <row r="9" spans="2:19" x14ac:dyDescent="0.25">
      <c r="B9" t="s">
        <v>31</v>
      </c>
      <c r="J9" s="7">
        <f>J8/J18</f>
        <v>0.12374494718998567</v>
      </c>
      <c r="K9" s="15">
        <f>K8/K18</f>
        <v>0.10582158313555773</v>
      </c>
      <c r="L9" s="25"/>
      <c r="N9" s="7">
        <f>N8/N18</f>
        <v>9.2946965554948052E-2</v>
      </c>
      <c r="O9" s="7">
        <f>O8/O18</f>
        <v>0.11336288790373653</v>
      </c>
      <c r="R9" s="7">
        <f>R8/R18</f>
        <v>9.9877450980392163E-2</v>
      </c>
      <c r="S9" s="7">
        <f>S8/S18</f>
        <v>0.12298682284040996</v>
      </c>
    </row>
    <row r="10" spans="2:19" x14ac:dyDescent="0.25">
      <c r="B10" t="s">
        <v>76</v>
      </c>
      <c r="J10" s="7"/>
      <c r="K10" s="15"/>
      <c r="L10" s="25"/>
      <c r="R10">
        <v>3.4</v>
      </c>
      <c r="S10">
        <v>2.9</v>
      </c>
    </row>
    <row r="11" spans="2:19" x14ac:dyDescent="0.25">
      <c r="B11" t="s">
        <v>88</v>
      </c>
      <c r="J11" s="7"/>
      <c r="K11" s="15"/>
      <c r="L11" s="25"/>
      <c r="R11" s="7">
        <v>1.2329999999999999</v>
      </c>
      <c r="S11" s="7">
        <v>0.97499999999999998</v>
      </c>
    </row>
    <row r="12" spans="2:19" x14ac:dyDescent="0.25">
      <c r="B12" t="s">
        <v>77</v>
      </c>
      <c r="J12" s="7"/>
      <c r="K12" s="15"/>
      <c r="L12" s="25"/>
      <c r="R12" s="22">
        <v>0.78500000000000003</v>
      </c>
      <c r="S12" s="22">
        <v>0.81799999999999995</v>
      </c>
    </row>
    <row r="13" spans="2:19" x14ac:dyDescent="0.25">
      <c r="B13" t="s">
        <v>87</v>
      </c>
      <c r="J13" s="7"/>
      <c r="K13" s="15"/>
      <c r="L13" s="25"/>
      <c r="R13" s="22">
        <v>7.2999999999999995E-2</v>
      </c>
      <c r="S13" s="22">
        <v>4.4999999999999998E-2</v>
      </c>
    </row>
    <row r="14" spans="2:19" x14ac:dyDescent="0.25">
      <c r="J14" s="7"/>
      <c r="K14" s="15"/>
      <c r="L14" s="25"/>
    </row>
    <row r="15" spans="2:19" x14ac:dyDescent="0.25">
      <c r="J15" s="7"/>
      <c r="K15" s="15"/>
      <c r="L15" s="25"/>
    </row>
    <row r="16" spans="2:19" x14ac:dyDescent="0.25">
      <c r="B16" t="s">
        <v>78</v>
      </c>
      <c r="J16" s="7"/>
      <c r="K16" s="15"/>
      <c r="L16" s="25"/>
      <c r="R16">
        <v>141.69999999999999</v>
      </c>
      <c r="S16">
        <v>119.1</v>
      </c>
    </row>
    <row r="17" spans="2:19" x14ac:dyDescent="0.25">
      <c r="B17" t="s">
        <v>79</v>
      </c>
      <c r="J17" s="7"/>
      <c r="K17" s="15"/>
      <c r="L17" s="25"/>
      <c r="R17">
        <v>21.5</v>
      </c>
      <c r="S17">
        <v>17.5</v>
      </c>
    </row>
    <row r="18" spans="2:19" s="5" customFormat="1" x14ac:dyDescent="0.25">
      <c r="B18" s="5" t="s">
        <v>26</v>
      </c>
      <c r="C18" s="5">
        <v>301.39999999999998</v>
      </c>
      <c r="D18" s="5">
        <v>254.1</v>
      </c>
      <c r="E18" s="5">
        <v>255.1</v>
      </c>
      <c r="F18" s="5">
        <v>321.10000000000002</v>
      </c>
      <c r="G18" s="5">
        <v>410.9</v>
      </c>
      <c r="H18" s="5">
        <v>644.29999999999995</v>
      </c>
      <c r="I18" s="5">
        <v>776.2</v>
      </c>
      <c r="J18" s="5">
        <f>J6+J8</f>
        <v>766.9</v>
      </c>
      <c r="K18" s="13">
        <f>K6+K8</f>
        <v>716.3</v>
      </c>
      <c r="L18" s="23"/>
      <c r="M18" s="5">
        <v>187.6</v>
      </c>
      <c r="N18" s="5">
        <v>182.9</v>
      </c>
      <c r="O18" s="5">
        <v>157.9</v>
      </c>
      <c r="P18" s="5">
        <f>K18-(M18+N18+O18)</f>
        <v>187.89999999999998</v>
      </c>
      <c r="Q18" s="5">
        <v>174.4</v>
      </c>
      <c r="R18" s="5">
        <f>SUM(R16:R17)</f>
        <v>163.19999999999999</v>
      </c>
      <c r="S18" s="5">
        <f>SUM(S16:S17)</f>
        <v>136.6</v>
      </c>
    </row>
    <row r="19" spans="2:19" x14ac:dyDescent="0.25">
      <c r="B19" t="s">
        <v>32</v>
      </c>
      <c r="F19" s="12">
        <v>-80</v>
      </c>
      <c r="G19" s="12">
        <v>-92.2</v>
      </c>
      <c r="H19" s="12">
        <v>-205.4</v>
      </c>
      <c r="I19" s="12">
        <v>-254.9</v>
      </c>
      <c r="J19" s="12">
        <v>-197.4</v>
      </c>
      <c r="K19" s="16">
        <v>-225.8</v>
      </c>
      <c r="L19" s="26"/>
      <c r="M19" s="12">
        <v>-49.2</v>
      </c>
      <c r="N19" s="12">
        <v>-47.4</v>
      </c>
      <c r="O19" s="12">
        <v>-83.6</v>
      </c>
      <c r="P19" s="12">
        <f>K19-(M19+N19+O19)</f>
        <v>-45.600000000000023</v>
      </c>
      <c r="Q19" s="12">
        <v>-46.5</v>
      </c>
      <c r="R19" s="12">
        <v>-45.4</v>
      </c>
      <c r="S19" s="12">
        <v>-43.4</v>
      </c>
    </row>
    <row r="20" spans="2:19" s="5" customFormat="1" x14ac:dyDescent="0.25">
      <c r="B20" s="5" t="s">
        <v>35</v>
      </c>
      <c r="C20" s="5">
        <f>SUM(C18,C19)</f>
        <v>301.39999999999998</v>
      </c>
      <c r="D20" s="5">
        <f t="shared" ref="D20:H20" si="1">SUM(D18,D19)</f>
        <v>254.1</v>
      </c>
      <c r="E20" s="5">
        <f t="shared" si="1"/>
        <v>255.1</v>
      </c>
      <c r="F20" s="5">
        <f t="shared" si="1"/>
        <v>241.10000000000002</v>
      </c>
      <c r="G20" s="5">
        <f t="shared" si="1"/>
        <v>318.7</v>
      </c>
      <c r="H20" s="5">
        <f t="shared" si="1"/>
        <v>438.9</v>
      </c>
      <c r="I20" s="5">
        <f>SUM(I18,I19)</f>
        <v>521.30000000000007</v>
      </c>
      <c r="J20" s="9">
        <f>SUM(J18,J19)</f>
        <v>569.5</v>
      </c>
      <c r="K20" s="17">
        <f>SUM(K18,K19)</f>
        <v>490.49999999999994</v>
      </c>
      <c r="L20" s="27"/>
      <c r="M20" s="5">
        <f>SUM(M18,M19)</f>
        <v>138.39999999999998</v>
      </c>
      <c r="N20" s="5">
        <f t="shared" ref="N20:R20" si="2">SUM(N18,N19)</f>
        <v>135.5</v>
      </c>
      <c r="O20" s="5">
        <f t="shared" si="2"/>
        <v>74.300000000000011</v>
      </c>
      <c r="P20" s="5">
        <f t="shared" si="2"/>
        <v>142.29999999999995</v>
      </c>
      <c r="Q20" s="5">
        <f t="shared" si="2"/>
        <v>127.9</v>
      </c>
      <c r="R20" s="5">
        <f t="shared" si="2"/>
        <v>117.79999999999998</v>
      </c>
      <c r="S20" s="5">
        <f t="shared" ref="S20" si="3">SUM(S18,S19)</f>
        <v>93.199999999999989</v>
      </c>
    </row>
    <row r="21" spans="2:19" x14ac:dyDescent="0.25">
      <c r="B21" t="s">
        <v>40</v>
      </c>
      <c r="C21" s="11">
        <f>C20/C18</f>
        <v>1</v>
      </c>
      <c r="D21" s="11">
        <f t="shared" ref="D21:H21" si="4">D20/D18</f>
        <v>1</v>
      </c>
      <c r="E21" s="11">
        <f t="shared" si="4"/>
        <v>1</v>
      </c>
      <c r="F21" s="11">
        <f t="shared" si="4"/>
        <v>0.7508564310183744</v>
      </c>
      <c r="G21" s="11">
        <f t="shared" si="4"/>
        <v>0.77561450474568028</v>
      </c>
      <c r="H21" s="11">
        <f t="shared" si="4"/>
        <v>0.68120440788452585</v>
      </c>
      <c r="I21" s="11">
        <f>I20/I18</f>
        <v>0.67160525637722246</v>
      </c>
      <c r="J21" s="11">
        <f>J20/J18</f>
        <v>0.74260007823705831</v>
      </c>
      <c r="K21" s="18">
        <f>K20/K18</f>
        <v>0.68476895155661033</v>
      </c>
      <c r="L21" s="28"/>
      <c r="M21" s="7">
        <f>M20/M18</f>
        <v>0.73773987206823022</v>
      </c>
      <c r="N21" s="7">
        <f t="shared" ref="N21:R21" si="5">N20/N18</f>
        <v>0.74084199015855656</v>
      </c>
      <c r="O21" s="7">
        <f t="shared" si="5"/>
        <v>0.4705509816339456</v>
      </c>
      <c r="P21" s="7">
        <f t="shared" si="5"/>
        <v>0.75731772219265547</v>
      </c>
      <c r="Q21" s="7">
        <f t="shared" si="5"/>
        <v>0.73337155963302758</v>
      </c>
      <c r="R21" s="7">
        <f t="shared" si="5"/>
        <v>0.72181372549019607</v>
      </c>
      <c r="S21" s="7">
        <f t="shared" ref="S21" si="6">S20/S18</f>
        <v>0.68228404099560758</v>
      </c>
    </row>
    <row r="22" spans="2:19" x14ac:dyDescent="0.25">
      <c r="B22" t="s">
        <v>33</v>
      </c>
      <c r="F22" s="12">
        <v>-114.3</v>
      </c>
      <c r="G22" s="12">
        <v>-139.80000000000001</v>
      </c>
      <c r="H22" s="12">
        <v>-170.9</v>
      </c>
      <c r="I22" s="12">
        <v>-178.8</v>
      </c>
      <c r="J22" s="12">
        <v>-196.6</v>
      </c>
      <c r="K22" s="16">
        <v>-191.7</v>
      </c>
      <c r="L22" s="26"/>
      <c r="M22" s="12">
        <v>-46.9</v>
      </c>
      <c r="N22" s="12">
        <v>-52.8</v>
      </c>
      <c r="O22" s="12">
        <v>-46.2</v>
      </c>
      <c r="P22" s="12">
        <f>K22-(M22+N22+O22)</f>
        <v>-45.800000000000011</v>
      </c>
      <c r="Q22" s="12">
        <v>-44.4</v>
      </c>
      <c r="R22" s="12">
        <v>-43.6</v>
      </c>
      <c r="S22" s="12">
        <v>-41.3</v>
      </c>
    </row>
    <row r="23" spans="2:19" x14ac:dyDescent="0.25">
      <c r="B23" t="s">
        <v>34</v>
      </c>
      <c r="F23" s="12">
        <v>-54.7</v>
      </c>
      <c r="G23" s="12">
        <v>-63.6</v>
      </c>
      <c r="H23" s="12">
        <v>-81.900000000000006</v>
      </c>
      <c r="I23" s="12">
        <v>-105.4</v>
      </c>
      <c r="J23" s="12">
        <v>-147.69999999999999</v>
      </c>
      <c r="K23" s="16">
        <v>-126.6</v>
      </c>
      <c r="L23" s="26"/>
      <c r="M23" s="12">
        <v>-37</v>
      </c>
      <c r="N23" s="12">
        <v>-30.9</v>
      </c>
      <c r="O23" s="12">
        <v>-28.9</v>
      </c>
      <c r="P23" s="12">
        <f t="shared" ref="P23:P24" si="7">K23-(M23+N23+O23)</f>
        <v>-29.799999999999983</v>
      </c>
      <c r="Q23" s="12">
        <v>-30</v>
      </c>
      <c r="R23" s="12">
        <v>-23.5</v>
      </c>
      <c r="S23" s="12">
        <v>-26.5</v>
      </c>
    </row>
    <row r="24" spans="2:19" x14ac:dyDescent="0.25">
      <c r="B24" t="s">
        <v>80</v>
      </c>
      <c r="F24" s="12">
        <v>-77.7</v>
      </c>
      <c r="G24" s="12">
        <v>-97.5</v>
      </c>
      <c r="H24" s="12">
        <v>-129.30000000000001</v>
      </c>
      <c r="I24" s="12">
        <v>-159</v>
      </c>
      <c r="J24" s="12">
        <v>-216.2</v>
      </c>
      <c r="K24" s="16">
        <v>-239.8</v>
      </c>
      <c r="L24" s="26"/>
      <c r="M24" s="12">
        <v>-59</v>
      </c>
      <c r="N24" s="12">
        <v>-70.3</v>
      </c>
      <c r="O24" s="12">
        <v>-53.5</v>
      </c>
      <c r="P24" s="12">
        <f t="shared" si="7"/>
        <v>-57</v>
      </c>
      <c r="Q24" s="12">
        <v>-55.5</v>
      </c>
      <c r="R24" s="12">
        <v>-54</v>
      </c>
      <c r="S24" s="12">
        <v>-51.9</v>
      </c>
    </row>
    <row r="25" spans="2:19" x14ac:dyDescent="0.25">
      <c r="B25" t="s">
        <v>52</v>
      </c>
      <c r="F25" s="12"/>
      <c r="G25" s="12"/>
      <c r="H25" s="12"/>
      <c r="I25" s="12"/>
      <c r="J25" s="12"/>
      <c r="K25" s="16">
        <v>-3.6</v>
      </c>
      <c r="L25" s="26"/>
      <c r="N25" s="12"/>
      <c r="O25" s="12">
        <v>-3.6</v>
      </c>
      <c r="R25" s="12">
        <v>-481.5</v>
      </c>
      <c r="S25" s="12">
        <v>-195.7</v>
      </c>
    </row>
    <row r="26" spans="2:19" s="5" customFormat="1" x14ac:dyDescent="0.25">
      <c r="B26" s="5" t="s">
        <v>36</v>
      </c>
      <c r="C26" s="5">
        <f t="shared" ref="C26:Q26" si="8">C20+C22+C23+C24</f>
        <v>301.39999999999998</v>
      </c>
      <c r="D26" s="5">
        <f t="shared" si="8"/>
        <v>254.1</v>
      </c>
      <c r="E26" s="5">
        <f t="shared" si="8"/>
        <v>255.1</v>
      </c>
      <c r="F26" s="5">
        <f t="shared" si="8"/>
        <v>-5.5999999999999801</v>
      </c>
      <c r="G26" s="5">
        <f t="shared" si="8"/>
        <v>17.799999999999983</v>
      </c>
      <c r="H26" s="5">
        <f t="shared" si="8"/>
        <v>56.799999999999983</v>
      </c>
      <c r="I26" s="9">
        <f t="shared" si="8"/>
        <v>78.100000000000051</v>
      </c>
      <c r="J26" s="9">
        <f t="shared" si="8"/>
        <v>9</v>
      </c>
      <c r="K26" s="17">
        <f>K20+K22+K23+K24+K25</f>
        <v>-71.200000000000045</v>
      </c>
      <c r="L26" s="27"/>
      <c r="M26" s="21">
        <f t="shared" si="8"/>
        <v>-4.5000000000000284</v>
      </c>
      <c r="N26" s="21">
        <f t="shared" si="8"/>
        <v>-18.499999999999993</v>
      </c>
      <c r="O26" s="21">
        <f>O20+O22+O23+O24+O25</f>
        <v>-57.899999999999991</v>
      </c>
      <c r="P26" s="21">
        <f t="shared" si="8"/>
        <v>9.6999999999999602</v>
      </c>
      <c r="Q26" s="21">
        <f t="shared" si="8"/>
        <v>-2</v>
      </c>
      <c r="R26" s="21">
        <f>R20+R22+R23+R24+R25</f>
        <v>-484.8</v>
      </c>
      <c r="S26" s="21">
        <f>S20+S22+S23+S24+S25</f>
        <v>-222.2</v>
      </c>
    </row>
    <row r="27" spans="2:19" s="5" customFormat="1" x14ac:dyDescent="0.25">
      <c r="B27" t="s">
        <v>41</v>
      </c>
      <c r="C27" s="5">
        <f t="shared" ref="C27:K27" si="9">C26/C18</f>
        <v>1</v>
      </c>
      <c r="D27" s="5">
        <f t="shared" si="9"/>
        <v>1</v>
      </c>
      <c r="E27" s="5">
        <f t="shared" si="9"/>
        <v>1</v>
      </c>
      <c r="F27" s="10">
        <f t="shared" si="9"/>
        <v>-1.7440049828713732E-2</v>
      </c>
      <c r="G27" s="10">
        <f t="shared" si="9"/>
        <v>4.3319542467753672E-2</v>
      </c>
      <c r="H27" s="10">
        <f t="shared" si="9"/>
        <v>8.8157690516839957E-2</v>
      </c>
      <c r="I27" s="10">
        <f t="shared" si="9"/>
        <v>0.10061839732027834</v>
      </c>
      <c r="J27" s="10">
        <f t="shared" si="9"/>
        <v>1.1735558742991264E-2</v>
      </c>
      <c r="K27" s="19">
        <f t="shared" si="9"/>
        <v>-9.939969286611762E-2</v>
      </c>
      <c r="L27" s="29"/>
    </row>
    <row r="28" spans="2:19" x14ac:dyDescent="0.25">
      <c r="B28" t="s">
        <v>42</v>
      </c>
      <c r="F28" s="12">
        <v>-7.2</v>
      </c>
      <c r="G28" s="12">
        <v>-24.8</v>
      </c>
      <c r="H28" s="12">
        <v>-57.6</v>
      </c>
      <c r="I28" s="12">
        <v>-72.400000000000006</v>
      </c>
      <c r="J28" s="8">
        <v>95</v>
      </c>
      <c r="K28" s="20">
        <v>118</v>
      </c>
      <c r="L28" s="30"/>
      <c r="M28" s="12">
        <v>10.8</v>
      </c>
      <c r="N28">
        <f>64.1- 1.1</f>
        <v>62.999999999999993</v>
      </c>
      <c r="O28">
        <f>-0.733+40.5</f>
        <v>39.767000000000003</v>
      </c>
      <c r="P28">
        <f t="shared" ref="P28:P29" si="10">K28-(M28+N28+O28)</f>
        <v>4.4329999999999927</v>
      </c>
      <c r="Q28">
        <v>10.1</v>
      </c>
      <c r="R28">
        <f>7.1-0.65</f>
        <v>6.4499999999999993</v>
      </c>
      <c r="S28">
        <f>-0.658+7.6</f>
        <v>6.9419999999999993</v>
      </c>
    </row>
    <row r="29" spans="2:19" x14ac:dyDescent="0.25">
      <c r="B29" t="s">
        <v>37</v>
      </c>
      <c r="F29" s="12">
        <v>-1.4</v>
      </c>
      <c r="G29" s="12">
        <v>-2.6</v>
      </c>
      <c r="H29" s="12">
        <v>-5.4</v>
      </c>
      <c r="I29" s="12">
        <v>-7.2</v>
      </c>
      <c r="J29" s="8">
        <v>162.69999999999999</v>
      </c>
      <c r="K29" s="20">
        <v>-32.1</v>
      </c>
      <c r="L29" s="30"/>
      <c r="M29" s="12">
        <v>-4.2</v>
      </c>
      <c r="N29" s="12">
        <v>-19.7</v>
      </c>
      <c r="O29" s="8">
        <v>-0.17199999999999999</v>
      </c>
      <c r="P29" s="12">
        <f t="shared" si="10"/>
        <v>-8.0280000000000022</v>
      </c>
      <c r="Q29" s="12">
        <v>-9.1</v>
      </c>
      <c r="R29" s="12">
        <v>-138.30000000000001</v>
      </c>
      <c r="S29">
        <v>2.7</v>
      </c>
    </row>
    <row r="30" spans="2:19" s="5" customFormat="1" x14ac:dyDescent="0.25">
      <c r="B30" s="5" t="s">
        <v>38</v>
      </c>
      <c r="D30" s="5">
        <f t="shared" ref="D30:H30" si="11">SUM(D26,D28,D29)</f>
        <v>254.1</v>
      </c>
      <c r="E30" s="5">
        <f t="shared" si="11"/>
        <v>255.1</v>
      </c>
      <c r="F30" s="5">
        <f t="shared" si="11"/>
        <v>-14.19999999999998</v>
      </c>
      <c r="G30" s="5">
        <f t="shared" si="11"/>
        <v>-9.6000000000000174</v>
      </c>
      <c r="H30" s="5">
        <f t="shared" si="11"/>
        <v>-6.2000000000000188</v>
      </c>
      <c r="I30" s="5">
        <f>SUM(I26,I28,I29)</f>
        <v>-1.4999999999999547</v>
      </c>
      <c r="J30" s="9">
        <f>SUM(J26,J28,J29)</f>
        <v>266.7</v>
      </c>
      <c r="K30" s="17">
        <f>SUM(K26,K28,K29)</f>
        <v>14.699999999999953</v>
      </c>
      <c r="L30" s="27"/>
      <c r="M30" s="5">
        <f>SUM(M26,M28,M29)</f>
        <v>2.0999999999999721</v>
      </c>
      <c r="N30" s="5">
        <f t="shared" ref="N30:R30" si="12">SUM(N26,N28,N29)</f>
        <v>24.8</v>
      </c>
      <c r="O30" s="5">
        <f t="shared" si="12"/>
        <v>-18.304999999999989</v>
      </c>
      <c r="P30" s="5">
        <f t="shared" si="12"/>
        <v>6.1049999999999507</v>
      </c>
      <c r="Q30" s="5">
        <f t="shared" si="12"/>
        <v>-1</v>
      </c>
      <c r="R30" s="21">
        <f t="shared" si="12"/>
        <v>-616.65000000000009</v>
      </c>
      <c r="S30" s="21">
        <f t="shared" ref="S30" si="13">SUM(S26,S28,S29)</f>
        <v>-212.55799999999999</v>
      </c>
    </row>
    <row r="31" spans="2:19" x14ac:dyDescent="0.25">
      <c r="B31" t="s">
        <v>43</v>
      </c>
      <c r="E31">
        <v>141.19999999999999</v>
      </c>
      <c r="F31">
        <v>127</v>
      </c>
      <c r="G31">
        <v>375.9</v>
      </c>
      <c r="H31">
        <v>389.4</v>
      </c>
      <c r="I31">
        <v>481.7</v>
      </c>
      <c r="J31">
        <v>855.9</v>
      </c>
      <c r="K31" s="14">
        <v>475.9</v>
      </c>
      <c r="L31" s="24"/>
    </row>
    <row r="32" spans="2:19" x14ac:dyDescent="0.25">
      <c r="B32" t="s">
        <v>44</v>
      </c>
      <c r="F32">
        <f t="shared" ref="F32:H32" si="14">F31-F30</f>
        <v>141.19999999999999</v>
      </c>
      <c r="G32">
        <f t="shared" si="14"/>
        <v>385.5</v>
      </c>
      <c r="H32">
        <f t="shared" si="14"/>
        <v>395.6</v>
      </c>
      <c r="I32">
        <f>J31</f>
        <v>855.9</v>
      </c>
      <c r="J32">
        <f>K31</f>
        <v>475.9</v>
      </c>
      <c r="K32" s="14">
        <v>138</v>
      </c>
      <c r="L32" s="24"/>
    </row>
    <row r="33" spans="2:19" x14ac:dyDescent="0.25">
      <c r="B33" t="s">
        <v>45</v>
      </c>
      <c r="F33">
        <f t="shared" ref="F33:H33" si="15">F32-F31</f>
        <v>14.199999999999989</v>
      </c>
      <c r="G33">
        <f t="shared" si="15"/>
        <v>9.6000000000000227</v>
      </c>
      <c r="H33">
        <f t="shared" si="15"/>
        <v>6.2000000000000455</v>
      </c>
      <c r="I33" s="12">
        <f>I32-I31</f>
        <v>374.2</v>
      </c>
      <c r="J33" s="12">
        <f>J32-J31</f>
        <v>-380</v>
      </c>
      <c r="K33" s="16">
        <f>K32-K31</f>
        <v>-337.9</v>
      </c>
      <c r="L33" s="26"/>
    </row>
    <row r="34" spans="2:19" x14ac:dyDescent="0.25">
      <c r="B34" t="s">
        <v>81</v>
      </c>
      <c r="F34">
        <v>75.099999999999994</v>
      </c>
      <c r="G34">
        <v>113.4</v>
      </c>
      <c r="H34">
        <v>236.4</v>
      </c>
      <c r="I34">
        <v>273.2</v>
      </c>
      <c r="J34">
        <v>255.7</v>
      </c>
      <c r="K34">
        <v>246.2</v>
      </c>
      <c r="O34">
        <v>32.799999999999997</v>
      </c>
      <c r="Q34">
        <v>53.3</v>
      </c>
      <c r="S34">
        <v>39.5</v>
      </c>
    </row>
    <row r="35" spans="2:19" x14ac:dyDescent="0.25">
      <c r="B35" t="s">
        <v>82</v>
      </c>
      <c r="F35" s="12" t="s">
        <v>84</v>
      </c>
      <c r="G35" s="12">
        <f>-42.3</f>
        <v>-42.3</v>
      </c>
      <c r="H35" s="12">
        <f>-83.1</f>
        <v>-83.1</v>
      </c>
      <c r="I35" s="12">
        <f>-94.2-10.9</f>
        <v>-105.10000000000001</v>
      </c>
      <c r="J35" s="12">
        <f>-103.1-3.8</f>
        <v>-106.89999999999999</v>
      </c>
      <c r="K35" s="12">
        <f>-83.1</f>
        <v>-83.1</v>
      </c>
      <c r="L35" s="12"/>
      <c r="O35">
        <v>-23.4</v>
      </c>
      <c r="S35">
        <v>-15.8</v>
      </c>
    </row>
    <row r="36" spans="2:19" x14ac:dyDescent="0.25">
      <c r="B36" t="s">
        <v>83</v>
      </c>
      <c r="F36">
        <f>SUM(F34:F35)</f>
        <v>75.099999999999994</v>
      </c>
      <c r="G36">
        <f t="shared" ref="G36:K36" si="16">SUM(G34:G35)</f>
        <v>71.100000000000009</v>
      </c>
      <c r="H36">
        <f t="shared" si="16"/>
        <v>153.30000000000001</v>
      </c>
      <c r="I36">
        <f t="shared" si="16"/>
        <v>168.09999999999997</v>
      </c>
      <c r="J36">
        <f t="shared" si="16"/>
        <v>148.80000000000001</v>
      </c>
      <c r="K36">
        <f t="shared" si="16"/>
        <v>163.1</v>
      </c>
      <c r="O36">
        <f>SUM(O34:O35)</f>
        <v>9.3999999999999986</v>
      </c>
      <c r="S36">
        <f>SUM(S34:S35)</f>
        <v>23.7</v>
      </c>
    </row>
    <row r="39" spans="2:19" x14ac:dyDescent="0.25">
      <c r="B39" t="s">
        <v>89</v>
      </c>
      <c r="D39" s="7">
        <f>D18/C18-1</f>
        <v>-0.15693430656934304</v>
      </c>
      <c r="E39" s="7">
        <f t="shared" ref="E39:K39" si="17">E18/D18-1</f>
        <v>3.9354584809130344E-3</v>
      </c>
      <c r="F39" s="7">
        <f t="shared" si="17"/>
        <v>0.25872206977655843</v>
      </c>
      <c r="G39" s="7">
        <f t="shared" si="17"/>
        <v>0.27966365618187461</v>
      </c>
      <c r="H39" s="7">
        <f t="shared" si="17"/>
        <v>0.56802141640301773</v>
      </c>
      <c r="I39" s="7">
        <f t="shared" si="17"/>
        <v>0.20471829892907056</v>
      </c>
      <c r="J39" s="7">
        <f t="shared" si="17"/>
        <v>-1.1981448080391699E-2</v>
      </c>
      <c r="K39" s="7">
        <f t="shared" si="17"/>
        <v>-6.5979919155039757E-2</v>
      </c>
      <c r="L39" s="7"/>
    </row>
    <row r="41" spans="2:19" x14ac:dyDescent="0.25">
      <c r="N41" s="2"/>
    </row>
    <row r="42" spans="2:19" x14ac:dyDescent="0.25">
      <c r="N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2024-09-28T17:51:59Z</dcterms:created>
  <dcterms:modified xsi:type="dcterms:W3CDTF">2024-11-14T03:26:37Z</dcterms:modified>
</cp:coreProperties>
</file>