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245DE2B1-2E47-4F33-A253-572799D5E667}" xr6:coauthVersionLast="47" xr6:coauthVersionMax="47" xr10:uidLastSave="{00000000-0000-0000-0000-000000000000}"/>
  <bookViews>
    <workbookView xWindow="19095" yWindow="0" windowWidth="19410" windowHeight="20985" activeTab="1" xr2:uid="{CA272A53-6244-429C-A241-B4996EB13F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  <c r="Q28" i="2"/>
  <c r="P28" i="2"/>
  <c r="Q29" i="2"/>
  <c r="R29" i="2"/>
  <c r="P29" i="2"/>
  <c r="M10" i="2"/>
  <c r="M33" i="2"/>
  <c r="L8" i="1"/>
  <c r="L7" i="1"/>
  <c r="M37" i="2"/>
  <c r="M19" i="2"/>
  <c r="M36" i="2" s="1"/>
  <c r="M15" i="2"/>
  <c r="M34" i="2" s="1"/>
  <c r="L10" i="2"/>
  <c r="J17" i="2"/>
  <c r="J18" i="2"/>
  <c r="J16" i="2"/>
  <c r="J14" i="2"/>
  <c r="L37" i="2"/>
  <c r="G19" i="2"/>
  <c r="G36" i="2" s="1"/>
  <c r="G15" i="2"/>
  <c r="K13" i="2"/>
  <c r="K33" i="2" s="1"/>
  <c r="I19" i="2"/>
  <c r="I36" i="2" s="1"/>
  <c r="K19" i="2"/>
  <c r="K36" i="2" s="1"/>
  <c r="L19" i="2"/>
  <c r="L36" i="2" s="1"/>
  <c r="H19" i="2"/>
  <c r="H36" i="2" s="1"/>
  <c r="I15" i="2"/>
  <c r="L15" i="2"/>
  <c r="H13" i="2"/>
  <c r="H15" i="2" s="1"/>
  <c r="R33" i="2"/>
  <c r="Q33" i="2"/>
  <c r="R37" i="2"/>
  <c r="Q37" i="2"/>
  <c r="Q19" i="2"/>
  <c r="Q36" i="2" s="1"/>
  <c r="R19" i="2"/>
  <c r="R36" i="2" s="1"/>
  <c r="P19" i="2"/>
  <c r="P36" i="2" s="1"/>
  <c r="Q15" i="2"/>
  <c r="R15" i="2"/>
  <c r="P15" i="2"/>
  <c r="Q5" i="2"/>
  <c r="P5" i="2" s="1"/>
  <c r="Q4" i="2"/>
  <c r="P4" i="2" s="1"/>
  <c r="Q3" i="2"/>
  <c r="P3" i="2" s="1"/>
  <c r="Q2" i="2"/>
  <c r="R2" i="2" s="1"/>
  <c r="S2" i="2" s="1"/>
  <c r="L6" i="1"/>
  <c r="L34" i="2" l="1"/>
  <c r="L33" i="2"/>
  <c r="M20" i="2"/>
  <c r="J19" i="2"/>
  <c r="J36" i="2" s="1"/>
  <c r="J13" i="2"/>
  <c r="J15" i="2" s="1"/>
  <c r="J20" i="2" s="1"/>
  <c r="J23" i="2" s="1"/>
  <c r="J25" i="2" s="1"/>
  <c r="K37" i="2"/>
  <c r="L20" i="2"/>
  <c r="H20" i="2"/>
  <c r="H23" i="2" s="1"/>
  <c r="H25" i="2" s="1"/>
  <c r="I20" i="2"/>
  <c r="P20" i="2"/>
  <c r="P23" i="2" s="1"/>
  <c r="P25" i="2" s="1"/>
  <c r="L9" i="1"/>
  <c r="G20" i="2"/>
  <c r="G23" i="2" s="1"/>
  <c r="G25" i="2" s="1"/>
  <c r="K15" i="2"/>
  <c r="K34" i="2" s="1"/>
  <c r="Q20" i="2"/>
  <c r="Q23" i="2" s="1"/>
  <c r="Q25" i="2" s="1"/>
  <c r="R34" i="2"/>
  <c r="R20" i="2"/>
  <c r="Q34" i="2"/>
  <c r="L23" i="2" l="1"/>
  <c r="L25" i="2" s="1"/>
  <c r="L38" i="2" s="1"/>
  <c r="L35" i="2"/>
  <c r="M35" i="2"/>
  <c r="M23" i="2"/>
  <c r="M25" i="2" s="1"/>
  <c r="Q38" i="2"/>
  <c r="I23" i="2"/>
  <c r="I25" i="2" s="1"/>
  <c r="K20" i="2"/>
  <c r="K35" i="2" s="1"/>
  <c r="Q35" i="2"/>
  <c r="R35" i="2"/>
  <c r="R23" i="2"/>
  <c r="R25" i="2" s="1"/>
  <c r="R38" i="2" s="1"/>
  <c r="M38" i="2" l="1"/>
  <c r="K23" i="2"/>
  <c r="K25" i="2" s="1"/>
  <c r="K38" i="2" s="1"/>
</calcChain>
</file>

<file path=xl/sharedStrings.xml><?xml version="1.0" encoding="utf-8"?>
<sst xmlns="http://schemas.openxmlformats.org/spreadsheetml/2006/main" count="148" uniqueCount="145">
  <si>
    <t>Intel Corp</t>
  </si>
  <si>
    <t>Price</t>
  </si>
  <si>
    <t>SO</t>
  </si>
  <si>
    <t>MC</t>
  </si>
  <si>
    <t>Cash</t>
  </si>
  <si>
    <t>Debt</t>
  </si>
  <si>
    <t>EV</t>
  </si>
  <si>
    <t>f.y</t>
  </si>
  <si>
    <t>ticker</t>
  </si>
  <si>
    <t>INTC</t>
  </si>
  <si>
    <t>in millions</t>
  </si>
  <si>
    <t xml:space="preserve">"We are an industry leader" </t>
  </si>
  <si>
    <t>lol</t>
  </si>
  <si>
    <t xml:space="preserve">CEO </t>
  </si>
  <si>
    <t>Pat Gelsinger</t>
  </si>
  <si>
    <t xml:space="preserve"> </t>
  </si>
  <si>
    <t>continued to prioritize investments critical to their IDM 2.0 transortmation</t>
  </si>
  <si>
    <t>internal foundry model</t>
  </si>
  <si>
    <t>under this model, tend to resahape their operational dynamixs and establish transparency and accountablility thorugh standalong p&amp;l reporting for their manufascturing group in 2024</t>
  </si>
  <si>
    <t>goal to deliver 5 technology nodes in 4 years to regain transistor performance and power performance leadership by 2025</t>
  </si>
  <si>
    <t>key milestones on product roadmap:</t>
  </si>
  <si>
    <t>intel core ultra processors</t>
  </si>
  <si>
    <t>13th gern intel core mobile processor family</t>
  </si>
  <si>
    <t>14th gen intrl core desktop processor family</t>
  </si>
  <si>
    <t>4th gen intel Xeon scalable processors</t>
  </si>
  <si>
    <t>4th gen intel Xeon Scalable processors with Intel vRAN boost</t>
  </si>
  <si>
    <t>5th Gen Intel Xeon Scalable processors for data center, cloud and edge</t>
  </si>
  <si>
    <t>2 new intel Arc Pro graphics processing units, intel arc pro a60 and into pro a60m</t>
  </si>
  <si>
    <t>expannging existing operations in Arizona, new mexico, oregon</t>
  </si>
  <si>
    <t>investing in 2 new leading edge chip factories in Ohio</t>
  </si>
  <si>
    <t>4 of major project proposals est. to represent &gt;$100B of US manufacturing and research investments over nxt 5 years</t>
  </si>
  <si>
    <t>$33B investment in germany: leading edfe wafer fabrication mega site</t>
  </si>
  <si>
    <t>$4.6B in assemble and test facility in Poland</t>
  </si>
  <si>
    <t>announced start of high volume manufacturing using Inel 4 tech and EUV tec in Ireland</t>
  </si>
  <si>
    <t>sold 32.4% minority stake in their IMS nanofabreication business</t>
  </si>
  <si>
    <t>got investments from Bain capital and TSMC</t>
  </si>
  <si>
    <t>- $1.6B</t>
  </si>
  <si>
    <t>unlocking value:</t>
  </si>
  <si>
    <t>strategy</t>
  </si>
  <si>
    <t>strategically positioning themselves to create a resilient global semiconductor supply chain by investing in geographically balance manuyfacturing capacity</t>
  </si>
  <si>
    <t>uniquely positioned with the debpth and breadth of their silicon, platforms and software, and packaging and process technology w/ at scale manufacturing</t>
  </si>
  <si>
    <t>strategy to win focused on 4 key themes:</t>
  </si>
  <si>
    <t>product leadership</t>
  </si>
  <si>
    <t>open platforms</t>
  </si>
  <si>
    <t>manufacturing at scale</t>
  </si>
  <si>
    <t>their people</t>
  </si>
  <si>
    <t>aim to deliver open software and hardware</t>
  </si>
  <si>
    <t>lead and democratize compute with intel x86 and xPU</t>
  </si>
  <si>
    <t>bring AI to where the data is being generated and used</t>
  </si>
  <si>
    <t>CXL Thunderbolt</t>
  </si>
  <si>
    <t>PCI express</t>
  </si>
  <si>
    <t>contributed to the design, build and validation of open source products to stuff like Linux and Android</t>
  </si>
  <si>
    <t>oneAPI</t>
  </si>
  <si>
    <t>IDM 2.0</t>
  </si>
  <si>
    <t>focus on innovation and execution</t>
  </si>
  <si>
    <t>Smart Capital</t>
  </si>
  <si>
    <t>smart capacity invesments</t>
  </si>
  <si>
    <t>government incentives</t>
  </si>
  <si>
    <t>SCIP</t>
  </si>
  <si>
    <t>Customer commitments</t>
  </si>
  <si>
    <t>External Foundries</t>
  </si>
  <si>
    <t>various forms of capital</t>
  </si>
  <si>
    <t>financial</t>
  </si>
  <si>
    <t>intellectual</t>
  </si>
  <si>
    <t>manufacturing</t>
  </si>
  <si>
    <t>human</t>
  </si>
  <si>
    <t xml:space="preserve">invest signifucantly in r&amp;d and IP </t>
  </si>
  <si>
    <t>build manufacturing capacity efficiently to meet the growing long-term global demand for semi conductors aligned with IDM 2.0 strat</t>
  </si>
  <si>
    <t>leverage financial capital to invest in themselves and exit businesses to opptimize portfolio</t>
  </si>
  <si>
    <t xml:space="preserve">both to drive strategy and long term value creation </t>
  </si>
  <si>
    <t>social and relationship</t>
  </si>
  <si>
    <t>natural</t>
  </si>
  <si>
    <t>areas key to product leadership</t>
  </si>
  <si>
    <t>process and packaging</t>
  </si>
  <si>
    <t>xPU architecture</t>
  </si>
  <si>
    <t>software</t>
  </si>
  <si>
    <t>IP rights</t>
  </si>
  <si>
    <t>MD&amp;A</t>
  </si>
  <si>
    <t>intel customers</t>
  </si>
  <si>
    <t>OEMs</t>
  </si>
  <si>
    <t>ODMs</t>
  </si>
  <si>
    <t>Cloud service providers</t>
  </si>
  <si>
    <t>other manufacturers and service providers</t>
  </si>
  <si>
    <t>industrial and communication equipment manufacturers</t>
  </si>
  <si>
    <t>other cloud service providers</t>
  </si>
  <si>
    <t>market their products through global sales and marketing organizations and indirectly thorugh channel partners</t>
  </si>
  <si>
    <t>market trends and strategy</t>
  </si>
  <si>
    <t>2023 pc demand and supply levels beginning to normalize</t>
  </si>
  <si>
    <t>remain positive on long term outlook for PCs</t>
  </si>
  <si>
    <t>200M commercial devices are more than 4 years old</t>
  </si>
  <si>
    <t>processor competition</t>
  </si>
  <si>
    <t>AMD</t>
  </si>
  <si>
    <t>ARM arch</t>
  </si>
  <si>
    <t>Quallcom</t>
  </si>
  <si>
    <t>Apple</t>
  </si>
  <si>
    <t>M1 &amp; M2 products</t>
  </si>
  <si>
    <t>expect competitive environment to continure to intensify in 2024</t>
  </si>
  <si>
    <t>notebook rev</t>
  </si>
  <si>
    <t>desktop rev</t>
  </si>
  <si>
    <t>other rev</t>
  </si>
  <si>
    <t># in millions</t>
  </si>
  <si>
    <t>net rev</t>
  </si>
  <si>
    <t>cost of sales</t>
  </si>
  <si>
    <t>gross margin</t>
  </si>
  <si>
    <t>r&amp;d</t>
  </si>
  <si>
    <t>mg&amp;a</t>
  </si>
  <si>
    <t>restructring &amp; other</t>
  </si>
  <si>
    <t>op expenses</t>
  </si>
  <si>
    <t>op income</t>
  </si>
  <si>
    <t>gains on equity invstmnts</t>
  </si>
  <si>
    <t>interest &amp; other</t>
  </si>
  <si>
    <t>income before taxes</t>
  </si>
  <si>
    <t>provision (benefit) taxes</t>
  </si>
  <si>
    <t>net income</t>
  </si>
  <si>
    <t>yoy rev</t>
  </si>
  <si>
    <t>yoy gross margin</t>
  </si>
  <si>
    <t>yoy op income</t>
  </si>
  <si>
    <t>r&amp;d / expenses</t>
  </si>
  <si>
    <t>yoy net income</t>
  </si>
  <si>
    <t>yoy r&amp;d</t>
  </si>
  <si>
    <t>Main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</si>
  <si>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</si>
  <si>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</si>
  <si>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</si>
  <si>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</si>
  <si>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</si>
  <si>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</si>
  <si>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</si>
  <si>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</si>
  <si>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</si>
  <si>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</si>
  <si>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datacenter &amp; ai rev</t>
  </si>
  <si>
    <t>network and edge rev</t>
  </si>
  <si>
    <t>mobileye rev</t>
  </si>
  <si>
    <t>all other rev</t>
  </si>
  <si>
    <t>intel foundry services rev</t>
  </si>
  <si>
    <t>check these #</t>
  </si>
  <si>
    <t>q324</t>
  </si>
  <si>
    <t>16,500 headcount reduction</t>
  </si>
  <si>
    <t>awarded up to $3B in direct funding under CHIPS and Science Act</t>
  </si>
  <si>
    <t>launched latest of x86 processors, the Intel Core Ultra 200V series processors</t>
  </si>
  <si>
    <t>announced next gen of AI solutoins with the launch of Intel Xeon 6 processor with Performance-cores and the Intel Gaudi 3 AI accelerator</t>
  </si>
  <si>
    <t>op cash flow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</si>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</sst>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" fontId="0" fillId="0" borderId="0" xfId="0" applyNumberFormat="1"/>
    <xf numFmtId="3" fontId="0" fillId="0" borderId="0" xfId="0" applyNumberFormat="1"/>
    <xf numFmtId="0" fontId="0" fillId="0" borderId="0" xfId="0" quotePrefix="1"/>
    <xf numFmtId="0" fontId="2" fillId="0" borderId="0" xfId="0" applyFont="1"/>
    <xf numFmtId="37" fontId="0" fillId="0" borderId="0" xfId="0" applyNumberFormat="1"/>
    <xf numFmtId="3" fontId="2" fillId="0" borderId="0" xfId="0" applyNumberFormat="1" applyFont="1"/>
    <xf numFmtId="9" fontId="0" fillId="0" borderId="0" xfId="1" applyFont="1"/>
    <xf numFmtId="0" fontId="4" fillId="0" borderId="0" xfId="2"/>
    <xf numFmtId="37" fontId="2" fillId="0" borderId="0" xfId="0" applyNumberFormat="1" applyFont="1"/>
    <xf numFmtId="0" fontId="2" fillId="0" borderId="1" xfId="0" applyFont="1" applyBorder="1"/>
    <xf numFmtId="0" fontId="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3467-9CE6-46BC-A3D1-C5F0D3921F38}">
  <dimension ref="B1:M110"/>
  <sheetViews>
    <sheetView zoomScale="150" zoomScaleNormal="150" workbookViewId="0">
      <selection activeCell="M9" sqref="M9"/>
    </sheetView>
  </sheetViews>
  <sheetFormatPr defaultRowHeight="15" x14ac:dyDescent="0.25"/>
  <cols>
    <col min="13" max="13" width="14.28515625" bestFit="1" customWidth="1"/>
  </cols>
  <sheetData>
    <row r="1" spans="2:13" x14ac:dyDescent="0.25">
      <c r="L1" t="s">
        <v>10</v>
      </c>
    </row>
    <row r="2" spans="2:13" ht="26.25" x14ac:dyDescent="0.4">
      <c r="B2" s="1" t="s">
        <v>0</v>
      </c>
    </row>
    <row r="4" spans="2:13" x14ac:dyDescent="0.25">
      <c r="B4" t="s">
        <v>7</v>
      </c>
      <c r="C4" s="2">
        <v>45656</v>
      </c>
      <c r="K4" t="s">
        <v>1</v>
      </c>
      <c r="L4">
        <v>24.84</v>
      </c>
    </row>
    <row r="5" spans="2:13" x14ac:dyDescent="0.25">
      <c r="B5" t="s">
        <v>8</v>
      </c>
      <c r="C5" t="s">
        <v>9</v>
      </c>
      <c r="K5" t="s">
        <v>2</v>
      </c>
      <c r="L5" s="3">
        <v>4313</v>
      </c>
    </row>
    <row r="6" spans="2:13" x14ac:dyDescent="0.25">
      <c r="B6" t="s">
        <v>13</v>
      </c>
      <c r="C6" t="s">
        <v>14</v>
      </c>
      <c r="K6" t="s">
        <v>3</v>
      </c>
      <c r="L6">
        <f>L5*L4</f>
        <v>107134.92</v>
      </c>
      <c r="M6" s="3"/>
    </row>
    <row r="7" spans="2:13" x14ac:dyDescent="0.25">
      <c r="B7" t="s">
        <v>15</v>
      </c>
      <c r="K7" t="s">
        <v>4</v>
      </c>
      <c r="L7">
        <f>8785+15301</f>
        <v>24086</v>
      </c>
      <c r="M7" t="s">
        <v>137</v>
      </c>
    </row>
    <row r="8" spans="2:13" x14ac:dyDescent="0.25">
      <c r="K8" t="s">
        <v>5</v>
      </c>
      <c r="L8">
        <f>35159</f>
        <v>35159</v>
      </c>
      <c r="M8" t="s">
        <v>137</v>
      </c>
    </row>
    <row r="9" spans="2:13" x14ac:dyDescent="0.25">
      <c r="K9" t="s">
        <v>6</v>
      </c>
      <c r="L9">
        <f>L6+L8-L7</f>
        <v>118207.91999999998</v>
      </c>
    </row>
    <row r="12" spans="2:13" x14ac:dyDescent="0.25">
      <c r="B12" t="s">
        <v>11</v>
      </c>
      <c r="E12" t="s">
        <v>12</v>
      </c>
    </row>
    <row r="14" spans="2:13" x14ac:dyDescent="0.25">
      <c r="B14" t="s">
        <v>16</v>
      </c>
    </row>
    <row r="15" spans="2:13" x14ac:dyDescent="0.25">
      <c r="C15" t="s">
        <v>17</v>
      </c>
    </row>
    <row r="16" spans="2:13" x14ac:dyDescent="0.25">
      <c r="D16" t="s">
        <v>18</v>
      </c>
    </row>
    <row r="18" spans="2:4" x14ac:dyDescent="0.25">
      <c r="B18" t="s">
        <v>19</v>
      </c>
    </row>
    <row r="19" spans="2:4" x14ac:dyDescent="0.25">
      <c r="C19" t="s">
        <v>20</v>
      </c>
    </row>
    <row r="20" spans="2:4" x14ac:dyDescent="0.25">
      <c r="D20" t="s">
        <v>21</v>
      </c>
    </row>
    <row r="21" spans="2:4" x14ac:dyDescent="0.25">
      <c r="D21" t="s">
        <v>22</v>
      </c>
    </row>
    <row r="22" spans="2:4" x14ac:dyDescent="0.25">
      <c r="D22" t="s">
        <v>23</v>
      </c>
    </row>
    <row r="23" spans="2:4" x14ac:dyDescent="0.25">
      <c r="D23" t="s">
        <v>24</v>
      </c>
    </row>
    <row r="24" spans="2:4" x14ac:dyDescent="0.25">
      <c r="D24" t="s">
        <v>25</v>
      </c>
    </row>
    <row r="25" spans="2:4" x14ac:dyDescent="0.25">
      <c r="D25" t="s">
        <v>26</v>
      </c>
    </row>
    <row r="26" spans="2:4" x14ac:dyDescent="0.25">
      <c r="D26" t="s">
        <v>27</v>
      </c>
    </row>
    <row r="28" spans="2:4" x14ac:dyDescent="0.25">
      <c r="B28" t="s">
        <v>28</v>
      </c>
    </row>
    <row r="29" spans="2:4" x14ac:dyDescent="0.25">
      <c r="B29" t="s">
        <v>29</v>
      </c>
    </row>
    <row r="30" spans="2:4" x14ac:dyDescent="0.25">
      <c r="B30" t="s">
        <v>30</v>
      </c>
    </row>
    <row r="31" spans="2:4" x14ac:dyDescent="0.25">
      <c r="B31" t="s">
        <v>31</v>
      </c>
    </row>
    <row r="32" spans="2:4" x14ac:dyDescent="0.25">
      <c r="B32" t="s">
        <v>32</v>
      </c>
    </row>
    <row r="33" spans="2:8" x14ac:dyDescent="0.25">
      <c r="B33" t="s">
        <v>33</v>
      </c>
    </row>
    <row r="35" spans="2:8" x14ac:dyDescent="0.25">
      <c r="B35" s="5" t="s">
        <v>37</v>
      </c>
    </row>
    <row r="36" spans="2:8" x14ac:dyDescent="0.25">
      <c r="B36" t="s">
        <v>34</v>
      </c>
      <c r="H36" s="4" t="s">
        <v>36</v>
      </c>
    </row>
    <row r="37" spans="2:8" x14ac:dyDescent="0.25">
      <c r="B37" t="s">
        <v>35</v>
      </c>
    </row>
    <row r="39" spans="2:8" x14ac:dyDescent="0.25">
      <c r="B39" s="5" t="s">
        <v>38</v>
      </c>
    </row>
    <row r="40" spans="2:8" x14ac:dyDescent="0.25">
      <c r="B40" t="s">
        <v>39</v>
      </c>
    </row>
    <row r="41" spans="2:8" x14ac:dyDescent="0.25">
      <c r="B41" t="s">
        <v>40</v>
      </c>
    </row>
    <row r="42" spans="2:8" x14ac:dyDescent="0.25">
      <c r="B42" t="s">
        <v>41</v>
      </c>
    </row>
    <row r="43" spans="2:8" x14ac:dyDescent="0.25">
      <c r="C43" t="s">
        <v>42</v>
      </c>
    </row>
    <row r="44" spans="2:8" x14ac:dyDescent="0.25">
      <c r="D44" t="s">
        <v>47</v>
      </c>
    </row>
    <row r="45" spans="2:8" x14ac:dyDescent="0.25">
      <c r="D45" t="s">
        <v>48</v>
      </c>
    </row>
    <row r="46" spans="2:8" x14ac:dyDescent="0.25">
      <c r="C46" t="s">
        <v>43</v>
      </c>
    </row>
    <row r="47" spans="2:8" x14ac:dyDescent="0.25">
      <c r="D47" t="s">
        <v>46</v>
      </c>
    </row>
    <row r="48" spans="2:8" x14ac:dyDescent="0.25">
      <c r="D48" t="s">
        <v>49</v>
      </c>
    </row>
    <row r="49" spans="2:4" x14ac:dyDescent="0.25">
      <c r="D49" t="s">
        <v>50</v>
      </c>
    </row>
    <row r="50" spans="2:4" x14ac:dyDescent="0.25">
      <c r="D50" t="s">
        <v>51</v>
      </c>
    </row>
    <row r="51" spans="2:4" x14ac:dyDescent="0.25">
      <c r="D51" t="s">
        <v>52</v>
      </c>
    </row>
    <row r="52" spans="2:4" x14ac:dyDescent="0.25">
      <c r="C52" t="s">
        <v>44</v>
      </c>
    </row>
    <row r="53" spans="2:4" x14ac:dyDescent="0.25">
      <c r="D53" t="s">
        <v>53</v>
      </c>
    </row>
    <row r="54" spans="2:4" x14ac:dyDescent="0.25">
      <c r="C54" t="s">
        <v>45</v>
      </c>
    </row>
    <row r="55" spans="2:4" x14ac:dyDescent="0.25">
      <c r="B55" t="s">
        <v>54</v>
      </c>
    </row>
    <row r="56" spans="2:4" x14ac:dyDescent="0.25">
      <c r="C56" t="s">
        <v>55</v>
      </c>
    </row>
    <row r="57" spans="2:4" x14ac:dyDescent="0.25">
      <c r="D57" t="s">
        <v>56</v>
      </c>
    </row>
    <row r="58" spans="2:4" x14ac:dyDescent="0.25">
      <c r="D58" t="s">
        <v>57</v>
      </c>
    </row>
    <row r="59" spans="2:4" x14ac:dyDescent="0.25">
      <c r="D59" t="s">
        <v>58</v>
      </c>
    </row>
    <row r="60" spans="2:4" x14ac:dyDescent="0.25">
      <c r="D60" t="s">
        <v>59</v>
      </c>
    </row>
    <row r="61" spans="2:4" x14ac:dyDescent="0.25">
      <c r="D61" t="s">
        <v>60</v>
      </c>
    </row>
    <row r="62" spans="2:4" x14ac:dyDescent="0.25">
      <c r="B62" t="s">
        <v>61</v>
      </c>
    </row>
    <row r="63" spans="2:4" x14ac:dyDescent="0.25">
      <c r="C63" t="s">
        <v>62</v>
      </c>
    </row>
    <row r="64" spans="2:4" x14ac:dyDescent="0.25">
      <c r="D64" t="s">
        <v>68</v>
      </c>
    </row>
    <row r="65" spans="2:4" x14ac:dyDescent="0.25">
      <c r="D65" t="s">
        <v>69</v>
      </c>
    </row>
    <row r="66" spans="2:4" x14ac:dyDescent="0.25">
      <c r="C66" t="s">
        <v>63</v>
      </c>
    </row>
    <row r="67" spans="2:4" x14ac:dyDescent="0.25">
      <c r="D67" t="s">
        <v>66</v>
      </c>
    </row>
    <row r="68" spans="2:4" x14ac:dyDescent="0.25">
      <c r="C68" t="s">
        <v>64</v>
      </c>
    </row>
    <row r="69" spans="2:4" x14ac:dyDescent="0.25">
      <c r="D69" t="s">
        <v>67</v>
      </c>
    </row>
    <row r="70" spans="2:4" x14ac:dyDescent="0.25">
      <c r="C70" t="s">
        <v>65</v>
      </c>
    </row>
    <row r="71" spans="2:4" x14ac:dyDescent="0.25">
      <c r="C71" t="s">
        <v>70</v>
      </c>
    </row>
    <row r="72" spans="2:4" x14ac:dyDescent="0.25">
      <c r="C72" t="s">
        <v>71</v>
      </c>
    </row>
    <row r="74" spans="2:4" x14ac:dyDescent="0.25">
      <c r="B74" t="s">
        <v>72</v>
      </c>
    </row>
    <row r="75" spans="2:4" x14ac:dyDescent="0.25">
      <c r="C75" t="s">
        <v>73</v>
      </c>
    </row>
    <row r="76" spans="2:4" x14ac:dyDescent="0.25">
      <c r="C76" t="s">
        <v>74</v>
      </c>
    </row>
    <row r="77" spans="2:4" x14ac:dyDescent="0.25">
      <c r="C77" t="s">
        <v>75</v>
      </c>
    </row>
    <row r="78" spans="2:4" x14ac:dyDescent="0.25">
      <c r="C78" t="s">
        <v>76</v>
      </c>
    </row>
    <row r="81" spans="2:5" x14ac:dyDescent="0.25">
      <c r="B81" t="s">
        <v>77</v>
      </c>
    </row>
    <row r="82" spans="2:5" x14ac:dyDescent="0.25">
      <c r="C82" t="s">
        <v>78</v>
      </c>
    </row>
    <row r="83" spans="2:5" x14ac:dyDescent="0.25">
      <c r="D83" t="s">
        <v>79</v>
      </c>
    </row>
    <row r="84" spans="2:5" x14ac:dyDescent="0.25">
      <c r="D84" t="s">
        <v>80</v>
      </c>
    </row>
    <row r="85" spans="2:5" x14ac:dyDescent="0.25">
      <c r="D85" t="s">
        <v>81</v>
      </c>
    </row>
    <row r="86" spans="2:5" x14ac:dyDescent="0.25">
      <c r="D86" t="s">
        <v>82</v>
      </c>
    </row>
    <row r="87" spans="2:5" x14ac:dyDescent="0.25">
      <c r="E87" t="s">
        <v>83</v>
      </c>
    </row>
    <row r="88" spans="2:5" x14ac:dyDescent="0.25">
      <c r="D88" t="s">
        <v>84</v>
      </c>
    </row>
    <row r="89" spans="2:5" x14ac:dyDescent="0.25">
      <c r="C89" t="s">
        <v>85</v>
      </c>
    </row>
    <row r="91" spans="2:5" x14ac:dyDescent="0.25">
      <c r="B91" t="s">
        <v>86</v>
      </c>
    </row>
    <row r="92" spans="2:5" x14ac:dyDescent="0.25">
      <c r="C92" t="s">
        <v>87</v>
      </c>
    </row>
    <row r="93" spans="2:5" x14ac:dyDescent="0.25">
      <c r="C93" t="s">
        <v>88</v>
      </c>
    </row>
    <row r="94" spans="2:5" x14ac:dyDescent="0.25">
      <c r="C94" t="s">
        <v>89</v>
      </c>
    </row>
    <row r="96" spans="2:5" x14ac:dyDescent="0.25">
      <c r="B96" t="s">
        <v>90</v>
      </c>
    </row>
    <row r="97" spans="2:5" x14ac:dyDescent="0.25">
      <c r="C97" t="s">
        <v>91</v>
      </c>
    </row>
    <row r="98" spans="2:5" x14ac:dyDescent="0.25">
      <c r="C98" t="s">
        <v>92</v>
      </c>
    </row>
    <row r="99" spans="2:5" x14ac:dyDescent="0.25">
      <c r="D99" t="s">
        <v>93</v>
      </c>
    </row>
    <row r="100" spans="2:5" x14ac:dyDescent="0.25">
      <c r="D100" t="s">
        <v>94</v>
      </c>
    </row>
    <row r="101" spans="2:5" x14ac:dyDescent="0.25">
      <c r="E101" t="s">
        <v>95</v>
      </c>
    </row>
    <row r="102" spans="2:5" x14ac:dyDescent="0.25">
      <c r="C102" t="s">
        <v>96</v>
      </c>
    </row>
    <row r="106" spans="2:5" x14ac:dyDescent="0.25">
      <c r="B106" s="11" t="s">
        <v>137</v>
      </c>
    </row>
    <row r="107" spans="2:5" x14ac:dyDescent="0.25">
      <c r="B107" t="s">
        <v>138</v>
      </c>
    </row>
    <row r="108" spans="2:5" x14ac:dyDescent="0.25">
      <c r="B108" t="s">
        <v>139</v>
      </c>
    </row>
    <row r="109" spans="2:5" x14ac:dyDescent="0.25">
      <c r="B109" t="s">
        <v>140</v>
      </c>
    </row>
    <row r="110" spans="2:5" x14ac:dyDescent="0.25">
      <c r="B11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4B1D-20CF-45BB-8B2C-E1E075C773C3}">
  <dimension ref="A1:S38"/>
  <sheetViews>
    <sheetView tabSelected="1" zoomScale="190" zoomScaleNormal="190" workbookViewId="0">
      <pane xSplit="2" ySplit="2" topLeftCell="O12" activePane="bottomRight" state="frozen"/>
      <selection pane="topRight" activeCell="C1" sqref="C1"/>
      <selection pane="bottomLeft" activeCell="A3" sqref="A3"/>
      <selection pane="bottomRight" activeCell="R28" sqref="R28"/>
    </sheetView>
  </sheetViews>
  <sheetFormatPr defaultRowHeight="15" x14ac:dyDescent="0.25"/>
  <cols>
    <col min="2" max="2" width="23.7109375" bestFit="1" customWidth="1"/>
    <col min="3" max="6" width="10.42578125" customWidth="1"/>
    <col min="13" max="13" width="9.42578125" bestFit="1" customWidth="1"/>
  </cols>
  <sheetData>
    <row r="1" spans="1:19" x14ac:dyDescent="0.25">
      <c r="A1" s="9" t="s">
        <v>120</v>
      </c>
      <c r="R1" t="s">
        <v>100</v>
      </c>
    </row>
    <row r="2" spans="1:19" x14ac:dyDescent="0.25">
      <c r="C2" t="s">
        <v>130</v>
      </c>
      <c r="D2" t="s">
        <v>129</v>
      </c>
      <c r="E2" t="s">
        <v>128</v>
      </c>
      <c r="F2" t="s">
        <v>127</v>
      </c>
      <c r="G2" t="s">
        <v>126</v>
      </c>
      <c r="H2" t="s">
        <v>125</v>
      </c>
      <c r="I2" t="s">
        <v>124</v>
      </c>
      <c r="J2" t="s">
        <v>123</v>
      </c>
      <c r="K2" t="s">
        <v>122</v>
      </c>
      <c r="L2" t="s">
        <v>121</v>
      </c>
      <c r="M2" t="s">
        <v>137</v>
      </c>
      <c r="P2">
        <v>2021</v>
      </c>
      <c r="Q2">
        <f t="shared" ref="Q2:S2" si="0">P2+1</f>
        <v>2022</v>
      </c>
      <c r="R2">
        <f t="shared" si="0"/>
        <v>2023</v>
      </c>
      <c r="S2">
        <f t="shared" si="0"/>
        <v>2024</v>
      </c>
    </row>
    <row r="3" spans="1:19" x14ac:dyDescent="0.25">
      <c r="B3" t="s">
        <v>97</v>
      </c>
      <c r="E3">
        <v>3222</v>
      </c>
      <c r="H3">
        <v>3896</v>
      </c>
      <c r="I3">
        <v>4503</v>
      </c>
      <c r="L3">
        <v>4480</v>
      </c>
      <c r="M3">
        <v>4888</v>
      </c>
      <c r="P3" s="3">
        <f>Q3+6700</f>
        <v>25500</v>
      </c>
      <c r="Q3" s="3">
        <f>R3+1800</f>
        <v>18800</v>
      </c>
      <c r="R3" s="3">
        <v>17000</v>
      </c>
    </row>
    <row r="4" spans="1:19" x14ac:dyDescent="0.25">
      <c r="B4" t="s">
        <v>98</v>
      </c>
      <c r="E4">
        <v>4408</v>
      </c>
      <c r="H4">
        <v>2370</v>
      </c>
      <c r="I4">
        <v>2753</v>
      </c>
      <c r="L4">
        <v>2527</v>
      </c>
      <c r="M4">
        <v>2070</v>
      </c>
      <c r="P4" s="3">
        <f>Q4+1800</f>
        <v>12495</v>
      </c>
      <c r="Q4" s="3">
        <f>R4+495</f>
        <v>10695</v>
      </c>
      <c r="R4" s="3">
        <v>10200</v>
      </c>
    </row>
    <row r="5" spans="1:19" x14ac:dyDescent="0.25">
      <c r="B5" t="s">
        <v>99</v>
      </c>
      <c r="E5">
        <v>498</v>
      </c>
      <c r="H5">
        <v>514</v>
      </c>
      <c r="I5">
        <v>611</v>
      </c>
      <c r="L5">
        <v>403</v>
      </c>
      <c r="M5">
        <v>372</v>
      </c>
      <c r="P5" s="3">
        <f>Q5+870</f>
        <v>3199</v>
      </c>
      <c r="Q5" s="3">
        <f>R5+229</f>
        <v>2329</v>
      </c>
      <c r="R5" s="3">
        <v>2100</v>
      </c>
    </row>
    <row r="6" spans="1:19" x14ac:dyDescent="0.25">
      <c r="B6" t="s">
        <v>131</v>
      </c>
      <c r="E6">
        <v>4255</v>
      </c>
      <c r="H6">
        <v>3155</v>
      </c>
      <c r="I6">
        <v>3814</v>
      </c>
      <c r="L6">
        <v>3045</v>
      </c>
      <c r="M6">
        <v>3349</v>
      </c>
      <c r="P6" s="3"/>
      <c r="Q6" s="3"/>
      <c r="R6" s="3"/>
    </row>
    <row r="7" spans="1:19" x14ac:dyDescent="0.25">
      <c r="B7" t="s">
        <v>132</v>
      </c>
      <c r="E7">
        <v>2133</v>
      </c>
      <c r="H7">
        <v>1364</v>
      </c>
      <c r="I7">
        <v>1450</v>
      </c>
      <c r="L7">
        <v>1344</v>
      </c>
      <c r="M7">
        <v>1511</v>
      </c>
      <c r="P7" s="3"/>
      <c r="Q7" s="3"/>
      <c r="R7" s="3"/>
    </row>
    <row r="8" spans="1:19" x14ac:dyDescent="0.25">
      <c r="B8" t="s">
        <v>133</v>
      </c>
      <c r="E8">
        <v>450</v>
      </c>
      <c r="H8">
        <v>454</v>
      </c>
      <c r="I8">
        <v>530</v>
      </c>
      <c r="L8">
        <v>440</v>
      </c>
      <c r="M8">
        <v>485</v>
      </c>
      <c r="P8" s="3"/>
      <c r="Q8" s="3"/>
      <c r="R8" s="3"/>
    </row>
    <row r="9" spans="1:19" x14ac:dyDescent="0.25">
      <c r="A9" t="s">
        <v>136</v>
      </c>
      <c r="B9" t="s">
        <v>135</v>
      </c>
      <c r="E9">
        <v>78</v>
      </c>
      <c r="H9" s="5">
        <v>4172</v>
      </c>
      <c r="I9">
        <v>311</v>
      </c>
      <c r="L9" s="5">
        <v>4320</v>
      </c>
      <c r="M9" s="5">
        <v>4352</v>
      </c>
      <c r="P9" s="3"/>
      <c r="Q9" s="3"/>
      <c r="R9" s="3"/>
    </row>
    <row r="10" spans="1:19" x14ac:dyDescent="0.25">
      <c r="B10" t="s">
        <v>134</v>
      </c>
      <c r="E10">
        <v>294</v>
      </c>
      <c r="I10">
        <v>186</v>
      </c>
      <c r="L10">
        <f>968-L8</f>
        <v>528</v>
      </c>
      <c r="M10">
        <f>142+412</f>
        <v>554</v>
      </c>
      <c r="P10" s="3"/>
      <c r="Q10" s="3"/>
      <c r="R10" s="3"/>
    </row>
    <row r="11" spans="1:19" x14ac:dyDescent="0.25">
      <c r="P11" s="3"/>
      <c r="Q11" s="3"/>
      <c r="R11" s="3"/>
    </row>
    <row r="13" spans="1:19" x14ac:dyDescent="0.25">
      <c r="B13" t="s">
        <v>101</v>
      </c>
      <c r="G13" s="6">
        <v>11715</v>
      </c>
      <c r="H13" s="6">
        <f>L13+116</f>
        <v>12949</v>
      </c>
      <c r="I13" s="6">
        <v>14158</v>
      </c>
      <c r="J13" s="3">
        <f>(R13-(SUM(G13:I13)))</f>
        <v>15406</v>
      </c>
      <c r="K13" s="6">
        <f>25557-L13</f>
        <v>12724</v>
      </c>
      <c r="L13" s="6">
        <v>12833</v>
      </c>
      <c r="M13" s="6">
        <v>13284</v>
      </c>
      <c r="P13" s="3">
        <v>79024</v>
      </c>
      <c r="Q13" s="3">
        <v>63054</v>
      </c>
      <c r="R13" s="3">
        <v>54228</v>
      </c>
    </row>
    <row r="14" spans="1:19" x14ac:dyDescent="0.25">
      <c r="B14" t="s">
        <v>102</v>
      </c>
      <c r="G14" s="6">
        <v>-7707</v>
      </c>
      <c r="H14" s="6">
        <v>-8311</v>
      </c>
      <c r="I14" s="6">
        <v>-8140</v>
      </c>
      <c r="J14" s="6">
        <f>R14-SUM(G14:I14)</f>
        <v>-8359</v>
      </c>
      <c r="K14" s="6">
        <v>-7507</v>
      </c>
      <c r="L14" s="6">
        <v>-8286</v>
      </c>
      <c r="M14" s="6">
        <v>-11287</v>
      </c>
      <c r="P14" s="6">
        <v>-35209</v>
      </c>
      <c r="Q14" s="6">
        <v>-36188</v>
      </c>
      <c r="R14" s="6">
        <v>-32517</v>
      </c>
      <c r="S14" s="3"/>
    </row>
    <row r="15" spans="1:19" s="5" customFormat="1" x14ac:dyDescent="0.25">
      <c r="B15" s="5" t="s">
        <v>103</v>
      </c>
      <c r="G15" s="10">
        <f>SUM(G13:G14)</f>
        <v>4008</v>
      </c>
      <c r="H15" s="10">
        <f>SUM(H13:H14)</f>
        <v>4638</v>
      </c>
      <c r="I15" s="10">
        <f t="shared" ref="I15:L15" si="1">SUM(I13:I14)</f>
        <v>6018</v>
      </c>
      <c r="J15" s="10">
        <f t="shared" si="1"/>
        <v>7047</v>
      </c>
      <c r="K15" s="10">
        <f t="shared" si="1"/>
        <v>5217</v>
      </c>
      <c r="L15" s="10">
        <f t="shared" si="1"/>
        <v>4547</v>
      </c>
      <c r="M15" s="10">
        <f t="shared" ref="M15" si="2">SUM(M13:M14)</f>
        <v>1997</v>
      </c>
      <c r="P15" s="7">
        <f>SUM(P13,P14)</f>
        <v>43815</v>
      </c>
      <c r="Q15" s="7">
        <f t="shared" ref="Q15:R15" si="3">SUM(Q13,Q14)</f>
        <v>26866</v>
      </c>
      <c r="R15" s="7">
        <f t="shared" si="3"/>
        <v>21711</v>
      </c>
    </row>
    <row r="16" spans="1:19" x14ac:dyDescent="0.25">
      <c r="B16" t="s">
        <v>104</v>
      </c>
      <c r="G16" s="6">
        <v>-4109</v>
      </c>
      <c r="H16" s="6">
        <v>-4080</v>
      </c>
      <c r="I16" s="6">
        <v>-3870</v>
      </c>
      <c r="J16" s="6">
        <f>R16-SUM(G16:I16)</f>
        <v>-3987</v>
      </c>
      <c r="K16" s="6">
        <v>-4382</v>
      </c>
      <c r="L16" s="6">
        <v>-4239</v>
      </c>
      <c r="M16" s="6">
        <v>-4049</v>
      </c>
      <c r="P16" s="6">
        <v>-15190</v>
      </c>
      <c r="Q16" s="6">
        <v>-17528</v>
      </c>
      <c r="R16" s="6">
        <v>-16046</v>
      </c>
    </row>
    <row r="17" spans="2:18" x14ac:dyDescent="0.25">
      <c r="B17" t="s">
        <v>105</v>
      </c>
      <c r="G17" s="6">
        <v>-1303</v>
      </c>
      <c r="H17" s="6">
        <v>-1374</v>
      </c>
      <c r="I17" s="6">
        <v>-1340</v>
      </c>
      <c r="J17" s="6">
        <f t="shared" ref="J17:J18" si="4">R17-SUM(G17:I17)</f>
        <v>-1617</v>
      </c>
      <c r="K17" s="6">
        <v>-1556</v>
      </c>
      <c r="L17" s="6">
        <v>-1329</v>
      </c>
      <c r="M17" s="6">
        <v>-1383</v>
      </c>
      <c r="P17" s="6">
        <v>-6543</v>
      </c>
      <c r="Q17" s="6">
        <v>-7002</v>
      </c>
      <c r="R17" s="6">
        <v>-5634</v>
      </c>
    </row>
    <row r="18" spans="2:18" x14ac:dyDescent="0.25">
      <c r="B18" t="s">
        <v>106</v>
      </c>
      <c r="G18" s="6">
        <v>-64</v>
      </c>
      <c r="H18" s="6">
        <v>-200</v>
      </c>
      <c r="I18" s="6">
        <v>-816</v>
      </c>
      <c r="J18" s="6">
        <f t="shared" si="4"/>
        <v>1142</v>
      </c>
      <c r="K18" s="6">
        <v>-348</v>
      </c>
      <c r="L18" s="6">
        <v>-943</v>
      </c>
      <c r="M18" s="6">
        <v>-5622</v>
      </c>
      <c r="P18" s="6">
        <v>-2626</v>
      </c>
      <c r="Q18" s="6">
        <v>-2</v>
      </c>
      <c r="R18" s="6">
        <v>62</v>
      </c>
    </row>
    <row r="19" spans="2:18" x14ac:dyDescent="0.25">
      <c r="B19" t="s">
        <v>107</v>
      </c>
      <c r="G19" s="6">
        <f>SUM(G16:G18)</f>
        <v>-5476</v>
      </c>
      <c r="H19" s="6">
        <f>SUM(H16:H18)</f>
        <v>-5654</v>
      </c>
      <c r="I19" s="6">
        <f t="shared" ref="I19:L19" si="5">SUM(I16:I18)</f>
        <v>-6026</v>
      </c>
      <c r="J19" s="6">
        <f t="shared" si="5"/>
        <v>-4462</v>
      </c>
      <c r="K19" s="6">
        <f t="shared" si="5"/>
        <v>-6286</v>
      </c>
      <c r="L19" s="6">
        <f t="shared" si="5"/>
        <v>-6511</v>
      </c>
      <c r="M19" s="6">
        <f t="shared" ref="M19" si="6">SUM(M16:M18)</f>
        <v>-11054</v>
      </c>
      <c r="P19" s="6">
        <f>SUM(P16:P18)</f>
        <v>-24359</v>
      </c>
      <c r="Q19" s="6">
        <f t="shared" ref="Q19:R19" si="7">SUM(Q16:Q18)</f>
        <v>-24532</v>
      </c>
      <c r="R19" s="6">
        <f t="shared" si="7"/>
        <v>-21618</v>
      </c>
    </row>
    <row r="20" spans="2:18" s="5" customFormat="1" x14ac:dyDescent="0.25">
      <c r="B20" s="5" t="s">
        <v>108</v>
      </c>
      <c r="G20" s="6">
        <f>G15+G19</f>
        <v>-1468</v>
      </c>
      <c r="H20" s="10">
        <f>H15+H19</f>
        <v>-1016</v>
      </c>
      <c r="I20" s="10">
        <f t="shared" ref="I20:L20" si="8">I15+I19</f>
        <v>-8</v>
      </c>
      <c r="J20" s="10">
        <f t="shared" si="8"/>
        <v>2585</v>
      </c>
      <c r="K20" s="10">
        <f t="shared" si="8"/>
        <v>-1069</v>
      </c>
      <c r="L20" s="10">
        <f t="shared" si="8"/>
        <v>-1964</v>
      </c>
      <c r="M20" s="10">
        <f t="shared" ref="M20" si="9">M15+M19</f>
        <v>-9057</v>
      </c>
      <c r="P20" s="7">
        <f>P15+P19</f>
        <v>19456</v>
      </c>
      <c r="Q20" s="7">
        <f t="shared" ref="Q20:R20" si="10">Q15+Q19</f>
        <v>2334</v>
      </c>
      <c r="R20" s="7">
        <f t="shared" si="10"/>
        <v>93</v>
      </c>
    </row>
    <row r="21" spans="2:18" x14ac:dyDescent="0.25">
      <c r="B21" t="s">
        <v>109</v>
      </c>
      <c r="G21" s="6">
        <v>169</v>
      </c>
      <c r="H21" s="6">
        <v>-24</v>
      </c>
      <c r="I21" s="6">
        <v>-191</v>
      </c>
      <c r="J21" s="6"/>
      <c r="K21" s="6">
        <v>205</v>
      </c>
      <c r="L21" s="6">
        <v>-120</v>
      </c>
      <c r="M21" s="6">
        <v>-159</v>
      </c>
      <c r="P21" s="6">
        <v>2729</v>
      </c>
      <c r="Q21" s="6">
        <v>4268</v>
      </c>
      <c r="R21" s="6">
        <v>40</v>
      </c>
    </row>
    <row r="22" spans="2:18" x14ac:dyDescent="0.25">
      <c r="B22" t="s">
        <v>110</v>
      </c>
      <c r="G22" s="6">
        <v>141</v>
      </c>
      <c r="H22" s="6">
        <v>224</v>
      </c>
      <c r="I22" s="6">
        <v>147</v>
      </c>
      <c r="J22" s="6"/>
      <c r="K22" s="6">
        <v>145</v>
      </c>
      <c r="L22" s="6">
        <v>80</v>
      </c>
      <c r="M22" s="6">
        <v>130</v>
      </c>
      <c r="P22" s="6">
        <v>-482</v>
      </c>
      <c r="Q22" s="6">
        <v>1166</v>
      </c>
      <c r="R22" s="6">
        <v>629</v>
      </c>
    </row>
    <row r="23" spans="2:18" s="5" customFormat="1" x14ac:dyDescent="0.25">
      <c r="B23" s="5" t="s">
        <v>111</v>
      </c>
      <c r="G23" s="6">
        <f>SUM(G20:G22)</f>
        <v>-1158</v>
      </c>
      <c r="H23" s="6">
        <f>SUM(H20:H22)</f>
        <v>-816</v>
      </c>
      <c r="I23" s="6">
        <f t="shared" ref="I23:L23" si="11">SUM(I20:I22)</f>
        <v>-52</v>
      </c>
      <c r="J23" s="6">
        <f t="shared" si="11"/>
        <v>2585</v>
      </c>
      <c r="K23" s="6">
        <f t="shared" si="11"/>
        <v>-719</v>
      </c>
      <c r="L23" s="6">
        <f t="shared" si="11"/>
        <v>-2004</v>
      </c>
      <c r="M23" s="6">
        <f t="shared" ref="M23" si="12">SUM(M20:M22)</f>
        <v>-9086</v>
      </c>
      <c r="P23" s="7">
        <f>SUM(P20:P22)</f>
        <v>21703</v>
      </c>
      <c r="Q23" s="7">
        <f t="shared" ref="Q23:R23" si="13">SUM(Q20:Q22)</f>
        <v>7768</v>
      </c>
      <c r="R23" s="7">
        <f t="shared" si="13"/>
        <v>762</v>
      </c>
    </row>
    <row r="24" spans="2:18" x14ac:dyDescent="0.25">
      <c r="B24" t="s">
        <v>112</v>
      </c>
      <c r="G24" s="6">
        <v>-1610</v>
      </c>
      <c r="H24" s="6">
        <v>2289</v>
      </c>
      <c r="I24" s="6">
        <v>362</v>
      </c>
      <c r="J24" s="6"/>
      <c r="K24" s="6">
        <v>282</v>
      </c>
      <c r="L24" s="6">
        <v>350</v>
      </c>
      <c r="M24" s="6">
        <v>-7903</v>
      </c>
      <c r="P24" s="6">
        <v>-482</v>
      </c>
      <c r="Q24">
        <v>249</v>
      </c>
      <c r="R24">
        <v>913</v>
      </c>
    </row>
    <row r="25" spans="2:18" s="5" customFormat="1" x14ac:dyDescent="0.25">
      <c r="B25" s="5" t="s">
        <v>113</v>
      </c>
      <c r="G25" s="10">
        <f>SUM(G23:G24)</f>
        <v>-2768</v>
      </c>
      <c r="H25" s="10">
        <f>SUM(H23:H24)</f>
        <v>1473</v>
      </c>
      <c r="I25" s="10">
        <f t="shared" ref="I25:L25" si="14">SUM(I23:I24)</f>
        <v>310</v>
      </c>
      <c r="J25" s="10">
        <f t="shared" si="14"/>
        <v>2585</v>
      </c>
      <c r="K25" s="10">
        <f t="shared" si="14"/>
        <v>-437</v>
      </c>
      <c r="L25" s="10">
        <f t="shared" si="14"/>
        <v>-1654</v>
      </c>
      <c r="M25" s="10">
        <f t="shared" ref="M25" si="15">SUM(M23:M24)</f>
        <v>-16989</v>
      </c>
      <c r="P25" s="7">
        <f>SUM(P23:P24)</f>
        <v>21221</v>
      </c>
      <c r="Q25" s="7">
        <f t="shared" ref="Q25:R25" si="16">SUM(Q23:Q24)</f>
        <v>8017</v>
      </c>
      <c r="R25" s="7">
        <f t="shared" si="16"/>
        <v>1675</v>
      </c>
    </row>
    <row r="27" spans="2:18" x14ac:dyDescent="0.25">
      <c r="B27" s="12" t="s">
        <v>142</v>
      </c>
      <c r="P27">
        <v>29456</v>
      </c>
      <c r="Q27">
        <v>15433</v>
      </c>
      <c r="R27">
        <v>11471</v>
      </c>
    </row>
    <row r="28" spans="2:18" x14ac:dyDescent="0.25">
      <c r="B28" s="12" t="s">
        <v>143</v>
      </c>
      <c r="P28" s="6">
        <f>-18733-1598</f>
        <v>-20331</v>
      </c>
      <c r="Q28" s="6">
        <f>-24844-206</f>
        <v>-25050</v>
      </c>
      <c r="R28" s="6">
        <f>-18733-1596</f>
        <v>-20329</v>
      </c>
    </row>
    <row r="29" spans="2:18" x14ac:dyDescent="0.25">
      <c r="B29" s="12" t="s">
        <v>144</v>
      </c>
      <c r="P29">
        <f>SUM(P27:P28)</f>
        <v>9125</v>
      </c>
      <c r="Q29">
        <f t="shared" ref="Q29:R29" si="17">SUM(Q27:Q28)</f>
        <v>-9617</v>
      </c>
      <c r="R29">
        <f t="shared" si="17"/>
        <v>-8858</v>
      </c>
    </row>
    <row r="30" spans="2:18" x14ac:dyDescent="0.25">
      <c r="B30" s="12"/>
    </row>
    <row r="31" spans="2:18" x14ac:dyDescent="0.25">
      <c r="B31" s="12"/>
    </row>
    <row r="33" spans="2:18" x14ac:dyDescent="0.25">
      <c r="B33" t="s">
        <v>114</v>
      </c>
      <c r="G33" s="8"/>
      <c r="H33" s="8"/>
      <c r="I33" s="8"/>
      <c r="J33" s="8"/>
      <c r="K33" s="8">
        <f>K13/G13-1</f>
        <v>8.6128894579598825E-2</v>
      </c>
      <c r="L33" s="8">
        <f t="shared" ref="L33:M33" si="18">L13/H13-1</f>
        <v>-8.9582207120241231E-3</v>
      </c>
      <c r="M33" s="8">
        <f t="shared" si="18"/>
        <v>-6.1731883034326862E-2</v>
      </c>
      <c r="N33" s="8"/>
      <c r="O33" s="8"/>
      <c r="P33" s="8"/>
      <c r="Q33" s="8">
        <f>Q13/P13-1</f>
        <v>-0.20209050415063778</v>
      </c>
      <c r="R33" s="8">
        <f>R13/Q13-1</f>
        <v>-0.13997525930155108</v>
      </c>
    </row>
    <row r="34" spans="2:18" x14ac:dyDescent="0.25">
      <c r="B34" t="s">
        <v>115</v>
      </c>
      <c r="G34" s="8"/>
      <c r="H34" s="8"/>
      <c r="I34" s="8"/>
      <c r="J34" s="8"/>
      <c r="K34" s="8">
        <f>K15/G15-1</f>
        <v>0.30164670658682624</v>
      </c>
      <c r="L34" s="8">
        <f t="shared" ref="L34:M34" si="19">L15/H15-1</f>
        <v>-1.9620526088831358E-2</v>
      </c>
      <c r="M34" s="8">
        <f t="shared" si="19"/>
        <v>-0.66816218012628781</v>
      </c>
      <c r="N34" s="8"/>
      <c r="O34" s="8"/>
      <c r="P34" s="8"/>
      <c r="Q34" s="8">
        <f>Q15/P15-1</f>
        <v>-0.38683099395184295</v>
      </c>
      <c r="R34" s="8">
        <f>R15/Q15-1</f>
        <v>-0.19187821037742869</v>
      </c>
    </row>
    <row r="35" spans="2:18" x14ac:dyDescent="0.25">
      <c r="B35" t="s">
        <v>116</v>
      </c>
      <c r="G35" s="8"/>
      <c r="H35" s="8"/>
      <c r="I35" s="8"/>
      <c r="J35" s="8"/>
      <c r="K35" s="8">
        <f>(K20-G20)/ABS(G20)</f>
        <v>0.27179836512261579</v>
      </c>
      <c r="L35" s="8">
        <f t="shared" ref="L35:M35" si="20">(L20-H20)/ABS(H20)</f>
        <v>-0.93307086614173229</v>
      </c>
      <c r="M35" s="8">
        <f t="shared" si="20"/>
        <v>-1131.125</v>
      </c>
      <c r="N35" s="8"/>
      <c r="O35" s="8"/>
      <c r="P35" s="8"/>
      <c r="Q35" s="8">
        <f>Q20/P20-1</f>
        <v>-0.88003700657894735</v>
      </c>
      <c r="R35" s="8">
        <f>R20/Q20-1</f>
        <v>-0.96015424164524421</v>
      </c>
    </row>
    <row r="36" spans="2:18" x14ac:dyDescent="0.25">
      <c r="B36" t="s">
        <v>117</v>
      </c>
      <c r="G36" s="8">
        <f t="shared" ref="G36:L36" si="21">G16/G19</f>
        <v>0.75036523009495981</v>
      </c>
      <c r="H36" s="8">
        <f t="shared" si="21"/>
        <v>0.72161301733286165</v>
      </c>
      <c r="I36" s="8">
        <f t="shared" si="21"/>
        <v>0.64221705940922669</v>
      </c>
      <c r="J36" s="8">
        <f t="shared" si="21"/>
        <v>0.89354549529359029</v>
      </c>
      <c r="K36" s="8">
        <f t="shared" si="21"/>
        <v>0.69710467706013368</v>
      </c>
      <c r="L36" s="8">
        <f t="shared" si="21"/>
        <v>0.65105206573491015</v>
      </c>
      <c r="M36" s="8">
        <f t="shared" ref="M36" si="22">M16/M19</f>
        <v>0.3662927447077981</v>
      </c>
      <c r="N36" s="8"/>
      <c r="O36" s="8"/>
      <c r="P36" s="8">
        <f>P16/P19</f>
        <v>0.62358881727492921</v>
      </c>
      <c r="Q36" s="8">
        <f t="shared" ref="Q36:R36" si="23">Q16/Q19</f>
        <v>0.71449535300831568</v>
      </c>
      <c r="R36" s="8">
        <f t="shared" si="23"/>
        <v>0.74225182718105287</v>
      </c>
    </row>
    <row r="37" spans="2:18" x14ac:dyDescent="0.25">
      <c r="B37" t="s">
        <v>119</v>
      </c>
      <c r="G37" s="8"/>
      <c r="H37" s="8"/>
      <c r="I37" s="8"/>
      <c r="J37" s="8"/>
      <c r="K37" s="8">
        <f t="shared" ref="K37:M37" si="24">K16/J16-1</f>
        <v>9.9071983947830455E-2</v>
      </c>
      <c r="L37" s="8">
        <f t="shared" si="24"/>
        <v>-3.2633500684618899E-2</v>
      </c>
      <c r="M37" s="8">
        <f t="shared" si="24"/>
        <v>-4.4821891955649895E-2</v>
      </c>
      <c r="N37" s="8"/>
      <c r="O37" s="8"/>
      <c r="P37" s="8"/>
      <c r="Q37" s="8">
        <f>Q16/P16-1</f>
        <v>0.15391705069124417</v>
      </c>
      <c r="R37" s="8">
        <f>R16/Q16-1</f>
        <v>-8.4550433591967122E-2</v>
      </c>
    </row>
    <row r="38" spans="2:18" x14ac:dyDescent="0.25">
      <c r="B38" t="s">
        <v>118</v>
      </c>
      <c r="G38" s="8"/>
      <c r="H38" s="8"/>
      <c r="I38" s="8"/>
      <c r="J38" s="8"/>
      <c r="K38" s="8">
        <f>(K25-G25)/ABS(G25)</f>
        <v>0.84212427745664742</v>
      </c>
      <c r="L38" s="8">
        <f>(L25-H25)/ABS(H25)</f>
        <v>-2.1228784792939579</v>
      </c>
      <c r="M38" s="8">
        <f>(M25-I25)/ABS(I25)</f>
        <v>-55.803225806451614</v>
      </c>
      <c r="N38" s="8"/>
      <c r="O38" s="8"/>
      <c r="P38" s="8"/>
      <c r="Q38" s="8">
        <f>Q25/P25-1</f>
        <v>-0.62221384477640074</v>
      </c>
      <c r="R38" s="8">
        <f>R25/Q25-1</f>
        <v>-0.79106897842085566</v>
      </c>
    </row>
  </sheetData>
  <hyperlinks>
    <hyperlink ref="A1" location="Sheet1!A1" display="Main" xr:uid="{15117658-F373-4D58-BA5F-D20EBA0EE1E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2024-09-08T18:06:03Z</dcterms:created>
  <dcterms:modified xsi:type="dcterms:W3CDTF">2024-11-19T05:03:43Z</dcterms:modified>
</cp:coreProperties>
</file>