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0695AB73-12DC-4B97-AA2B-4C01A4A9ED5D}" xr6:coauthVersionLast="47" xr6:coauthVersionMax="47" xr10:uidLastSave="{00000000-0000-0000-0000-000000000000}"/>
  <bookViews>
    <workbookView xWindow="17040" yWindow="0" windowWidth="21465" windowHeight="20985" activeTab="1" xr2:uid="{2197E4FB-47F7-4CCA-A3BE-2AB9E20AB2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2" l="1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U30" i="2"/>
  <c r="Y30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Z27" i="2"/>
  <c r="AA27" i="2"/>
  <c r="AB27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K24" i="2"/>
  <c r="L24" i="2"/>
  <c r="M24" i="2"/>
  <c r="N24" i="2"/>
  <c r="O24" i="2"/>
  <c r="P24" i="2"/>
  <c r="Q24" i="2"/>
  <c r="R24" i="2"/>
  <c r="S24" i="2"/>
  <c r="T24" i="2"/>
  <c r="V24" i="2"/>
  <c r="W24" i="2"/>
  <c r="X24" i="2"/>
  <c r="Z24" i="2"/>
  <c r="AA24" i="2"/>
  <c r="AB24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Z20" i="2"/>
  <c r="AA20" i="2"/>
  <c r="AB20" i="2"/>
  <c r="K21" i="2"/>
  <c r="L21" i="2"/>
  <c r="M21" i="2"/>
  <c r="N21" i="2"/>
  <c r="O21" i="2"/>
  <c r="P21" i="2"/>
  <c r="Q21" i="2"/>
  <c r="R21" i="2"/>
  <c r="S21" i="2"/>
  <c r="T21" i="2"/>
  <c r="V21" i="2"/>
  <c r="W21" i="2"/>
  <c r="X21" i="2"/>
  <c r="Z21" i="2"/>
  <c r="AA21" i="2"/>
  <c r="AB21" i="2"/>
  <c r="K17" i="2"/>
  <c r="L17" i="2"/>
  <c r="M17" i="2"/>
  <c r="N17" i="2"/>
  <c r="O17" i="2"/>
  <c r="P17" i="2"/>
  <c r="Q17" i="2"/>
  <c r="R17" i="2"/>
  <c r="S17" i="2"/>
  <c r="T17" i="2"/>
  <c r="V17" i="2"/>
  <c r="W17" i="2"/>
  <c r="X17" i="2"/>
  <c r="Z17" i="2"/>
  <c r="AA17" i="2"/>
  <c r="AB17" i="2"/>
  <c r="K11" i="2"/>
  <c r="L11" i="2"/>
  <c r="M11" i="2"/>
  <c r="N11" i="2"/>
  <c r="O11" i="2"/>
  <c r="P11" i="2"/>
  <c r="Q11" i="2"/>
  <c r="R11" i="2"/>
  <c r="S11" i="2"/>
  <c r="T11" i="2"/>
  <c r="W11" i="2"/>
  <c r="X11" i="2"/>
  <c r="AA11" i="2"/>
  <c r="AB11" i="2"/>
  <c r="W30" i="2"/>
  <c r="AA30" i="2"/>
  <c r="AB30" i="2"/>
  <c r="X33" i="2"/>
  <c r="K33" i="2"/>
  <c r="L33" i="2"/>
  <c r="M33" i="2"/>
  <c r="N33" i="2"/>
  <c r="O33" i="2"/>
  <c r="P33" i="2"/>
  <c r="Q33" i="2"/>
  <c r="R33" i="2"/>
  <c r="S33" i="2"/>
  <c r="T33" i="2"/>
  <c r="V33" i="2"/>
  <c r="Z33" i="2"/>
  <c r="X30" i="2"/>
  <c r="K28" i="2"/>
  <c r="L28" i="2"/>
  <c r="M28" i="2"/>
  <c r="N28" i="2"/>
  <c r="N29" i="2" s="1"/>
  <c r="O28" i="2"/>
  <c r="O29" i="2" s="1"/>
  <c r="P28" i="2"/>
  <c r="Q28" i="2"/>
  <c r="R28" i="2"/>
  <c r="S28" i="2"/>
  <c r="T28" i="2"/>
  <c r="T29" i="2" s="1"/>
  <c r="U28" i="2"/>
  <c r="U24" i="2" s="1"/>
  <c r="V28" i="2"/>
  <c r="W28" i="2"/>
  <c r="X28" i="2"/>
  <c r="X29" i="2" s="1"/>
  <c r="Y28" i="2"/>
  <c r="Y27" i="2" s="1"/>
  <c r="Z28" i="2"/>
  <c r="Z29" i="2" s="1"/>
  <c r="AA28" i="2"/>
  <c r="AB28" i="2"/>
  <c r="K29" i="2"/>
  <c r="L29" i="2"/>
  <c r="M29" i="2"/>
  <c r="P29" i="2"/>
  <c r="Q29" i="2"/>
  <c r="R29" i="2"/>
  <c r="S29" i="2"/>
  <c r="V29" i="2"/>
  <c r="K16" i="2"/>
  <c r="L16" i="2"/>
  <c r="M16" i="2"/>
  <c r="N16" i="2"/>
  <c r="O16" i="2"/>
  <c r="P16" i="2"/>
  <c r="Q16" i="2"/>
  <c r="R16" i="2"/>
  <c r="S16" i="2"/>
  <c r="T16" i="2"/>
  <c r="V16" i="2"/>
  <c r="Z16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W16" i="2" s="1"/>
  <c r="X15" i="2"/>
  <c r="X16" i="2" s="1"/>
  <c r="Y15" i="2"/>
  <c r="Z15" i="2"/>
  <c r="AA15" i="2"/>
  <c r="AA16" i="2" s="1"/>
  <c r="AB15" i="2"/>
  <c r="AB16" i="2" s="1"/>
  <c r="AA9" i="2"/>
  <c r="L10" i="2"/>
  <c r="M10" i="2"/>
  <c r="N10" i="2"/>
  <c r="O10" i="2"/>
  <c r="P10" i="2"/>
  <c r="Q10" i="2"/>
  <c r="R10" i="2"/>
  <c r="S10" i="2"/>
  <c r="T10" i="2"/>
  <c r="U10" i="2"/>
  <c r="V10" i="2"/>
  <c r="X10" i="2"/>
  <c r="K10" i="2"/>
  <c r="W9" i="2"/>
  <c r="W8" i="2"/>
  <c r="AA8" i="2"/>
  <c r="Y10" i="2"/>
  <c r="Z11" i="2" s="1"/>
  <c r="Z10" i="2"/>
  <c r="AA10" i="2"/>
  <c r="AB10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D7" i="2"/>
  <c r="D10" i="2"/>
  <c r="D15" i="2"/>
  <c r="AK36" i="2"/>
  <c r="AL36" i="2" s="1"/>
  <c r="I5" i="1"/>
  <c r="I7" i="1"/>
  <c r="U21" i="2" l="1"/>
  <c r="U16" i="2"/>
  <c r="U29" i="2" s="1"/>
  <c r="U33" i="2" s="1"/>
  <c r="V11" i="2"/>
  <c r="U11" i="2"/>
  <c r="U17" i="2"/>
  <c r="Y24" i="2"/>
  <c r="Y21" i="2"/>
  <c r="Y11" i="2"/>
  <c r="Y17" i="2"/>
  <c r="Y16" i="2"/>
  <c r="Y29" i="2" s="1"/>
  <c r="Y33" i="2" s="1"/>
  <c r="W29" i="2"/>
  <c r="W33" i="2" s="1"/>
  <c r="AA29" i="2"/>
  <c r="AA33" i="2" s="1"/>
  <c r="AB29" i="2"/>
  <c r="AB33" i="2" s="1"/>
  <c r="W10" i="2"/>
  <c r="D16" i="2"/>
  <c r="AM36" i="2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AG26" i="2"/>
  <c r="AG28" i="2"/>
  <c r="AG21" i="2" s="1"/>
  <c r="AG20" i="2"/>
  <c r="AG23" i="2"/>
  <c r="AG15" i="2"/>
  <c r="AG10" i="2"/>
  <c r="AG6" i="2"/>
  <c r="AH6" i="2"/>
  <c r="AI6" i="2"/>
  <c r="AJ6" i="2"/>
  <c r="AG5" i="2"/>
  <c r="AE37" i="2"/>
  <c r="AF37" i="2"/>
  <c r="AG37" i="2"/>
  <c r="AH37" i="2"/>
  <c r="AI37" i="2"/>
  <c r="AJ37" i="2"/>
  <c r="AD37" i="2"/>
  <c r="E26" i="2"/>
  <c r="F26" i="2"/>
  <c r="G26" i="2"/>
  <c r="H26" i="2"/>
  <c r="I26" i="2"/>
  <c r="J26" i="2"/>
  <c r="AE26" i="2"/>
  <c r="AF26" i="2"/>
  <c r="AH26" i="2"/>
  <c r="AI26" i="2"/>
  <c r="AJ26" i="2"/>
  <c r="D26" i="2"/>
  <c r="E23" i="2"/>
  <c r="F23" i="2"/>
  <c r="G23" i="2"/>
  <c r="H23" i="2"/>
  <c r="I23" i="2"/>
  <c r="J23" i="2"/>
  <c r="AE23" i="2"/>
  <c r="AF23" i="2"/>
  <c r="AH23" i="2"/>
  <c r="AI23" i="2"/>
  <c r="AJ23" i="2"/>
  <c r="D23" i="2"/>
  <c r="E20" i="2"/>
  <c r="F20" i="2"/>
  <c r="G20" i="2"/>
  <c r="H20" i="2"/>
  <c r="I20" i="2"/>
  <c r="J20" i="2"/>
  <c r="AE20" i="2"/>
  <c r="AF20" i="2"/>
  <c r="AH20" i="2"/>
  <c r="AI20" i="2"/>
  <c r="AJ20" i="2"/>
  <c r="D20" i="2"/>
  <c r="AJ30" i="2"/>
  <c r="AI30" i="2"/>
  <c r="AH30" i="2"/>
  <c r="AH28" i="2"/>
  <c r="AH21" i="2" s="1"/>
  <c r="AI28" i="2"/>
  <c r="AI21" i="2" s="1"/>
  <c r="AJ28" i="2"/>
  <c r="AJ21" i="2" s="1"/>
  <c r="AH15" i="2"/>
  <c r="AI15" i="2"/>
  <c r="AJ15" i="2"/>
  <c r="AH10" i="2"/>
  <c r="AI10" i="2"/>
  <c r="AJ10" i="2"/>
  <c r="AF5" i="2"/>
  <c r="AH5" i="2"/>
  <c r="AI5" i="2"/>
  <c r="AJ5" i="2"/>
  <c r="AE5" i="2"/>
  <c r="D28" i="2"/>
  <c r="D24" i="2" s="1"/>
  <c r="E28" i="2"/>
  <c r="E24" i="2" s="1"/>
  <c r="F28" i="2"/>
  <c r="F24" i="2" s="1"/>
  <c r="G28" i="2"/>
  <c r="G24" i="2" s="1"/>
  <c r="H28" i="2"/>
  <c r="H24" i="2" s="1"/>
  <c r="I28" i="2"/>
  <c r="I24" i="2" s="1"/>
  <c r="J28" i="2"/>
  <c r="J27" i="2" s="1"/>
  <c r="AD28" i="2"/>
  <c r="AD24" i="2" s="1"/>
  <c r="AE28" i="2"/>
  <c r="AE24" i="2" s="1"/>
  <c r="AF28" i="2"/>
  <c r="AF24" i="2" s="1"/>
  <c r="C28" i="2"/>
  <c r="C21" i="2" s="1"/>
  <c r="C7" i="2"/>
  <c r="E15" i="2"/>
  <c r="F15" i="2"/>
  <c r="G15" i="2"/>
  <c r="H15" i="2"/>
  <c r="I15" i="2"/>
  <c r="J15" i="2"/>
  <c r="C15" i="2"/>
  <c r="E10" i="2"/>
  <c r="E11" i="2" s="1"/>
  <c r="F10" i="2"/>
  <c r="G10" i="2"/>
  <c r="H10" i="2"/>
  <c r="I10" i="2"/>
  <c r="J10" i="2"/>
  <c r="C10" i="2"/>
  <c r="D11" i="2" s="1"/>
  <c r="AE15" i="2"/>
  <c r="AF15" i="2"/>
  <c r="AD15" i="2"/>
  <c r="AE10" i="2"/>
  <c r="AF10" i="2"/>
  <c r="AD10" i="2"/>
  <c r="AE6" i="2"/>
  <c r="AF6" i="2"/>
  <c r="AD6" i="2"/>
  <c r="AE2" i="2"/>
  <c r="AF2" i="2" s="1"/>
  <c r="AG2" i="2" s="1"/>
  <c r="AH2" i="2" s="1"/>
  <c r="AI2" i="2" s="1"/>
  <c r="AJ2" i="2" s="1"/>
  <c r="I6" i="1"/>
  <c r="I9" i="1" s="1"/>
  <c r="AG17" i="2" l="1"/>
  <c r="AG12" i="2"/>
  <c r="AG16" i="2"/>
  <c r="AG29" i="2" s="1"/>
  <c r="AG33" i="2" s="1"/>
  <c r="AG27" i="2"/>
  <c r="AH12" i="2"/>
  <c r="AI12" i="2"/>
  <c r="AM40" i="2"/>
  <c r="AM41" i="2" s="1"/>
  <c r="I11" i="2"/>
  <c r="AG24" i="2"/>
  <c r="J11" i="2"/>
  <c r="AJ12" i="2"/>
  <c r="AJ17" i="2"/>
  <c r="AH17" i="2"/>
  <c r="AI17" i="2"/>
  <c r="AJ16" i="2"/>
  <c r="AJ29" i="2" s="1"/>
  <c r="AJ33" i="2" s="1"/>
  <c r="AI16" i="2"/>
  <c r="AI29" i="2" s="1"/>
  <c r="AI33" i="2" s="1"/>
  <c r="AH16" i="2"/>
  <c r="AH29" i="2" s="1"/>
  <c r="AH33" i="2" s="1"/>
  <c r="AF21" i="2"/>
  <c r="AE21" i="2"/>
  <c r="AI27" i="2"/>
  <c r="AH24" i="2"/>
  <c r="AJ27" i="2"/>
  <c r="AJ24" i="2"/>
  <c r="AH27" i="2"/>
  <c r="AI24" i="2"/>
  <c r="E17" i="2"/>
  <c r="AE17" i="2"/>
  <c r="AD21" i="2"/>
  <c r="D17" i="2"/>
  <c r="J21" i="2"/>
  <c r="I21" i="2"/>
  <c r="H21" i="2"/>
  <c r="G21" i="2"/>
  <c r="G11" i="2"/>
  <c r="F21" i="2"/>
  <c r="C16" i="2"/>
  <c r="E21" i="2"/>
  <c r="D21" i="2"/>
  <c r="I27" i="2"/>
  <c r="H27" i="2"/>
  <c r="G27" i="2"/>
  <c r="F27" i="2"/>
  <c r="E27" i="2"/>
  <c r="D27" i="2"/>
  <c r="H17" i="2"/>
  <c r="AE27" i="2"/>
  <c r="J24" i="2"/>
  <c r="I17" i="2"/>
  <c r="AF27" i="2"/>
  <c r="G17" i="2"/>
  <c r="AD27" i="2"/>
  <c r="C24" i="2"/>
  <c r="C27" i="2"/>
  <c r="F17" i="2"/>
  <c r="AF16" i="2"/>
  <c r="AF29" i="2" s="1"/>
  <c r="AF33" i="2" s="1"/>
  <c r="AG34" i="2" s="1"/>
  <c r="AD17" i="2"/>
  <c r="H11" i="2"/>
  <c r="AF17" i="2"/>
  <c r="C17" i="2"/>
  <c r="AE16" i="2"/>
  <c r="AE29" i="2" s="1"/>
  <c r="AE33" i="2" s="1"/>
  <c r="J17" i="2"/>
  <c r="F11" i="2"/>
  <c r="J16" i="2"/>
  <c r="J29" i="2" s="1"/>
  <c r="J33" i="2" s="1"/>
  <c r="H16" i="2"/>
  <c r="H29" i="2" s="1"/>
  <c r="H33" i="2" s="1"/>
  <c r="G16" i="2"/>
  <c r="G29" i="2" s="1"/>
  <c r="G33" i="2" s="1"/>
  <c r="AD16" i="2"/>
  <c r="AD29" i="2" s="1"/>
  <c r="AD33" i="2" s="1"/>
  <c r="F16" i="2"/>
  <c r="F29" i="2" s="1"/>
  <c r="F33" i="2" s="1"/>
  <c r="E16" i="2"/>
  <c r="I16" i="2"/>
  <c r="I29" i="2" s="1"/>
  <c r="I33" i="2" s="1"/>
  <c r="AF12" i="2"/>
  <c r="AE12" i="2"/>
  <c r="J34" i="2" l="1"/>
  <c r="AH34" i="2"/>
  <c r="AI34" i="2"/>
  <c r="G34" i="2"/>
  <c r="H34" i="2"/>
  <c r="AJ34" i="2"/>
  <c r="AE34" i="2"/>
  <c r="AF34" i="2"/>
  <c r="I34" i="2"/>
  <c r="C29" i="2" l="1"/>
  <c r="C33" i="2"/>
  <c r="D29" i="2"/>
  <c r="D33" i="2" s="1"/>
  <c r="D34" i="2" s="1"/>
  <c r="E29" i="2"/>
  <c r="E33" i="2" s="1"/>
  <c r="E34" i="2" l="1"/>
  <c r="F34" i="2"/>
</calcChain>
</file>

<file path=xl/sharedStrings.xml><?xml version="1.0" encoding="utf-8"?>
<sst xmlns="http://schemas.openxmlformats.org/spreadsheetml/2006/main" count="170" uniqueCount="166">
  <si>
    <t>CrowdStrike</t>
  </si>
  <si>
    <t>fiscal year ended:</t>
  </si>
  <si>
    <t>jan 31 2024</t>
  </si>
  <si>
    <t>company name</t>
  </si>
  <si>
    <t>Crowdstrike Holdings Inc</t>
  </si>
  <si>
    <t>ticker</t>
  </si>
  <si>
    <t>$CRWD</t>
  </si>
  <si>
    <t xml:space="preserve">price </t>
  </si>
  <si>
    <t>SO</t>
  </si>
  <si>
    <t># in millions</t>
  </si>
  <si>
    <t>MC</t>
  </si>
  <si>
    <t>Cash</t>
  </si>
  <si>
    <t>Debt</t>
  </si>
  <si>
    <t>EV</t>
  </si>
  <si>
    <t>founded date</t>
  </si>
  <si>
    <t>reinvented cybersecurity for the cloud era</t>
  </si>
  <si>
    <t>Crowdstrike Falcon XDR platform</t>
  </si>
  <si>
    <t>platform's single, lightweight agent collects and integrates data from across the enterprise: endpoints, cloud workloads, identitied, 3rd party sources</t>
  </si>
  <si>
    <t>used to train AI to detect and prevent threats and drive workflow automatiuon to give secu teams machine speed advantage</t>
  </si>
  <si>
    <t>believe their approach as defined a new category called Security Cloud</t>
  </si>
  <si>
    <t>offer 27 cloud modules on their Falcon Platform via SaaS subscription-baseed model that spans multiple large markets</t>
  </si>
  <si>
    <t>corporate endpoint and cloud workload security</t>
  </si>
  <si>
    <t>managed security services</t>
  </si>
  <si>
    <t>security &amp; vulnerability management</t>
  </si>
  <si>
    <t>IT operations management</t>
  </si>
  <si>
    <t>ID protection</t>
  </si>
  <si>
    <t>threat intelligence services</t>
  </si>
  <si>
    <t>data protection</t>
  </si>
  <si>
    <t>Security orchestration</t>
  </si>
  <si>
    <t>Automation and Response "SOAR"</t>
  </si>
  <si>
    <t>AI powered workflow automation</t>
  </si>
  <si>
    <t>securing generative AI workloads</t>
  </si>
  <si>
    <t>highly advanced graph technologies underpinnig the Falcon platform</t>
  </si>
  <si>
    <t>threat graph</t>
  </si>
  <si>
    <t>intel graph</t>
  </si>
  <si>
    <t>asset graph</t>
  </si>
  <si>
    <t>existing security solutions are limited and exacerbate ongoing trends</t>
  </si>
  <si>
    <t>on premise security and bolt-on cloud products that lead to constrained and impacted users</t>
  </si>
  <si>
    <t>legacy signature based products that are not effective against unknown threats</t>
  </si>
  <si>
    <t>malware focused products that miss sophisticated attacks</t>
  </si>
  <si>
    <t>application whitelisting produycts that are ineffective</t>
  </si>
  <si>
    <t>key benefits of crowdstrike approach</t>
  </si>
  <si>
    <t>power of the crowd</t>
  </si>
  <si>
    <t>high efficcacy, low false positives</t>
  </si>
  <si>
    <t>consolidation of siloed products</t>
  </si>
  <si>
    <t>reducting agent bloat…SLOP</t>
  </si>
  <si>
    <t>rapid time to value</t>
  </si>
  <si>
    <t>elite security teams as a force multiplier</t>
  </si>
  <si>
    <t>alleviating the skills shortage through automation</t>
  </si>
  <si>
    <t>lower total cost of ownership</t>
  </si>
  <si>
    <t>Falcon Platform</t>
  </si>
  <si>
    <t>Cloud Security</t>
  </si>
  <si>
    <t>falcon cloud workload protection - cloud runtime protection</t>
  </si>
  <si>
    <t>falcon horizon - cloud security posture management</t>
  </si>
  <si>
    <t>bionic, a Crowdstrike company - application security posture management</t>
  </si>
  <si>
    <t>Endpoint Security and XDR</t>
  </si>
  <si>
    <t>falcon prevent - next gen antivirus</t>
  </si>
  <si>
    <t>flacon insight XDR - endpoint detection and response</t>
  </si>
  <si>
    <t>falcon insight XDR for IoT - endpoint detection and response for Extended Internet of Theings (XIoT) devioces</t>
  </si>
  <si>
    <t>falcon device control - device control</t>
  </si>
  <si>
    <t>falcon firewall management - host firewall management</t>
  </si>
  <si>
    <t>falcon data protection - data loss prevention</t>
  </si>
  <si>
    <t>Bionic</t>
  </si>
  <si>
    <t>$350M</t>
  </si>
  <si>
    <t>Exposure Management</t>
  </si>
  <si>
    <t>falcon exposure management - exposure management</t>
  </si>
  <si>
    <t>falcon discover - IT Hygeing and IoT</t>
  </si>
  <si>
    <t>falcon spotlight - vulnerability management</t>
  </si>
  <si>
    <t>falcon surface - external attack surface management</t>
  </si>
  <si>
    <t>falcon forensics - forensic data for analysis of cybersecurity indcidents</t>
  </si>
  <si>
    <t>falcon fileVantage - file integrity monitoring</t>
  </si>
  <si>
    <t>Managed Services</t>
  </si>
  <si>
    <t>falcon complete - turnkey security solution</t>
  </si>
  <si>
    <t>Counter Adversary Operatoins</t>
  </si>
  <si>
    <t>falcon overwatch - threat hunting</t>
  </si>
  <si>
    <t>falcon intelligent - threat intelligence</t>
  </si>
  <si>
    <t>falcon search engine - malware search</t>
  </si>
  <si>
    <t>falcon sandbox - malware analysis</t>
  </si>
  <si>
    <t>falcon intelligence recon - situational awareness</t>
  </si>
  <si>
    <t>Identiy protection</t>
  </si>
  <si>
    <t>falcon id threat protec - id threat retection and response</t>
  </si>
  <si>
    <t>falcon id threat detection - id threat detection and response</t>
  </si>
  <si>
    <t>Next-Generation SIEM and Log Management</t>
  </si>
  <si>
    <t>Falson LogScale Next-Gen SIEM =- secutirity info &amp; event management, log management</t>
  </si>
  <si>
    <t>IT Automation</t>
  </si>
  <si>
    <t>falcon for IT - IT automation</t>
  </si>
  <si>
    <t>Generative AI</t>
  </si>
  <si>
    <t>charlotte AI - generative AI</t>
  </si>
  <si>
    <t>application development</t>
  </si>
  <si>
    <t>falcon foundry - application development</t>
  </si>
  <si>
    <t>Acquisitions:</t>
  </si>
  <si>
    <t>Falcon platform key design technology</t>
  </si>
  <si>
    <t>cloud native architecture</t>
  </si>
  <si>
    <t>falcon agent</t>
  </si>
  <si>
    <t>high fidelity data and smart filtering</t>
  </si>
  <si>
    <t>management interface</t>
  </si>
  <si>
    <t>APIs and interggrtations</t>
  </si>
  <si>
    <t>datacenter operations</t>
  </si>
  <si>
    <t>professional services</t>
  </si>
  <si>
    <t>incident response, forensices and recovery services</t>
  </si>
  <si>
    <t>technical assessment and strategic advisory services</t>
  </si>
  <si>
    <t>training</t>
  </si>
  <si>
    <t>2024 - 29000 subscription customers worldwide</t>
  </si>
  <si>
    <t>employees</t>
  </si>
  <si>
    <t>CFO</t>
  </si>
  <si>
    <t>CSO</t>
  </si>
  <si>
    <t>President</t>
  </si>
  <si>
    <t>George Kurtz</t>
  </si>
  <si>
    <t>Burt Podbere</t>
  </si>
  <si>
    <t>Shawn Henry</t>
  </si>
  <si>
    <t>Michael Sentonas</t>
  </si>
  <si>
    <t>CEO, President, Director</t>
  </si>
  <si>
    <t xml:space="preserve">ipo </t>
  </si>
  <si>
    <t>closed june 2019</t>
  </si>
  <si>
    <t>issued 20,7000,000 shares</t>
  </si>
  <si>
    <t>pps $34 to public</t>
  </si>
  <si>
    <t xml:space="preserve"># in thousands </t>
  </si>
  <si>
    <t>subscription customers</t>
  </si>
  <si>
    <t>ARR</t>
  </si>
  <si>
    <t>ARR per customer</t>
  </si>
  <si>
    <t>subscription rev</t>
  </si>
  <si>
    <t>pro services rev</t>
  </si>
  <si>
    <t>total rev</t>
  </si>
  <si>
    <t>rev YOY growth</t>
  </si>
  <si>
    <t>subcription cost of rev</t>
  </si>
  <si>
    <t>pro services cost of rev</t>
  </si>
  <si>
    <t>total cost of rev</t>
  </si>
  <si>
    <t>gross profit</t>
  </si>
  <si>
    <t>s&amp;m</t>
  </si>
  <si>
    <t>r&amp;d</t>
  </si>
  <si>
    <t>g&amp;a</t>
  </si>
  <si>
    <t>total op expense</t>
  </si>
  <si>
    <t>gain (loss) from operations</t>
  </si>
  <si>
    <t>int expense</t>
  </si>
  <si>
    <t>other income (expense)</t>
  </si>
  <si>
    <t>provition for income taxes</t>
  </si>
  <si>
    <t>rev qoq growth</t>
  </si>
  <si>
    <t>gross margin %</t>
  </si>
  <si>
    <t>op expenses:</t>
  </si>
  <si>
    <t>net income / loss</t>
  </si>
  <si>
    <t>s&amp;m % of total exp</t>
  </si>
  <si>
    <t>r&amp;d % of total exp</t>
  </si>
  <si>
    <t>g&amp;a % of total exp</t>
  </si>
  <si>
    <t>cash beginning of period</t>
  </si>
  <si>
    <t>cash end of period</t>
  </si>
  <si>
    <t>ARR growth %</t>
  </si>
  <si>
    <t>s&amp;m growth %</t>
  </si>
  <si>
    <t>r&amp;d growth %</t>
  </si>
  <si>
    <t>g&amp;a growth %</t>
  </si>
  <si>
    <t>% change</t>
  </si>
  <si>
    <t>cash gain over period</t>
  </si>
  <si>
    <t>Secure Circle LLC</t>
  </si>
  <si>
    <t>$60.8M</t>
  </si>
  <si>
    <t>Humio Ltd</t>
  </si>
  <si>
    <t>$370M</t>
  </si>
  <si>
    <t>Preempt Security Inc</t>
  </si>
  <si>
    <t>$91M</t>
  </si>
  <si>
    <t>Discount Rate</t>
  </si>
  <si>
    <t>Terminal Rate</t>
  </si>
  <si>
    <t>NPV</t>
  </si>
  <si>
    <t>Share Price</t>
  </si>
  <si>
    <t>in thous</t>
  </si>
  <si>
    <t>Q2FY2024</t>
  </si>
  <si>
    <t>Q1FY2024</t>
  </si>
  <si>
    <t>Q1FY2018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</si>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</sst>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b/>
      <i/>
      <sz val="9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6" fontId="0" fillId="0" borderId="0" xfId="0" applyNumberFormat="1"/>
    <xf numFmtId="0" fontId="3" fillId="0" borderId="0" xfId="0" applyFont="1"/>
    <xf numFmtId="0" fontId="3" fillId="0" borderId="1" xfId="0" applyFont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9" fontId="0" fillId="0" borderId="0" xfId="1" applyFont="1"/>
    <xf numFmtId="37" fontId="0" fillId="0" borderId="0" xfId="0" applyNumberFormat="1"/>
    <xf numFmtId="37" fontId="3" fillId="0" borderId="0" xfId="0" applyNumberFormat="1" applyFont="1"/>
    <xf numFmtId="9" fontId="4" fillId="0" borderId="0" xfId="1" applyFont="1"/>
    <xf numFmtId="9" fontId="4" fillId="0" borderId="2" xfId="1" applyFont="1" applyBorder="1"/>
    <xf numFmtId="3" fontId="4" fillId="0" borderId="0" xfId="0" applyNumberFormat="1" applyFont="1"/>
    <xf numFmtId="37" fontId="5" fillId="0" borderId="0" xfId="0" applyNumberFormat="1" applyFont="1"/>
    <xf numFmtId="9" fontId="5" fillId="0" borderId="0" xfId="1" applyFont="1"/>
    <xf numFmtId="0" fontId="5" fillId="0" borderId="0" xfId="0" applyFont="1"/>
    <xf numFmtId="0" fontId="6" fillId="0" borderId="0" xfId="0" applyFont="1"/>
    <xf numFmtId="37" fontId="6" fillId="0" borderId="0" xfId="0" applyNumberFormat="1" applyFont="1"/>
    <xf numFmtId="9" fontId="6" fillId="0" borderId="0" xfId="1" applyFont="1"/>
    <xf numFmtId="8" fontId="0" fillId="0" borderId="0" xfId="0" applyNumberForma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09BF-369A-4E0C-8471-8C3DDBFEE8F9}">
  <dimension ref="B2:J108"/>
  <sheetViews>
    <sheetView topLeftCell="A2" zoomScale="140" zoomScaleNormal="140" workbookViewId="0">
      <selection activeCell="I5" sqref="I5"/>
    </sheetView>
  </sheetViews>
  <sheetFormatPr defaultRowHeight="15" x14ac:dyDescent="0.25"/>
  <cols>
    <col min="2" max="2" width="16.5703125" bestFit="1" customWidth="1"/>
    <col min="3" max="3" width="16.7109375" bestFit="1" customWidth="1"/>
    <col min="4" max="4" width="24.28515625" bestFit="1" customWidth="1"/>
    <col min="9" max="9" width="12.7109375" bestFit="1" customWidth="1"/>
  </cols>
  <sheetData>
    <row r="2" spans="2:10" ht="31.5" x14ac:dyDescent="0.5">
      <c r="B2" s="1" t="s">
        <v>0</v>
      </c>
      <c r="I2" t="s">
        <v>9</v>
      </c>
    </row>
    <row r="4" spans="2:10" x14ac:dyDescent="0.25">
      <c r="B4" t="s">
        <v>1</v>
      </c>
      <c r="C4" t="s">
        <v>2</v>
      </c>
      <c r="H4" t="s">
        <v>7</v>
      </c>
      <c r="I4" s="2">
        <v>271</v>
      </c>
    </row>
    <row r="5" spans="2:10" x14ac:dyDescent="0.25">
      <c r="B5" t="s">
        <v>3</v>
      </c>
      <c r="C5" t="s">
        <v>4</v>
      </c>
      <c r="H5" t="s">
        <v>8</v>
      </c>
      <c r="I5">
        <f>231000+12000</f>
        <v>243000</v>
      </c>
    </row>
    <row r="6" spans="2:10" x14ac:dyDescent="0.25">
      <c r="B6" t="s">
        <v>5</v>
      </c>
      <c r="C6" t="s">
        <v>6</v>
      </c>
      <c r="H6" t="s">
        <v>10</v>
      </c>
      <c r="I6" s="2">
        <f>I4*I5</f>
        <v>65853000</v>
      </c>
    </row>
    <row r="7" spans="2:10" x14ac:dyDescent="0.25">
      <c r="B7" t="s">
        <v>14</v>
      </c>
      <c r="C7" s="2">
        <v>2011</v>
      </c>
      <c r="H7" t="s">
        <v>11</v>
      </c>
      <c r="I7">
        <f>3375000+100000</f>
        <v>3475000</v>
      </c>
      <c r="J7" t="s">
        <v>161</v>
      </c>
    </row>
    <row r="8" spans="2:10" x14ac:dyDescent="0.25">
      <c r="B8" t="s">
        <v>111</v>
      </c>
      <c r="C8" t="s">
        <v>107</v>
      </c>
      <c r="D8">
        <v>53</v>
      </c>
      <c r="H8" t="s">
        <v>12</v>
      </c>
      <c r="I8">
        <v>2697000</v>
      </c>
      <c r="J8" t="s">
        <v>161</v>
      </c>
    </row>
    <row r="9" spans="2:10" x14ac:dyDescent="0.25">
      <c r="B9" t="s">
        <v>104</v>
      </c>
      <c r="C9" t="s">
        <v>108</v>
      </c>
      <c r="D9">
        <v>58</v>
      </c>
      <c r="H9" t="s">
        <v>13</v>
      </c>
      <c r="I9" s="2">
        <f>I6-I7+I8</f>
        <v>65075000</v>
      </c>
    </row>
    <row r="10" spans="2:10" x14ac:dyDescent="0.25">
      <c r="B10" t="s">
        <v>105</v>
      </c>
      <c r="C10" t="s">
        <v>109</v>
      </c>
      <c r="D10">
        <v>61</v>
      </c>
    </row>
    <row r="11" spans="2:10" x14ac:dyDescent="0.25">
      <c r="B11" t="s">
        <v>106</v>
      </c>
      <c r="C11" t="s">
        <v>110</v>
      </c>
      <c r="D11">
        <v>50</v>
      </c>
    </row>
    <row r="12" spans="2:10" x14ac:dyDescent="0.25">
      <c r="B12" t="s">
        <v>103</v>
      </c>
      <c r="C12">
        <v>7925</v>
      </c>
    </row>
    <row r="13" spans="2:10" x14ac:dyDescent="0.25">
      <c r="B13" t="s">
        <v>112</v>
      </c>
      <c r="C13" t="s">
        <v>113</v>
      </c>
      <c r="D13" t="s">
        <v>114</v>
      </c>
      <c r="E13" t="s">
        <v>115</v>
      </c>
    </row>
    <row r="16" spans="2:10" x14ac:dyDescent="0.25">
      <c r="B16" t="s">
        <v>15</v>
      </c>
    </row>
    <row r="17" spans="2:3" x14ac:dyDescent="0.25">
      <c r="B17" t="s">
        <v>16</v>
      </c>
    </row>
    <row r="18" spans="2:3" x14ac:dyDescent="0.25">
      <c r="C18" t="s">
        <v>17</v>
      </c>
    </row>
    <row r="19" spans="2:3" x14ac:dyDescent="0.25">
      <c r="C19" t="s">
        <v>18</v>
      </c>
    </row>
    <row r="20" spans="2:3" x14ac:dyDescent="0.25">
      <c r="B20" t="s">
        <v>19</v>
      </c>
    </row>
    <row r="21" spans="2:3" x14ac:dyDescent="0.25">
      <c r="B21" t="s">
        <v>20</v>
      </c>
    </row>
    <row r="22" spans="2:3" x14ac:dyDescent="0.25">
      <c r="C22" t="s">
        <v>21</v>
      </c>
    </row>
    <row r="23" spans="2:3" x14ac:dyDescent="0.25">
      <c r="C23" t="s">
        <v>22</v>
      </c>
    </row>
    <row r="24" spans="2:3" x14ac:dyDescent="0.25">
      <c r="C24" t="s">
        <v>23</v>
      </c>
    </row>
    <row r="25" spans="2:3" x14ac:dyDescent="0.25">
      <c r="C25" t="s">
        <v>24</v>
      </c>
    </row>
    <row r="26" spans="2:3" x14ac:dyDescent="0.25">
      <c r="C26" t="s">
        <v>25</v>
      </c>
    </row>
    <row r="27" spans="2:3" x14ac:dyDescent="0.25">
      <c r="C27" t="s">
        <v>26</v>
      </c>
    </row>
    <row r="28" spans="2:3" x14ac:dyDescent="0.25">
      <c r="C28" t="s">
        <v>27</v>
      </c>
    </row>
    <row r="29" spans="2:3" x14ac:dyDescent="0.25">
      <c r="C29" t="s">
        <v>28</v>
      </c>
    </row>
    <row r="30" spans="2:3" x14ac:dyDescent="0.25">
      <c r="C30" t="s">
        <v>29</v>
      </c>
    </row>
    <row r="31" spans="2:3" x14ac:dyDescent="0.25">
      <c r="C31" t="s">
        <v>30</v>
      </c>
    </row>
    <row r="32" spans="2:3" x14ac:dyDescent="0.25">
      <c r="C32" t="s">
        <v>31</v>
      </c>
    </row>
    <row r="33" spans="2:3" x14ac:dyDescent="0.25">
      <c r="B33" t="s">
        <v>32</v>
      </c>
    </row>
    <row r="34" spans="2:3" x14ac:dyDescent="0.25">
      <c r="C34" t="s">
        <v>33</v>
      </c>
    </row>
    <row r="35" spans="2:3" x14ac:dyDescent="0.25">
      <c r="C35" t="s">
        <v>34</v>
      </c>
    </row>
    <row r="36" spans="2:3" x14ac:dyDescent="0.25">
      <c r="C36" t="s">
        <v>35</v>
      </c>
    </row>
    <row r="37" spans="2:3" x14ac:dyDescent="0.25">
      <c r="B37" t="s">
        <v>36</v>
      </c>
    </row>
    <row r="38" spans="2:3" x14ac:dyDescent="0.25">
      <c r="C38" t="s">
        <v>37</v>
      </c>
    </row>
    <row r="39" spans="2:3" x14ac:dyDescent="0.25">
      <c r="C39" t="s">
        <v>38</v>
      </c>
    </row>
    <row r="40" spans="2:3" x14ac:dyDescent="0.25">
      <c r="C40" t="s">
        <v>39</v>
      </c>
    </row>
    <row r="41" spans="2:3" x14ac:dyDescent="0.25">
      <c r="C41" t="s">
        <v>40</v>
      </c>
    </row>
    <row r="42" spans="2:3" x14ac:dyDescent="0.25">
      <c r="B42" t="s">
        <v>41</v>
      </c>
    </row>
    <row r="43" spans="2:3" x14ac:dyDescent="0.25">
      <c r="C43" t="s">
        <v>42</v>
      </c>
    </row>
    <row r="44" spans="2:3" x14ac:dyDescent="0.25">
      <c r="C44" t="s">
        <v>43</v>
      </c>
    </row>
    <row r="45" spans="2:3" x14ac:dyDescent="0.25">
      <c r="C45" t="s">
        <v>44</v>
      </c>
    </row>
    <row r="46" spans="2:3" x14ac:dyDescent="0.25">
      <c r="C46" t="s">
        <v>45</v>
      </c>
    </row>
    <row r="47" spans="2:3" x14ac:dyDescent="0.25">
      <c r="C47" t="s">
        <v>46</v>
      </c>
    </row>
    <row r="48" spans="2:3" x14ac:dyDescent="0.25">
      <c r="C48" t="s">
        <v>47</v>
      </c>
    </row>
    <row r="49" spans="2:4" x14ac:dyDescent="0.25">
      <c r="C49" t="s">
        <v>48</v>
      </c>
    </row>
    <row r="50" spans="2:4" x14ac:dyDescent="0.25">
      <c r="C50" t="s">
        <v>49</v>
      </c>
    </row>
    <row r="51" spans="2:4" x14ac:dyDescent="0.25">
      <c r="B51" t="s">
        <v>50</v>
      </c>
    </row>
    <row r="52" spans="2:4" x14ac:dyDescent="0.25">
      <c r="C52" t="s">
        <v>51</v>
      </c>
    </row>
    <row r="53" spans="2:4" x14ac:dyDescent="0.25">
      <c r="D53" t="s">
        <v>52</v>
      </c>
    </row>
    <row r="54" spans="2:4" x14ac:dyDescent="0.25">
      <c r="D54" t="s">
        <v>53</v>
      </c>
    </row>
    <row r="55" spans="2:4" x14ac:dyDescent="0.25">
      <c r="D55" t="s">
        <v>54</v>
      </c>
    </row>
    <row r="56" spans="2:4" x14ac:dyDescent="0.25">
      <c r="C56" t="s">
        <v>55</v>
      </c>
    </row>
    <row r="57" spans="2:4" x14ac:dyDescent="0.25">
      <c r="D57" t="s">
        <v>56</v>
      </c>
    </row>
    <row r="58" spans="2:4" x14ac:dyDescent="0.25">
      <c r="D58" t="s">
        <v>57</v>
      </c>
    </row>
    <row r="59" spans="2:4" x14ac:dyDescent="0.25">
      <c r="D59" t="s">
        <v>58</v>
      </c>
    </row>
    <row r="60" spans="2:4" x14ac:dyDescent="0.25">
      <c r="D60" t="s">
        <v>59</v>
      </c>
    </row>
    <row r="61" spans="2:4" x14ac:dyDescent="0.25">
      <c r="D61" t="s">
        <v>60</v>
      </c>
    </row>
    <row r="62" spans="2:4" x14ac:dyDescent="0.25">
      <c r="D62" t="s">
        <v>61</v>
      </c>
    </row>
    <row r="63" spans="2:4" x14ac:dyDescent="0.25">
      <c r="C63" t="s">
        <v>64</v>
      </c>
    </row>
    <row r="64" spans="2:4" x14ac:dyDescent="0.25">
      <c r="D64" t="s">
        <v>65</v>
      </c>
    </row>
    <row r="65" spans="3:4" x14ac:dyDescent="0.25">
      <c r="D65" t="s">
        <v>66</v>
      </c>
    </row>
    <row r="66" spans="3:4" x14ac:dyDescent="0.25">
      <c r="D66" t="s">
        <v>67</v>
      </c>
    </row>
    <row r="67" spans="3:4" x14ac:dyDescent="0.25">
      <c r="D67" t="s">
        <v>68</v>
      </c>
    </row>
    <row r="68" spans="3:4" x14ac:dyDescent="0.25">
      <c r="D68" t="s">
        <v>69</v>
      </c>
    </row>
    <row r="69" spans="3:4" x14ac:dyDescent="0.25">
      <c r="D69" t="s">
        <v>70</v>
      </c>
    </row>
    <row r="70" spans="3:4" x14ac:dyDescent="0.25">
      <c r="C70" t="s">
        <v>71</v>
      </c>
    </row>
    <row r="71" spans="3:4" x14ac:dyDescent="0.25">
      <c r="D71" t="s">
        <v>72</v>
      </c>
    </row>
    <row r="72" spans="3:4" x14ac:dyDescent="0.25">
      <c r="C72" t="s">
        <v>73</v>
      </c>
    </row>
    <row r="73" spans="3:4" x14ac:dyDescent="0.25">
      <c r="D73" t="s">
        <v>74</v>
      </c>
    </row>
    <row r="74" spans="3:4" x14ac:dyDescent="0.25">
      <c r="D74" t="s">
        <v>75</v>
      </c>
    </row>
    <row r="75" spans="3:4" x14ac:dyDescent="0.25">
      <c r="D75" t="s">
        <v>76</v>
      </c>
    </row>
    <row r="76" spans="3:4" x14ac:dyDescent="0.25">
      <c r="D76" t="s">
        <v>77</v>
      </c>
    </row>
    <row r="77" spans="3:4" x14ac:dyDescent="0.25">
      <c r="D77" t="s">
        <v>78</v>
      </c>
    </row>
    <row r="78" spans="3:4" x14ac:dyDescent="0.25">
      <c r="C78" t="s">
        <v>79</v>
      </c>
    </row>
    <row r="79" spans="3:4" x14ac:dyDescent="0.25">
      <c r="D79" t="s">
        <v>80</v>
      </c>
    </row>
    <row r="80" spans="3:4" x14ac:dyDescent="0.25">
      <c r="D80" t="s">
        <v>81</v>
      </c>
    </row>
    <row r="81" spans="2:5" x14ac:dyDescent="0.25">
      <c r="C81" t="s">
        <v>82</v>
      </c>
    </row>
    <row r="82" spans="2:5" x14ac:dyDescent="0.25">
      <c r="D82" t="s">
        <v>83</v>
      </c>
    </row>
    <row r="83" spans="2:5" x14ac:dyDescent="0.25">
      <c r="C83" t="s">
        <v>84</v>
      </c>
    </row>
    <row r="84" spans="2:5" x14ac:dyDescent="0.25">
      <c r="D84" t="s">
        <v>85</v>
      </c>
    </row>
    <row r="85" spans="2:5" x14ac:dyDescent="0.25">
      <c r="C85" t="s">
        <v>86</v>
      </c>
    </row>
    <row r="86" spans="2:5" x14ac:dyDescent="0.25">
      <c r="D86" t="s">
        <v>87</v>
      </c>
    </row>
    <row r="87" spans="2:5" x14ac:dyDescent="0.25">
      <c r="C87" t="s">
        <v>88</v>
      </c>
    </row>
    <row r="88" spans="2:5" x14ac:dyDescent="0.25">
      <c r="D88" t="s">
        <v>89</v>
      </c>
    </row>
    <row r="89" spans="2:5" x14ac:dyDescent="0.25">
      <c r="B89" t="s">
        <v>90</v>
      </c>
    </row>
    <row r="90" spans="2:5" x14ac:dyDescent="0.25">
      <c r="C90" t="s">
        <v>62</v>
      </c>
      <c r="D90">
        <v>2023</v>
      </c>
      <c r="E90" t="s">
        <v>63</v>
      </c>
    </row>
    <row r="91" spans="2:5" x14ac:dyDescent="0.25">
      <c r="C91" t="s">
        <v>151</v>
      </c>
      <c r="D91">
        <v>2021</v>
      </c>
      <c r="E91" t="s">
        <v>152</v>
      </c>
    </row>
    <row r="92" spans="2:5" x14ac:dyDescent="0.25">
      <c r="C92" t="s">
        <v>153</v>
      </c>
      <c r="D92">
        <v>2021</v>
      </c>
      <c r="E92" t="s">
        <v>154</v>
      </c>
    </row>
    <row r="93" spans="2:5" x14ac:dyDescent="0.25">
      <c r="C93" t="s">
        <v>155</v>
      </c>
      <c r="D93">
        <v>2020</v>
      </c>
      <c r="E93" t="s">
        <v>156</v>
      </c>
    </row>
    <row r="95" spans="2:5" x14ac:dyDescent="0.25">
      <c r="B95" t="s">
        <v>91</v>
      </c>
    </row>
    <row r="96" spans="2:5" x14ac:dyDescent="0.25">
      <c r="C96" t="s">
        <v>92</v>
      </c>
    </row>
    <row r="97" spans="3:4" x14ac:dyDescent="0.25">
      <c r="C97" t="s">
        <v>93</v>
      </c>
    </row>
    <row r="98" spans="3:4" x14ac:dyDescent="0.25">
      <c r="C98" t="s">
        <v>33</v>
      </c>
    </row>
    <row r="99" spans="3:4" x14ac:dyDescent="0.25">
      <c r="C99" t="s">
        <v>34</v>
      </c>
    </row>
    <row r="100" spans="3:4" x14ac:dyDescent="0.25">
      <c r="C100" t="s">
        <v>35</v>
      </c>
    </row>
    <row r="101" spans="3:4" x14ac:dyDescent="0.25">
      <c r="C101" t="s">
        <v>94</v>
      </c>
    </row>
    <row r="102" spans="3:4" x14ac:dyDescent="0.25">
      <c r="C102" t="s">
        <v>95</v>
      </c>
    </row>
    <row r="103" spans="3:4" x14ac:dyDescent="0.25">
      <c r="C103" t="s">
        <v>96</v>
      </c>
    </row>
    <row r="104" spans="3:4" x14ac:dyDescent="0.25">
      <c r="C104" t="s">
        <v>97</v>
      </c>
    </row>
    <row r="105" spans="3:4" x14ac:dyDescent="0.25">
      <c r="C105" t="s">
        <v>98</v>
      </c>
    </row>
    <row r="106" spans="3:4" x14ac:dyDescent="0.25">
      <c r="D106" t="s">
        <v>99</v>
      </c>
    </row>
    <row r="107" spans="3:4" x14ac:dyDescent="0.25">
      <c r="D107" t="s">
        <v>100</v>
      </c>
    </row>
    <row r="108" spans="3:4" x14ac:dyDescent="0.25">
      <c r="D108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9F09-EF40-4F44-A301-174C002FC9BF}">
  <dimension ref="B1:ES41"/>
  <sheetViews>
    <sheetView tabSelected="1" zoomScale="160" zoomScaleNormal="160" workbookViewId="0">
      <pane xSplit="2" ySplit="2" topLeftCell="V6" activePane="bottomRight" state="frozen"/>
      <selection pane="topRight" activeCell="C1" sqref="C1"/>
      <selection pane="bottomLeft" activeCell="A3" sqref="A3"/>
      <selection pane="bottomRight" activeCell="Z22" sqref="Z22"/>
    </sheetView>
  </sheetViews>
  <sheetFormatPr defaultRowHeight="15" x14ac:dyDescent="0.25"/>
  <cols>
    <col min="2" max="2" width="25.5703125" bestFit="1" customWidth="1"/>
    <col min="3" max="10" width="10" bestFit="1" customWidth="1"/>
    <col min="11" max="23" width="10.28515625" customWidth="1"/>
    <col min="24" max="24" width="10.7109375" bestFit="1" customWidth="1"/>
    <col min="25" max="26" width="10.28515625" customWidth="1"/>
    <col min="27" max="28" width="10" bestFit="1" customWidth="1"/>
    <col min="29" max="29" width="10" customWidth="1"/>
    <col min="30" max="32" width="9.5703125" bestFit="1" customWidth="1"/>
    <col min="33" max="33" width="10.42578125" bestFit="1" customWidth="1"/>
    <col min="34" max="36" width="11.28515625" bestFit="1" customWidth="1"/>
    <col min="37" max="37" width="13" bestFit="1" customWidth="1"/>
    <col min="38" max="38" width="14.140625" bestFit="1" customWidth="1"/>
    <col min="39" max="39" width="15.5703125" bestFit="1" customWidth="1"/>
    <col min="40" max="40" width="13" bestFit="1" customWidth="1"/>
    <col min="41" max="53" width="14.140625" bestFit="1" customWidth="1"/>
    <col min="54" max="54" width="11.85546875" bestFit="1" customWidth="1"/>
    <col min="55" max="67" width="14.140625" bestFit="1" customWidth="1"/>
    <col min="68" max="68" width="13" bestFit="1" customWidth="1"/>
    <col min="69" max="69" width="14.140625" bestFit="1" customWidth="1"/>
    <col min="70" max="70" width="13" bestFit="1" customWidth="1"/>
    <col min="71" max="84" width="14.140625" bestFit="1" customWidth="1"/>
    <col min="85" max="85" width="10.7109375" bestFit="1" customWidth="1"/>
    <col min="86" max="93" width="14.140625" bestFit="1" customWidth="1"/>
    <col min="94" max="94" width="13" bestFit="1" customWidth="1"/>
    <col min="95" max="96" width="14.140625" bestFit="1" customWidth="1"/>
    <col min="97" max="97" width="13" bestFit="1" customWidth="1"/>
    <col min="98" max="108" width="14.140625" bestFit="1" customWidth="1"/>
  </cols>
  <sheetData>
    <row r="1" spans="2:36" x14ac:dyDescent="0.25">
      <c r="B1" t="s">
        <v>102</v>
      </c>
      <c r="AI1" t="s">
        <v>116</v>
      </c>
    </row>
    <row r="2" spans="2:36" x14ac:dyDescent="0.25">
      <c r="C2" t="s">
        <v>164</v>
      </c>
      <c r="D2" t="str">
        <f>"Q" &amp; IF(MID(C2,2,1)+1&gt;4,1,MID(C2,2,1)+1) &amp; "FY" &amp; IF(MID(C2,2,1)+1&gt;4,RIGHT(C2,4)+1,RIGHT(C2,4))</f>
        <v>Q2FY2018</v>
      </c>
      <c r="E2" t="str">
        <f t="shared" ref="E2:Z2" si="0">"Q" &amp; IF(MID(D2,2,1)+1&gt;4,1,MID(D2,2,1)+1) &amp; "FY" &amp; IF(MID(D2,2,1)+1&gt;4,RIGHT(D2,4)+1,RIGHT(D2,4))</f>
        <v>Q3FY2018</v>
      </c>
      <c r="F2" t="str">
        <f t="shared" si="0"/>
        <v>Q4FY2018</v>
      </c>
      <c r="G2" t="str">
        <f t="shared" si="0"/>
        <v>Q1FY2019</v>
      </c>
      <c r="H2" t="str">
        <f t="shared" si="0"/>
        <v>Q2FY2019</v>
      </c>
      <c r="I2" t="str">
        <f t="shared" si="0"/>
        <v>Q3FY2019</v>
      </c>
      <c r="J2" t="str">
        <f t="shared" si="0"/>
        <v>Q4FY2019</v>
      </c>
      <c r="K2" t="str">
        <f t="shared" si="0"/>
        <v>Q1FY2020</v>
      </c>
      <c r="L2" t="str">
        <f t="shared" si="0"/>
        <v>Q2FY2020</v>
      </c>
      <c r="M2" t="str">
        <f t="shared" si="0"/>
        <v>Q3FY2020</v>
      </c>
      <c r="N2" t="str">
        <f t="shared" si="0"/>
        <v>Q4FY2020</v>
      </c>
      <c r="O2" t="str">
        <f t="shared" si="0"/>
        <v>Q1FY2021</v>
      </c>
      <c r="P2" t="str">
        <f t="shared" si="0"/>
        <v>Q2FY2021</v>
      </c>
      <c r="Q2" t="str">
        <f t="shared" si="0"/>
        <v>Q3FY2021</v>
      </c>
      <c r="R2" t="str">
        <f t="shared" si="0"/>
        <v>Q4FY2021</v>
      </c>
      <c r="S2" t="str">
        <f t="shared" si="0"/>
        <v>Q1FY2022</v>
      </c>
      <c r="T2" t="str">
        <f t="shared" si="0"/>
        <v>Q2FY2022</v>
      </c>
      <c r="U2" t="str">
        <f t="shared" si="0"/>
        <v>Q3FY2022</v>
      </c>
      <c r="V2" t="str">
        <f t="shared" si="0"/>
        <v>Q4FY2022</v>
      </c>
      <c r="W2" t="str">
        <f t="shared" si="0"/>
        <v>Q1FY2023</v>
      </c>
      <c r="X2" t="str">
        <f t="shared" si="0"/>
        <v>Q2FY2023</v>
      </c>
      <c r="Y2" t="str">
        <f t="shared" si="0"/>
        <v>Q3FY2023</v>
      </c>
      <c r="Z2" t="str">
        <f t="shared" si="0"/>
        <v>Q4FY2023</v>
      </c>
      <c r="AA2" t="s">
        <v>163</v>
      </c>
      <c r="AB2" t="s">
        <v>162</v>
      </c>
      <c r="AD2" s="4">
        <v>2018</v>
      </c>
      <c r="AE2" s="4">
        <f>AD2+1</f>
        <v>2019</v>
      </c>
      <c r="AF2" s="4">
        <f t="shared" ref="AF2:AJ2" si="1">AE2+1</f>
        <v>2020</v>
      </c>
      <c r="AG2" s="4">
        <f t="shared" si="1"/>
        <v>2021</v>
      </c>
      <c r="AH2" s="4">
        <f t="shared" si="1"/>
        <v>2022</v>
      </c>
      <c r="AI2" s="4">
        <f t="shared" si="1"/>
        <v>2023</v>
      </c>
      <c r="AJ2" s="4">
        <f t="shared" si="1"/>
        <v>2024</v>
      </c>
    </row>
    <row r="3" spans="2:36" x14ac:dyDescent="0.25">
      <c r="B3" t="s">
        <v>117</v>
      </c>
      <c r="AA3" s="5"/>
      <c r="AD3" s="5">
        <v>1242</v>
      </c>
      <c r="AE3" s="5">
        <v>2516</v>
      </c>
      <c r="AF3" s="5">
        <v>5431</v>
      </c>
      <c r="AG3" s="5">
        <v>9896</v>
      </c>
      <c r="AH3" s="5">
        <v>16325</v>
      </c>
      <c r="AI3" s="5">
        <v>23019</v>
      </c>
      <c r="AJ3" s="5">
        <v>29000</v>
      </c>
    </row>
    <row r="4" spans="2:36" x14ac:dyDescent="0.25">
      <c r="B4" t="s">
        <v>118</v>
      </c>
      <c r="W4">
        <v>174200</v>
      </c>
      <c r="X4">
        <v>196200</v>
      </c>
      <c r="AA4" s="5">
        <v>211700</v>
      </c>
      <c r="AB4">
        <v>217600</v>
      </c>
      <c r="AC4" s="5"/>
      <c r="AD4" s="5">
        <v>141312</v>
      </c>
      <c r="AE4" s="5">
        <v>312656</v>
      </c>
      <c r="AF4" s="5">
        <v>600456</v>
      </c>
      <c r="AG4" s="5">
        <v>1050051</v>
      </c>
      <c r="AH4" s="5">
        <v>1731324</v>
      </c>
      <c r="AI4" s="5">
        <v>2559694</v>
      </c>
      <c r="AJ4" s="5">
        <v>3435150</v>
      </c>
    </row>
    <row r="5" spans="2:36" s="7" customFormat="1" x14ac:dyDescent="0.25">
      <c r="B5" s="7" t="s">
        <v>145</v>
      </c>
      <c r="AD5" s="13"/>
      <c r="AE5" s="11">
        <f>AE4/AD4-1</f>
        <v>1.2125226449275361</v>
      </c>
      <c r="AF5" s="11">
        <f t="shared" ref="AF5:AJ5" si="2">AF4/AE4-1</f>
        <v>0.92050048615731028</v>
      </c>
      <c r="AG5" s="11">
        <f t="shared" si="2"/>
        <v>0.74875594548143409</v>
      </c>
      <c r="AH5" s="11">
        <f t="shared" si="2"/>
        <v>0.6487999154326789</v>
      </c>
      <c r="AI5" s="11">
        <f t="shared" si="2"/>
        <v>0.47846041526600458</v>
      </c>
      <c r="AJ5" s="11">
        <f t="shared" si="2"/>
        <v>0.34201588158584584</v>
      </c>
    </row>
    <row r="6" spans="2:36" x14ac:dyDescent="0.25">
      <c r="B6" t="s">
        <v>119</v>
      </c>
      <c r="AD6">
        <f>AD4/AD3</f>
        <v>113.77777777777777</v>
      </c>
      <c r="AE6">
        <f>AE4/AE3</f>
        <v>124.26709062003179</v>
      </c>
      <c r="AF6">
        <f>AF4/AF3</f>
        <v>110.56085435463082</v>
      </c>
      <c r="AG6">
        <f t="shared" ref="AG6:AJ6" si="3">AG4/AG3</f>
        <v>106.1086297493937</v>
      </c>
      <c r="AH6">
        <f t="shared" si="3"/>
        <v>106.05353751914242</v>
      </c>
      <c r="AI6">
        <f t="shared" si="3"/>
        <v>111.19918328337461</v>
      </c>
      <c r="AJ6">
        <f t="shared" si="3"/>
        <v>118.45344827586207</v>
      </c>
    </row>
    <row r="7" spans="2:36" x14ac:dyDescent="0.25">
      <c r="C7">
        <f>AVERAGE(12,9,29)</f>
        <v>16.666666666666668</v>
      </c>
      <c r="D7">
        <f>AVERAGE(8,12,418)</f>
        <v>146</v>
      </c>
    </row>
    <row r="8" spans="2:36" x14ac:dyDescent="0.25">
      <c r="B8" t="s">
        <v>120</v>
      </c>
      <c r="C8" s="5">
        <v>39758</v>
      </c>
      <c r="D8" s="5">
        <v>49161</v>
      </c>
      <c r="E8" s="5">
        <v>57651</v>
      </c>
      <c r="F8" s="5">
        <v>72831</v>
      </c>
      <c r="G8" s="5">
        <v>86990</v>
      </c>
      <c r="H8" s="5">
        <v>97575</v>
      </c>
      <c r="I8" s="5">
        <v>114221</v>
      </c>
      <c r="J8" s="5">
        <v>138537</v>
      </c>
      <c r="K8" s="5"/>
      <c r="L8" s="5"/>
      <c r="M8" s="5"/>
      <c r="N8" s="5"/>
      <c r="O8" s="5"/>
      <c r="P8" s="5"/>
      <c r="Q8" s="5"/>
      <c r="R8" s="5"/>
      <c r="S8" s="5"/>
      <c r="T8" s="5"/>
      <c r="U8" s="5">
        <v>547376</v>
      </c>
      <c r="V8" s="5"/>
      <c r="W8" s="5">
        <f>1341147-X8</f>
        <v>651175</v>
      </c>
      <c r="X8" s="5">
        <v>689972</v>
      </c>
      <c r="Y8" s="5">
        <v>733463</v>
      </c>
      <c r="Z8" s="5"/>
      <c r="AA8" s="5">
        <f>1790429-AB8</f>
        <v>872172</v>
      </c>
      <c r="AB8" s="5">
        <v>918257</v>
      </c>
      <c r="AC8" s="5"/>
      <c r="AD8" s="5">
        <v>92568</v>
      </c>
      <c r="AE8" s="5">
        <v>219401</v>
      </c>
      <c r="AF8" s="5">
        <v>436323</v>
      </c>
      <c r="AG8" s="5">
        <v>804670</v>
      </c>
      <c r="AH8" s="5">
        <v>1359537</v>
      </c>
      <c r="AI8" s="5">
        <v>2111660</v>
      </c>
      <c r="AJ8" s="5">
        <v>2870557</v>
      </c>
    </row>
    <row r="9" spans="2:36" x14ac:dyDescent="0.25">
      <c r="B9" t="s">
        <v>121</v>
      </c>
      <c r="C9" s="5">
        <v>7531</v>
      </c>
      <c r="D9" s="5">
        <v>6540</v>
      </c>
      <c r="E9" s="5">
        <v>8728</v>
      </c>
      <c r="F9" s="5">
        <v>7624</v>
      </c>
      <c r="G9" s="5">
        <v>10087</v>
      </c>
      <c r="H9" s="5">
        <v>10533</v>
      </c>
      <c r="I9" s="5">
        <v>10898</v>
      </c>
      <c r="J9" s="5">
        <v>13572</v>
      </c>
      <c r="K9" s="5"/>
      <c r="L9" s="5"/>
      <c r="M9" s="5"/>
      <c r="N9" s="5"/>
      <c r="O9" s="5"/>
      <c r="P9" s="5"/>
      <c r="Q9" s="5"/>
      <c r="R9" s="5"/>
      <c r="S9" s="5"/>
      <c r="T9" s="5"/>
      <c r="U9" s="5">
        <v>33506</v>
      </c>
      <c r="V9" s="5"/>
      <c r="W9" s="5">
        <f>83059-X9</f>
        <v>41405</v>
      </c>
      <c r="X9" s="5">
        <v>41654</v>
      </c>
      <c r="Y9" s="5">
        <v>52551</v>
      </c>
      <c r="Z9" s="5"/>
      <c r="AA9" s="5">
        <f>94479-AB9</f>
        <v>48864</v>
      </c>
      <c r="AB9" s="5">
        <v>45615</v>
      </c>
      <c r="AC9" s="5"/>
      <c r="AD9" s="5">
        <v>26184</v>
      </c>
      <c r="AE9" s="5">
        <v>30423</v>
      </c>
      <c r="AF9" s="5">
        <v>45090</v>
      </c>
      <c r="AG9" s="5">
        <v>69768</v>
      </c>
      <c r="AH9" s="5">
        <v>92057</v>
      </c>
      <c r="AI9" s="5">
        <v>129576</v>
      </c>
      <c r="AJ9" s="5">
        <v>184998</v>
      </c>
    </row>
    <row r="10" spans="2:36" x14ac:dyDescent="0.25">
      <c r="B10" s="3" t="s">
        <v>122</v>
      </c>
      <c r="C10" s="6">
        <f>SUM(C8:C9)</f>
        <v>47289</v>
      </c>
      <c r="D10" s="6">
        <f t="shared" ref="D10:J10" si="4">SUM(D8:D9)</f>
        <v>55701</v>
      </c>
      <c r="E10" s="6">
        <f t="shared" si="4"/>
        <v>66379</v>
      </c>
      <c r="F10" s="6">
        <f t="shared" si="4"/>
        <v>80455</v>
      </c>
      <c r="G10" s="6">
        <f t="shared" si="4"/>
        <v>97077</v>
      </c>
      <c r="H10" s="6">
        <f t="shared" si="4"/>
        <v>108108</v>
      </c>
      <c r="I10" s="6">
        <f t="shared" si="4"/>
        <v>125119</v>
      </c>
      <c r="J10" s="6">
        <f t="shared" si="4"/>
        <v>152109</v>
      </c>
      <c r="K10" s="6">
        <f>SUM(K9,K8)</f>
        <v>0</v>
      </c>
      <c r="L10" s="6">
        <f t="shared" ref="L10:X10" si="5">SUM(L9,L8)</f>
        <v>0</v>
      </c>
      <c r="M10" s="6">
        <f t="shared" si="5"/>
        <v>0</v>
      </c>
      <c r="N10" s="6">
        <f t="shared" si="5"/>
        <v>0</v>
      </c>
      <c r="O10" s="6">
        <f t="shared" si="5"/>
        <v>0</v>
      </c>
      <c r="P10" s="6">
        <f t="shared" si="5"/>
        <v>0</v>
      </c>
      <c r="Q10" s="6">
        <f t="shared" si="5"/>
        <v>0</v>
      </c>
      <c r="R10" s="6">
        <f t="shared" si="5"/>
        <v>0</v>
      </c>
      <c r="S10" s="6">
        <f t="shared" si="5"/>
        <v>0</v>
      </c>
      <c r="T10" s="6">
        <f t="shared" si="5"/>
        <v>0</v>
      </c>
      <c r="U10" s="6">
        <f t="shared" si="5"/>
        <v>580882</v>
      </c>
      <c r="V10" s="6">
        <f t="shared" si="5"/>
        <v>0</v>
      </c>
      <c r="W10" s="6">
        <f t="shared" si="5"/>
        <v>692580</v>
      </c>
      <c r="X10" s="6">
        <f t="shared" si="5"/>
        <v>731626</v>
      </c>
      <c r="Y10" s="6">
        <f t="shared" ref="Y10:AB10" si="6">SUM(Y9,Y8)</f>
        <v>786014</v>
      </c>
      <c r="Z10" s="6">
        <f t="shared" si="6"/>
        <v>0</v>
      </c>
      <c r="AA10" s="6">
        <f t="shared" si="6"/>
        <v>921036</v>
      </c>
      <c r="AB10" s="6">
        <f t="shared" si="6"/>
        <v>963872</v>
      </c>
      <c r="AC10" s="6"/>
      <c r="AD10" s="6">
        <f>SUM(AD8,AD9)</f>
        <v>118752</v>
      </c>
      <c r="AE10" s="6">
        <f t="shared" ref="AE10:AJ10" si="7">SUM(AE8,AE9)</f>
        <v>249824</v>
      </c>
      <c r="AF10" s="6">
        <f t="shared" si="7"/>
        <v>481413</v>
      </c>
      <c r="AG10" s="6">
        <f t="shared" si="7"/>
        <v>874438</v>
      </c>
      <c r="AH10" s="6">
        <f t="shared" si="7"/>
        <v>1451594</v>
      </c>
      <c r="AI10" s="6">
        <f t="shared" si="7"/>
        <v>2241236</v>
      </c>
      <c r="AJ10" s="6">
        <f t="shared" si="7"/>
        <v>3055555</v>
      </c>
    </row>
    <row r="11" spans="2:36" x14ac:dyDescent="0.25">
      <c r="B11" s="7" t="s">
        <v>136</v>
      </c>
      <c r="C11" s="6"/>
      <c r="D11" s="11">
        <f>D10/C10-1</f>
        <v>0.17788492038317583</v>
      </c>
      <c r="E11" s="11">
        <f t="shared" ref="E11:J11" si="8">E10/D10-1</f>
        <v>0.19170212383978735</v>
      </c>
      <c r="F11" s="11">
        <f t="shared" si="8"/>
        <v>0.21205501740008126</v>
      </c>
      <c r="G11" s="11">
        <f t="shared" si="8"/>
        <v>0.20659996271207515</v>
      </c>
      <c r="H11" s="11">
        <f t="shared" si="8"/>
        <v>0.11363144720170593</v>
      </c>
      <c r="I11" s="11">
        <f t="shared" si="8"/>
        <v>0.15735190735190741</v>
      </c>
      <c r="J11" s="11">
        <f t="shared" si="8"/>
        <v>0.21571463966304072</v>
      </c>
      <c r="K11" s="11">
        <f t="shared" ref="K11" si="9">K10/J10-1</f>
        <v>-1</v>
      </c>
      <c r="L11" s="11" t="e">
        <f t="shared" ref="L11" si="10">L10/K10-1</f>
        <v>#DIV/0!</v>
      </c>
      <c r="M11" s="11" t="e">
        <f t="shared" ref="M11" si="11">M10/L10-1</f>
        <v>#DIV/0!</v>
      </c>
      <c r="N11" s="11" t="e">
        <f t="shared" ref="N11" si="12">N10/M10-1</f>
        <v>#DIV/0!</v>
      </c>
      <c r="O11" s="11" t="e">
        <f t="shared" ref="O11" si="13">O10/N10-1</f>
        <v>#DIV/0!</v>
      </c>
      <c r="P11" s="11" t="e">
        <f t="shared" ref="P11" si="14">P10/O10-1</f>
        <v>#DIV/0!</v>
      </c>
      <c r="Q11" s="11" t="e">
        <f t="shared" ref="Q11" si="15">Q10/P10-1</f>
        <v>#DIV/0!</v>
      </c>
      <c r="R11" s="11" t="e">
        <f t="shared" ref="R11" si="16">R10/Q10-1</f>
        <v>#DIV/0!</v>
      </c>
      <c r="S11" s="11" t="e">
        <f t="shared" ref="S11" si="17">S10/R10-1</f>
        <v>#DIV/0!</v>
      </c>
      <c r="T11" s="11" t="e">
        <f t="shared" ref="T11" si="18">T10/S10-1</f>
        <v>#DIV/0!</v>
      </c>
      <c r="U11" s="11" t="e">
        <f t="shared" ref="U11" si="19">U10/T10-1</f>
        <v>#DIV/0!</v>
      </c>
      <c r="V11" s="11">
        <f t="shared" ref="V11" si="20">V10/U10-1</f>
        <v>-1</v>
      </c>
      <c r="W11" s="11" t="e">
        <f t="shared" ref="W11" si="21">W10/V10-1</f>
        <v>#DIV/0!</v>
      </c>
      <c r="X11" s="11">
        <f t="shared" ref="X11" si="22">X10/W10-1</f>
        <v>5.6377602587426745E-2</v>
      </c>
      <c r="Y11" s="11">
        <f t="shared" ref="Y11" si="23">Y10/X10-1</f>
        <v>7.4338528155095673E-2</v>
      </c>
      <c r="Z11" s="11">
        <f t="shared" ref="Z11" si="24">Z10/Y10-1</f>
        <v>-1</v>
      </c>
      <c r="AA11" s="11" t="e">
        <f t="shared" ref="AA11" si="25">AA10/Z10-1</f>
        <v>#DIV/0!</v>
      </c>
      <c r="AB11" s="11">
        <f t="shared" ref="AB11" si="26">AB10/AA10-1</f>
        <v>4.6508496953430623E-2</v>
      </c>
      <c r="AC11" s="11"/>
      <c r="AD11" s="11"/>
      <c r="AE11" s="11"/>
      <c r="AF11" s="11"/>
      <c r="AG11" s="11" t="s">
        <v>165</v>
      </c>
      <c r="AH11" s="11"/>
      <c r="AI11" s="11"/>
      <c r="AJ11" s="11"/>
    </row>
    <row r="12" spans="2:36" x14ac:dyDescent="0.25">
      <c r="B12" s="7" t="s">
        <v>123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E12" s="8">
        <f>AE10/AD10-1</f>
        <v>1.103745621126381</v>
      </c>
      <c r="AF12" s="8">
        <f t="shared" ref="AF12:AJ12" si="27">AF10/AE10-1</f>
        <v>0.92700861406430124</v>
      </c>
      <c r="AG12" s="8">
        <f t="shared" si="27"/>
        <v>0.81639880933834363</v>
      </c>
      <c r="AH12" s="8">
        <f t="shared" si="27"/>
        <v>0.66003078548736438</v>
      </c>
      <c r="AI12" s="8">
        <f t="shared" si="27"/>
        <v>0.54398268386339432</v>
      </c>
      <c r="AJ12" s="8">
        <f t="shared" si="27"/>
        <v>0.3633347849133246</v>
      </c>
    </row>
    <row r="13" spans="2:36" x14ac:dyDescent="0.25">
      <c r="B13" t="s">
        <v>124</v>
      </c>
      <c r="C13" s="9">
        <v>-15171</v>
      </c>
      <c r="D13" s="9">
        <v>-14604</v>
      </c>
      <c r="E13" s="9">
        <v>-17302</v>
      </c>
      <c r="F13" s="9">
        <v>-22131</v>
      </c>
      <c r="G13" s="9">
        <v>-23691</v>
      </c>
      <c r="H13" s="9">
        <v>-24946</v>
      </c>
      <c r="I13" s="9">
        <v>-29221</v>
      </c>
      <c r="J13" s="9">
        <v>-34616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>
        <v>-134229</v>
      </c>
      <c r="V13" s="9"/>
      <c r="W13" s="9">
        <v>-142100</v>
      </c>
      <c r="X13" s="9">
        <v>-153306</v>
      </c>
      <c r="Y13" s="9">
        <v>-159830</v>
      </c>
      <c r="Z13" s="9"/>
      <c r="AA13" s="9">
        <v>-189657</v>
      </c>
      <c r="AB13" s="9">
        <v>-199910</v>
      </c>
      <c r="AC13" s="9"/>
      <c r="AD13" s="9">
        <v>-39857</v>
      </c>
      <c r="AE13" s="9">
        <v>-69208</v>
      </c>
      <c r="AF13" s="9">
        <v>-112474</v>
      </c>
      <c r="AG13" s="9">
        <v>-185212</v>
      </c>
      <c r="AH13" s="9">
        <v>-321904</v>
      </c>
      <c r="AI13" s="9">
        <v>-511684</v>
      </c>
      <c r="AJ13" s="9">
        <v>-630745</v>
      </c>
    </row>
    <row r="14" spans="2:36" x14ac:dyDescent="0.25">
      <c r="B14" t="s">
        <v>125</v>
      </c>
      <c r="C14" s="9">
        <v>-4223</v>
      </c>
      <c r="D14" s="9">
        <v>-3871</v>
      </c>
      <c r="E14" s="9">
        <v>-4972</v>
      </c>
      <c r="F14" s="9">
        <v>-4864</v>
      </c>
      <c r="G14" s="9">
        <v>-5582</v>
      </c>
      <c r="H14" s="9">
        <v>-6636</v>
      </c>
      <c r="I14" s="9">
        <v>-8134</v>
      </c>
      <c r="J14" s="9">
        <v>-8801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>
        <v>-23999</v>
      </c>
      <c r="V14" s="9"/>
      <c r="W14" s="9">
        <v>-27130</v>
      </c>
      <c r="X14" s="9">
        <v>-29611</v>
      </c>
      <c r="Y14" s="9">
        <v>-35174</v>
      </c>
      <c r="Z14" s="9"/>
      <c r="AA14" s="9">
        <v>-35346</v>
      </c>
      <c r="AB14" s="9">
        <v>-37491</v>
      </c>
      <c r="AC14" s="9"/>
      <c r="AD14" s="9">
        <v>-14629</v>
      </c>
      <c r="AE14" s="9">
        <v>-18030</v>
      </c>
      <c r="AF14" s="9">
        <v>-29153</v>
      </c>
      <c r="AG14" s="9">
        <v>-44333</v>
      </c>
      <c r="AH14" s="9">
        <v>-61317</v>
      </c>
      <c r="AI14" s="9">
        <v>-89547</v>
      </c>
      <c r="AJ14" s="9">
        <v>-124978</v>
      </c>
    </row>
    <row r="15" spans="2:36" x14ac:dyDescent="0.25">
      <c r="B15" s="3" t="s">
        <v>126</v>
      </c>
      <c r="C15" s="10">
        <f>SUM(C13,C14)</f>
        <v>-19394</v>
      </c>
      <c r="D15" s="10">
        <f t="shared" ref="D15:AB15" si="28">SUM(D13,D14)</f>
        <v>-18475</v>
      </c>
      <c r="E15" s="10">
        <f t="shared" si="28"/>
        <v>-22274</v>
      </c>
      <c r="F15" s="10">
        <f t="shared" si="28"/>
        <v>-26995</v>
      </c>
      <c r="G15" s="10">
        <f t="shared" si="28"/>
        <v>-29273</v>
      </c>
      <c r="H15" s="10">
        <f t="shared" si="28"/>
        <v>-31582</v>
      </c>
      <c r="I15" s="10">
        <f t="shared" si="28"/>
        <v>-37355</v>
      </c>
      <c r="J15" s="10">
        <f t="shared" si="28"/>
        <v>-43417</v>
      </c>
      <c r="K15" s="10">
        <f t="shared" si="28"/>
        <v>0</v>
      </c>
      <c r="L15" s="10">
        <f t="shared" si="28"/>
        <v>0</v>
      </c>
      <c r="M15" s="10">
        <f t="shared" si="28"/>
        <v>0</v>
      </c>
      <c r="N15" s="10">
        <f t="shared" si="28"/>
        <v>0</v>
      </c>
      <c r="O15" s="10">
        <f t="shared" si="28"/>
        <v>0</v>
      </c>
      <c r="P15" s="10">
        <f t="shared" si="28"/>
        <v>0</v>
      </c>
      <c r="Q15" s="10">
        <f t="shared" si="28"/>
        <v>0</v>
      </c>
      <c r="R15" s="10">
        <f t="shared" si="28"/>
        <v>0</v>
      </c>
      <c r="S15" s="10">
        <f t="shared" si="28"/>
        <v>0</v>
      </c>
      <c r="T15" s="10">
        <f t="shared" si="28"/>
        <v>0</v>
      </c>
      <c r="U15" s="10">
        <f t="shared" si="28"/>
        <v>-158228</v>
      </c>
      <c r="V15" s="10">
        <f t="shared" si="28"/>
        <v>0</v>
      </c>
      <c r="W15" s="10">
        <f t="shared" si="28"/>
        <v>-169230</v>
      </c>
      <c r="X15" s="10">
        <f t="shared" si="28"/>
        <v>-182917</v>
      </c>
      <c r="Y15" s="10">
        <f t="shared" si="28"/>
        <v>-195004</v>
      </c>
      <c r="Z15" s="10">
        <f t="shared" si="28"/>
        <v>0</v>
      </c>
      <c r="AA15" s="10">
        <f t="shared" si="28"/>
        <v>-225003</v>
      </c>
      <c r="AB15" s="10">
        <f t="shared" si="28"/>
        <v>-237401</v>
      </c>
      <c r="AC15" s="10"/>
      <c r="AD15" s="10">
        <f>SUM(AD13,AD14)</f>
        <v>-54486</v>
      </c>
      <c r="AE15" s="10">
        <f t="shared" ref="AE15:AG15" si="29">SUM(AE13,AE14)</f>
        <v>-87238</v>
      </c>
      <c r="AF15" s="10">
        <f t="shared" si="29"/>
        <v>-141627</v>
      </c>
      <c r="AG15" s="10">
        <f t="shared" si="29"/>
        <v>-229545</v>
      </c>
      <c r="AH15" s="10">
        <f t="shared" ref="AH15:AJ15" si="30">SUM(AH13,AH14)</f>
        <v>-383221</v>
      </c>
      <c r="AI15" s="10">
        <f t="shared" si="30"/>
        <v>-601231</v>
      </c>
      <c r="AJ15" s="10">
        <f t="shared" si="30"/>
        <v>-755723</v>
      </c>
    </row>
    <row r="16" spans="2:36" x14ac:dyDescent="0.25">
      <c r="B16" s="3" t="s">
        <v>127</v>
      </c>
      <c r="C16" s="6">
        <f>C10+C15</f>
        <v>27895</v>
      </c>
      <c r="D16" s="6">
        <f t="shared" ref="D16:AB16" si="31">D10+D15</f>
        <v>37226</v>
      </c>
      <c r="E16" s="6">
        <f t="shared" si="31"/>
        <v>44105</v>
      </c>
      <c r="F16" s="6">
        <f t="shared" si="31"/>
        <v>53460</v>
      </c>
      <c r="G16" s="6">
        <f t="shared" si="31"/>
        <v>67804</v>
      </c>
      <c r="H16" s="6">
        <f t="shared" si="31"/>
        <v>76526</v>
      </c>
      <c r="I16" s="6">
        <f t="shared" si="31"/>
        <v>87764</v>
      </c>
      <c r="J16" s="6">
        <f t="shared" si="31"/>
        <v>108692</v>
      </c>
      <c r="K16" s="6">
        <f t="shared" si="31"/>
        <v>0</v>
      </c>
      <c r="L16" s="6">
        <f t="shared" si="31"/>
        <v>0</v>
      </c>
      <c r="M16" s="6">
        <f t="shared" si="31"/>
        <v>0</v>
      </c>
      <c r="N16" s="6">
        <f t="shared" si="31"/>
        <v>0</v>
      </c>
      <c r="O16" s="6">
        <f t="shared" si="31"/>
        <v>0</v>
      </c>
      <c r="P16" s="6">
        <f t="shared" si="31"/>
        <v>0</v>
      </c>
      <c r="Q16" s="6">
        <f t="shared" si="31"/>
        <v>0</v>
      </c>
      <c r="R16" s="6">
        <f t="shared" si="31"/>
        <v>0</v>
      </c>
      <c r="S16" s="6">
        <f t="shared" si="31"/>
        <v>0</v>
      </c>
      <c r="T16" s="6">
        <f t="shared" si="31"/>
        <v>0</v>
      </c>
      <c r="U16" s="6">
        <f t="shared" si="31"/>
        <v>422654</v>
      </c>
      <c r="V16" s="6">
        <f t="shared" si="31"/>
        <v>0</v>
      </c>
      <c r="W16" s="6">
        <f t="shared" si="31"/>
        <v>523350</v>
      </c>
      <c r="X16" s="6">
        <f t="shared" si="31"/>
        <v>548709</v>
      </c>
      <c r="Y16" s="6">
        <f t="shared" si="31"/>
        <v>591010</v>
      </c>
      <c r="Z16" s="6">
        <f t="shared" si="31"/>
        <v>0</v>
      </c>
      <c r="AA16" s="6">
        <f t="shared" si="31"/>
        <v>696033</v>
      </c>
      <c r="AB16" s="6">
        <f t="shared" si="31"/>
        <v>726471</v>
      </c>
      <c r="AC16" s="6"/>
      <c r="AD16" s="6">
        <f>AD10+AD15</f>
        <v>64266</v>
      </c>
      <c r="AE16" s="6">
        <f t="shared" ref="AE16:AG16" si="32">AE10+AE15</f>
        <v>162586</v>
      </c>
      <c r="AF16" s="6">
        <f t="shared" si="32"/>
        <v>339786</v>
      </c>
      <c r="AG16" s="6">
        <f t="shared" si="32"/>
        <v>644893</v>
      </c>
      <c r="AH16" s="6">
        <f t="shared" ref="AH16:AJ16" si="33">AH10+AH15</f>
        <v>1068373</v>
      </c>
      <c r="AI16" s="6">
        <f t="shared" si="33"/>
        <v>1640005</v>
      </c>
      <c r="AJ16" s="6">
        <f t="shared" si="33"/>
        <v>2299832</v>
      </c>
    </row>
    <row r="17" spans="2:36" s="7" customFormat="1" x14ac:dyDescent="0.25">
      <c r="B17" s="7" t="s">
        <v>137</v>
      </c>
      <c r="C17" s="11">
        <f>(C10+C15)/C10</f>
        <v>0.58988348241662969</v>
      </c>
      <c r="D17" s="11">
        <f t="shared" ref="D17:AB17" si="34">(D10+D15)/D10</f>
        <v>0.66831834257912781</v>
      </c>
      <c r="E17" s="11">
        <f t="shared" si="34"/>
        <v>0.6644420675213546</v>
      </c>
      <c r="F17" s="11">
        <f t="shared" si="34"/>
        <v>0.66447082219874465</v>
      </c>
      <c r="G17" s="11">
        <f t="shared" si="34"/>
        <v>0.69845586493196121</v>
      </c>
      <c r="H17" s="11">
        <f t="shared" si="34"/>
        <v>0.70786620786620791</v>
      </c>
      <c r="I17" s="11">
        <f t="shared" si="34"/>
        <v>0.70144422509770699</v>
      </c>
      <c r="J17" s="11">
        <f t="shared" si="34"/>
        <v>0.71456652795035136</v>
      </c>
      <c r="K17" s="11" t="e">
        <f t="shared" si="34"/>
        <v>#DIV/0!</v>
      </c>
      <c r="L17" s="11" t="e">
        <f t="shared" si="34"/>
        <v>#DIV/0!</v>
      </c>
      <c r="M17" s="11" t="e">
        <f t="shared" si="34"/>
        <v>#DIV/0!</v>
      </c>
      <c r="N17" s="11" t="e">
        <f t="shared" si="34"/>
        <v>#DIV/0!</v>
      </c>
      <c r="O17" s="11" t="e">
        <f t="shared" si="34"/>
        <v>#DIV/0!</v>
      </c>
      <c r="P17" s="11" t="e">
        <f t="shared" si="34"/>
        <v>#DIV/0!</v>
      </c>
      <c r="Q17" s="11" t="e">
        <f t="shared" si="34"/>
        <v>#DIV/0!</v>
      </c>
      <c r="R17" s="11" t="e">
        <f t="shared" si="34"/>
        <v>#DIV/0!</v>
      </c>
      <c r="S17" s="11" t="e">
        <f t="shared" si="34"/>
        <v>#DIV/0!</v>
      </c>
      <c r="T17" s="11" t="e">
        <f t="shared" si="34"/>
        <v>#DIV/0!</v>
      </c>
      <c r="U17" s="11">
        <f t="shared" si="34"/>
        <v>0.72760732816647788</v>
      </c>
      <c r="V17" s="11" t="e">
        <f t="shared" si="34"/>
        <v>#DIV/0!</v>
      </c>
      <c r="W17" s="11">
        <f t="shared" si="34"/>
        <v>0.75565277657454732</v>
      </c>
      <c r="X17" s="11">
        <f t="shared" si="34"/>
        <v>0.74998564840505944</v>
      </c>
      <c r="Y17" s="11">
        <f t="shared" si="34"/>
        <v>0.75190772683438212</v>
      </c>
      <c r="Z17" s="11" t="e">
        <f t="shared" si="34"/>
        <v>#DIV/0!</v>
      </c>
      <c r="AA17" s="11">
        <f t="shared" si="34"/>
        <v>0.75570661733091871</v>
      </c>
      <c r="AB17" s="11">
        <f t="shared" si="34"/>
        <v>0.75370069884797986</v>
      </c>
      <c r="AC17" s="11"/>
      <c r="AD17" s="12">
        <f>(AD10+AD15)/AD10</f>
        <v>0.54117825383993534</v>
      </c>
      <c r="AE17" s="12">
        <f t="shared" ref="AE17:AJ17" si="35">(AE10+AE15)/AE10</f>
        <v>0.65080216472396568</v>
      </c>
      <c r="AF17" s="12">
        <f t="shared" si="35"/>
        <v>0.7058097724822554</v>
      </c>
      <c r="AG17" s="12">
        <f t="shared" si="35"/>
        <v>0.73749425345193143</v>
      </c>
      <c r="AH17" s="12">
        <f t="shared" si="35"/>
        <v>0.73599987324279381</v>
      </c>
      <c r="AI17" s="12">
        <f t="shared" si="35"/>
        <v>0.73174132487609511</v>
      </c>
      <c r="AJ17" s="12">
        <f t="shared" si="35"/>
        <v>0.7526724277586232</v>
      </c>
    </row>
    <row r="18" spans="2:36" x14ac:dyDescent="0.25">
      <c r="B18" t="s">
        <v>138</v>
      </c>
      <c r="AH18">
        <v>-1</v>
      </c>
    </row>
    <row r="19" spans="2:36" x14ac:dyDescent="0.25">
      <c r="B19" t="s">
        <v>128</v>
      </c>
      <c r="C19" s="9">
        <v>-36617</v>
      </c>
      <c r="D19" s="9">
        <v>-40113</v>
      </c>
      <c r="E19" s="9">
        <v>-46614</v>
      </c>
      <c r="F19" s="9">
        <v>-49338</v>
      </c>
      <c r="G19" s="9">
        <v>-56843</v>
      </c>
      <c r="H19" s="9">
        <v>-65274</v>
      </c>
      <c r="I19" s="9">
        <v>-68675</v>
      </c>
      <c r="J19" s="9">
        <v>-75803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>
        <v>-239672</v>
      </c>
      <c r="V19" s="9"/>
      <c r="W19" s="9">
        <v>-281107</v>
      </c>
      <c r="X19" s="9">
        <v>-282916</v>
      </c>
      <c r="Y19" s="9">
        <v>-286186</v>
      </c>
      <c r="Z19" s="9"/>
      <c r="AA19" s="9">
        <v>-350114</v>
      </c>
      <c r="AB19" s="9">
        <v>-355471</v>
      </c>
      <c r="AC19" s="9"/>
      <c r="AD19" s="9">
        <v>-104277</v>
      </c>
      <c r="AE19" s="9">
        <v>-172682</v>
      </c>
      <c r="AF19" s="9">
        <v>-266595</v>
      </c>
      <c r="AG19" s="9">
        <v>-401316</v>
      </c>
      <c r="AH19" s="9">
        <v>-616546</v>
      </c>
      <c r="AI19" s="9">
        <v>-904409</v>
      </c>
      <c r="AJ19" s="9">
        <v>-1140566</v>
      </c>
    </row>
    <row r="20" spans="2:36" s="7" customFormat="1" x14ac:dyDescent="0.25">
      <c r="B20" s="16" t="s">
        <v>146</v>
      </c>
      <c r="C20" s="14"/>
      <c r="D20" s="15">
        <f>(D19-C19)/ABS(C19)</f>
        <v>-9.5474779474014795E-2</v>
      </c>
      <c r="E20" s="15">
        <f t="shared" ref="E20:AJ20" si="36">(E19-D19)/ABS(D19)</f>
        <v>-0.16206716027223095</v>
      </c>
      <c r="F20" s="15">
        <f t="shared" si="36"/>
        <v>-5.8437379328098851E-2</v>
      </c>
      <c r="G20" s="15">
        <f t="shared" si="36"/>
        <v>-0.15211398921723621</v>
      </c>
      <c r="H20" s="15">
        <f t="shared" si="36"/>
        <v>-0.14832081346867687</v>
      </c>
      <c r="I20" s="15">
        <f t="shared" si="36"/>
        <v>-5.2103440879982844E-2</v>
      </c>
      <c r="J20" s="15">
        <f t="shared" si="36"/>
        <v>-0.10379322897706589</v>
      </c>
      <c r="K20" s="15">
        <f t="shared" ref="K20" si="37">(K19-J19)/ABS(J19)</f>
        <v>1</v>
      </c>
      <c r="L20" s="15" t="e">
        <f t="shared" ref="L20" si="38">(L19-K19)/ABS(K19)</f>
        <v>#DIV/0!</v>
      </c>
      <c r="M20" s="15" t="e">
        <f t="shared" ref="M20" si="39">(M19-L19)/ABS(L19)</f>
        <v>#DIV/0!</v>
      </c>
      <c r="N20" s="15" t="e">
        <f t="shared" ref="N20" si="40">(N19-M19)/ABS(M19)</f>
        <v>#DIV/0!</v>
      </c>
      <c r="O20" s="15" t="e">
        <f t="shared" ref="O20" si="41">(O19-N19)/ABS(N19)</f>
        <v>#DIV/0!</v>
      </c>
      <c r="P20" s="15" t="e">
        <f t="shared" ref="P20" si="42">(P19-O19)/ABS(O19)</f>
        <v>#DIV/0!</v>
      </c>
      <c r="Q20" s="15" t="e">
        <f t="shared" ref="Q20" si="43">(Q19-P19)/ABS(P19)</f>
        <v>#DIV/0!</v>
      </c>
      <c r="R20" s="15" t="e">
        <f t="shared" ref="R20" si="44">(R19-Q19)/ABS(Q19)</f>
        <v>#DIV/0!</v>
      </c>
      <c r="S20" s="15" t="e">
        <f t="shared" ref="S20" si="45">(S19-R19)/ABS(R19)</f>
        <v>#DIV/0!</v>
      </c>
      <c r="T20" s="15" t="e">
        <f t="shared" ref="T20" si="46">(T19-S19)/ABS(S19)</f>
        <v>#DIV/0!</v>
      </c>
      <c r="U20" s="15" t="e">
        <f t="shared" ref="U20" si="47">(U19-T19)/ABS(T19)</f>
        <v>#DIV/0!</v>
      </c>
      <c r="V20" s="15">
        <f t="shared" ref="V20" si="48">(V19-U19)/ABS(U19)</f>
        <v>1</v>
      </c>
      <c r="W20" s="15" t="e">
        <f t="shared" ref="W20" si="49">(W19-V19)/ABS(V19)</f>
        <v>#DIV/0!</v>
      </c>
      <c r="X20" s="15">
        <f t="shared" ref="X20" si="50">(X19-W19)/ABS(W19)</f>
        <v>-6.4352719782858484E-3</v>
      </c>
      <c r="Y20" s="15"/>
      <c r="Z20" s="15">
        <f t="shared" ref="Z20" si="51">(Z19-Y19)/ABS(Y19)</f>
        <v>1</v>
      </c>
      <c r="AA20" s="15" t="e">
        <f t="shared" ref="AA20" si="52">(AA19-Z19)/ABS(Z19)</f>
        <v>#DIV/0!</v>
      </c>
      <c r="AB20" s="15">
        <f t="shared" ref="AB20" si="53">(AB19-AA19)/ABS(AA19)</f>
        <v>-1.5300730619169756E-2</v>
      </c>
      <c r="AC20" s="15"/>
      <c r="AD20" s="15"/>
      <c r="AE20" s="15">
        <f t="shared" si="36"/>
        <v>-0.65599317203218355</v>
      </c>
      <c r="AF20" s="15">
        <f t="shared" si="36"/>
        <v>-0.54384938789219495</v>
      </c>
      <c r="AG20" s="15">
        <f t="shared" si="36"/>
        <v>-0.50533956000675184</v>
      </c>
      <c r="AH20" s="15">
        <f t="shared" si="36"/>
        <v>-0.53631053832889797</v>
      </c>
      <c r="AI20" s="15">
        <f t="shared" si="36"/>
        <v>-0.46689622509918155</v>
      </c>
      <c r="AJ20" s="15">
        <f t="shared" si="36"/>
        <v>-0.26111748113961714</v>
      </c>
    </row>
    <row r="21" spans="2:36" s="7" customFormat="1" x14ac:dyDescent="0.25">
      <c r="B21" s="16" t="s">
        <v>140</v>
      </c>
      <c r="C21" s="15">
        <f>C19/C28</f>
        <v>0.6001901358815912</v>
      </c>
      <c r="D21" s="15">
        <f t="shared" ref="D21:AG21" si="54">D19/D28</f>
        <v>0.59380042337127881</v>
      </c>
      <c r="E21" s="15">
        <f t="shared" si="54"/>
        <v>0.54079075595155224</v>
      </c>
      <c r="F21" s="15">
        <f t="shared" si="54"/>
        <v>0.58255797477919991</v>
      </c>
      <c r="G21" s="15">
        <f t="shared" si="54"/>
        <v>0.61399453439764962</v>
      </c>
      <c r="H21" s="15">
        <f t="shared" si="54"/>
        <v>0.51330161601069479</v>
      </c>
      <c r="I21" s="15">
        <f t="shared" si="54"/>
        <v>0.54382255586702777</v>
      </c>
      <c r="J21" s="15">
        <f t="shared" si="54"/>
        <v>0.54212765957446807</v>
      </c>
      <c r="K21" s="15" t="e">
        <f t="shared" ref="K21:AB21" si="55">K19/K28</f>
        <v>#DIV/0!</v>
      </c>
      <c r="L21" s="15" t="e">
        <f t="shared" si="55"/>
        <v>#DIV/0!</v>
      </c>
      <c r="M21" s="15" t="e">
        <f t="shared" si="55"/>
        <v>#DIV/0!</v>
      </c>
      <c r="N21" s="15" t="e">
        <f t="shared" si="55"/>
        <v>#DIV/0!</v>
      </c>
      <c r="O21" s="15" t="e">
        <f t="shared" si="55"/>
        <v>#DIV/0!</v>
      </c>
      <c r="P21" s="15" t="e">
        <f t="shared" si="55"/>
        <v>#DIV/0!</v>
      </c>
      <c r="Q21" s="15" t="e">
        <f t="shared" si="55"/>
        <v>#DIV/0!</v>
      </c>
      <c r="R21" s="15" t="e">
        <f t="shared" si="55"/>
        <v>#DIV/0!</v>
      </c>
      <c r="S21" s="15" t="e">
        <f t="shared" si="55"/>
        <v>#DIV/0!</v>
      </c>
      <c r="T21" s="15" t="e">
        <f t="shared" si="55"/>
        <v>#DIV/0!</v>
      </c>
      <c r="U21" s="15">
        <f t="shared" si="55"/>
        <v>0.50027970509898223</v>
      </c>
      <c r="V21" s="15" t="e">
        <f t="shared" si="55"/>
        <v>#DIV/0!</v>
      </c>
      <c r="W21" s="15">
        <f t="shared" si="55"/>
        <v>0.51787747371989257</v>
      </c>
      <c r="X21" s="15">
        <f t="shared" si="55"/>
        <v>0.50155119291166883</v>
      </c>
      <c r="Y21" s="15">
        <f t="shared" si="55"/>
        <v>0.48683756147432922</v>
      </c>
      <c r="Z21" s="15" t="e">
        <f t="shared" si="55"/>
        <v>#DIV/0!</v>
      </c>
      <c r="AA21" s="15">
        <f t="shared" si="55"/>
        <v>0.50807651172476442</v>
      </c>
      <c r="AB21" s="15">
        <f t="shared" si="55"/>
        <v>0.49868759408147717</v>
      </c>
      <c r="AC21" s="15"/>
      <c r="AD21" s="15">
        <f t="shared" si="54"/>
        <v>0.53282474732506924</v>
      </c>
      <c r="AE21" s="15">
        <f t="shared" si="54"/>
        <v>0.57666388378694278</v>
      </c>
      <c r="AF21" s="15">
        <f t="shared" si="54"/>
        <v>0.54871761095479887</v>
      </c>
      <c r="AG21" s="15">
        <f t="shared" si="54"/>
        <v>0.54421484577351908</v>
      </c>
      <c r="AH21" s="15">
        <f t="shared" ref="AH21" si="56">AH19/AH28</f>
        <v>0.50915460215819197</v>
      </c>
      <c r="AI21" s="15">
        <f t="shared" ref="AI21" si="57">AI19/AI28</f>
        <v>0.49418097312904036</v>
      </c>
      <c r="AJ21" s="15">
        <f t="shared" ref="AJ21" si="58">AJ19/AJ28</f>
        <v>0.49550465782180853</v>
      </c>
    </row>
    <row r="22" spans="2:36" x14ac:dyDescent="0.25">
      <c r="B22" t="s">
        <v>129</v>
      </c>
      <c r="C22" s="9">
        <v>-17615</v>
      </c>
      <c r="D22" s="9">
        <v>-18963</v>
      </c>
      <c r="E22" s="9">
        <v>-25968</v>
      </c>
      <c r="F22" s="9">
        <v>-22005</v>
      </c>
      <c r="G22" s="9">
        <v>-23875</v>
      </c>
      <c r="H22" s="9">
        <v>-31630</v>
      </c>
      <c r="I22" s="9">
        <v>-35992</v>
      </c>
      <c r="J22" s="9">
        <v>-38691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>
        <v>-155256</v>
      </c>
      <c r="V22" s="9"/>
      <c r="W22" s="9">
        <v>-179065</v>
      </c>
      <c r="X22" s="9">
        <v>-179362</v>
      </c>
      <c r="Y22" s="9">
        <v>-196072</v>
      </c>
      <c r="Z22" s="9"/>
      <c r="AA22" s="9">
        <v>-235249</v>
      </c>
      <c r="AB22" s="9">
        <v>-250908</v>
      </c>
      <c r="AC22" s="9"/>
      <c r="AD22" s="9">
        <v>-58887</v>
      </c>
      <c r="AE22" s="9">
        <v>-84551</v>
      </c>
      <c r="AF22" s="9">
        <v>-130188</v>
      </c>
      <c r="AG22" s="9">
        <v>-214670</v>
      </c>
      <c r="AH22" s="9">
        <v>-371283</v>
      </c>
      <c r="AI22" s="9">
        <v>-608364</v>
      </c>
      <c r="AJ22" s="9">
        <v>-768497</v>
      </c>
    </row>
    <row r="23" spans="2:36" s="7" customFormat="1" x14ac:dyDescent="0.25">
      <c r="B23" s="16" t="s">
        <v>147</v>
      </c>
      <c r="C23" s="14"/>
      <c r="D23" s="15">
        <f>(D22-C22)/ABS(C22)</f>
        <v>-7.6525688333806421E-2</v>
      </c>
      <c r="E23" s="15">
        <f t="shared" ref="E23:AJ23" si="59">(E22-D22)/ABS(D22)</f>
        <v>-0.36940357538364182</v>
      </c>
      <c r="F23" s="15">
        <f t="shared" si="59"/>
        <v>0.15261090573012939</v>
      </c>
      <c r="G23" s="15">
        <f t="shared" si="59"/>
        <v>-8.4980686207680067E-2</v>
      </c>
      <c r="H23" s="15">
        <f t="shared" si="59"/>
        <v>-0.32481675392670156</v>
      </c>
      <c r="I23" s="15">
        <f t="shared" si="59"/>
        <v>-0.13790705026873221</v>
      </c>
      <c r="J23" s="15">
        <f t="shared" si="59"/>
        <v>-7.4988886419204273E-2</v>
      </c>
      <c r="K23" s="15">
        <f t="shared" ref="K23" si="60">(K22-J22)/ABS(J22)</f>
        <v>1</v>
      </c>
      <c r="L23" s="15" t="e">
        <f t="shared" ref="L23" si="61">(L22-K22)/ABS(K22)</f>
        <v>#DIV/0!</v>
      </c>
      <c r="M23" s="15" t="e">
        <f t="shared" ref="M23" si="62">(M22-L22)/ABS(L22)</f>
        <v>#DIV/0!</v>
      </c>
      <c r="N23" s="15" t="e">
        <f t="shared" ref="N23" si="63">(N22-M22)/ABS(M22)</f>
        <v>#DIV/0!</v>
      </c>
      <c r="O23" s="15" t="e">
        <f t="shared" ref="O23" si="64">(O22-N22)/ABS(N22)</f>
        <v>#DIV/0!</v>
      </c>
      <c r="P23" s="15" t="e">
        <f t="shared" ref="P23" si="65">(P22-O22)/ABS(O22)</f>
        <v>#DIV/0!</v>
      </c>
      <c r="Q23" s="15" t="e">
        <f t="shared" ref="Q23" si="66">(Q22-P22)/ABS(P22)</f>
        <v>#DIV/0!</v>
      </c>
      <c r="R23" s="15" t="e">
        <f t="shared" ref="R23" si="67">(R22-Q22)/ABS(Q22)</f>
        <v>#DIV/0!</v>
      </c>
      <c r="S23" s="15" t="e">
        <f t="shared" ref="S23" si="68">(S22-R22)/ABS(R22)</f>
        <v>#DIV/0!</v>
      </c>
      <c r="T23" s="15" t="e">
        <f t="shared" ref="T23" si="69">(T22-S22)/ABS(S22)</f>
        <v>#DIV/0!</v>
      </c>
      <c r="U23" s="15" t="e">
        <f t="shared" ref="U23" si="70">(U22-T22)/ABS(T22)</f>
        <v>#DIV/0!</v>
      </c>
      <c r="V23" s="15">
        <f t="shared" ref="V23" si="71">(V22-U22)/ABS(U22)</f>
        <v>1</v>
      </c>
      <c r="W23" s="15" t="e">
        <f t="shared" ref="W23" si="72">(W22-V22)/ABS(V22)</f>
        <v>#DIV/0!</v>
      </c>
      <c r="X23" s="15">
        <f t="shared" ref="X23" si="73">(X22-W22)/ABS(W22)</f>
        <v>-1.6586155865188619E-3</v>
      </c>
      <c r="Y23" s="15">
        <f t="shared" ref="Y23" si="74">(Y22-X22)/ABS(X22)</f>
        <v>-9.3163546347609857E-2</v>
      </c>
      <c r="Z23" s="15">
        <f t="shared" ref="Z23" si="75">(Z22-Y22)/ABS(Y22)</f>
        <v>1</v>
      </c>
      <c r="AA23" s="15" t="e">
        <f t="shared" ref="AA23" si="76">(AA22-Z22)/ABS(Z22)</f>
        <v>#DIV/0!</v>
      </c>
      <c r="AB23" s="15">
        <f t="shared" ref="AB23" si="77">(AB22-AA22)/ABS(AA22)</f>
        <v>-6.6563513553723933E-2</v>
      </c>
      <c r="AC23" s="15"/>
      <c r="AD23" s="15"/>
      <c r="AE23" s="15">
        <f t="shared" si="59"/>
        <v>-0.43581775264489614</v>
      </c>
      <c r="AF23" s="15">
        <f t="shared" si="59"/>
        <v>-0.53975706969757897</v>
      </c>
      <c r="AG23" s="15">
        <f t="shared" si="59"/>
        <v>-0.64892309583064489</v>
      </c>
      <c r="AH23" s="15">
        <f t="shared" si="59"/>
        <v>-0.72955233614384873</v>
      </c>
      <c r="AI23" s="15">
        <f t="shared" si="59"/>
        <v>-0.63854526062329808</v>
      </c>
      <c r="AJ23" s="15">
        <f t="shared" si="59"/>
        <v>-0.26321905964192488</v>
      </c>
    </row>
    <row r="24" spans="2:36" s="7" customFormat="1" x14ac:dyDescent="0.25">
      <c r="B24" s="16" t="s">
        <v>141</v>
      </c>
      <c r="C24" s="15">
        <f>C22/C$28</f>
        <v>0.28872789260600895</v>
      </c>
      <c r="D24" s="15">
        <f t="shared" ref="D24:AG24" si="78">D22/D$28</f>
        <v>0.28071292170591977</v>
      </c>
      <c r="E24" s="15">
        <f t="shared" si="78"/>
        <v>0.30126688013364888</v>
      </c>
      <c r="F24" s="15">
        <f t="shared" si="78"/>
        <v>0.25982383223917255</v>
      </c>
      <c r="G24" s="15">
        <f t="shared" si="78"/>
        <v>0.25788785793754521</v>
      </c>
      <c r="H24" s="15">
        <f t="shared" si="78"/>
        <v>0.24873196241104079</v>
      </c>
      <c r="I24" s="15">
        <f t="shared" si="78"/>
        <v>0.28501290761945486</v>
      </c>
      <c r="J24" s="15">
        <f t="shared" si="78"/>
        <v>0.27671017343107457</v>
      </c>
      <c r="K24" s="15" t="e">
        <f t="shared" ref="K24:AB24" si="79">K22/K$28</f>
        <v>#DIV/0!</v>
      </c>
      <c r="L24" s="15" t="e">
        <f t="shared" si="79"/>
        <v>#DIV/0!</v>
      </c>
      <c r="M24" s="15" t="e">
        <f t="shared" si="79"/>
        <v>#DIV/0!</v>
      </c>
      <c r="N24" s="15" t="e">
        <f t="shared" si="79"/>
        <v>#DIV/0!</v>
      </c>
      <c r="O24" s="15" t="e">
        <f t="shared" si="79"/>
        <v>#DIV/0!</v>
      </c>
      <c r="P24" s="15" t="e">
        <f t="shared" si="79"/>
        <v>#DIV/0!</v>
      </c>
      <c r="Q24" s="15" t="e">
        <f t="shared" si="79"/>
        <v>#DIV/0!</v>
      </c>
      <c r="R24" s="15" t="e">
        <f t="shared" si="79"/>
        <v>#DIV/0!</v>
      </c>
      <c r="S24" s="15" t="e">
        <f t="shared" si="79"/>
        <v>#DIV/0!</v>
      </c>
      <c r="T24" s="15" t="e">
        <f t="shared" si="79"/>
        <v>#DIV/0!</v>
      </c>
      <c r="U24" s="15">
        <f t="shared" si="79"/>
        <v>0.32407384214613133</v>
      </c>
      <c r="V24" s="15" t="e">
        <f t="shared" si="79"/>
        <v>#DIV/0!</v>
      </c>
      <c r="W24" s="15">
        <f t="shared" si="79"/>
        <v>0.32988765783723834</v>
      </c>
      <c r="X24" s="15">
        <f t="shared" si="79"/>
        <v>0.31797150059743085</v>
      </c>
      <c r="Y24" s="15">
        <f t="shared" si="79"/>
        <v>0.33354257145141508</v>
      </c>
      <c r="Z24" s="15" t="e">
        <f t="shared" si="79"/>
        <v>#DIV/0!</v>
      </c>
      <c r="AA24" s="15">
        <f t="shared" si="79"/>
        <v>0.34138735185322239</v>
      </c>
      <c r="AB24" s="15">
        <f t="shared" si="79"/>
        <v>0.35199694730595543</v>
      </c>
      <c r="AC24" s="15"/>
      <c r="AD24" s="15">
        <f t="shared" si="78"/>
        <v>0.30089522038159278</v>
      </c>
      <c r="AE24" s="15">
        <f t="shared" si="78"/>
        <v>0.28235431624645185</v>
      </c>
      <c r="AF24" s="15">
        <f t="shared" si="78"/>
        <v>0.26795869515551063</v>
      </c>
      <c r="AG24" s="15">
        <f t="shared" si="78"/>
        <v>0.29110875455302393</v>
      </c>
      <c r="AH24" s="15">
        <f t="shared" ref="AH24" si="80">AH22/AH$28</f>
        <v>0.30661207461097795</v>
      </c>
      <c r="AI24" s="15">
        <f t="shared" ref="AI24" si="81">AI22/AI$28</f>
        <v>0.33241809130235933</v>
      </c>
      <c r="AJ24" s="15">
        <f t="shared" ref="AJ24" si="82">AJ22/AJ$28</f>
        <v>0.33386392635067708</v>
      </c>
    </row>
    <row r="25" spans="2:36" x14ac:dyDescent="0.25">
      <c r="B25" t="s">
        <v>130</v>
      </c>
      <c r="C25" s="9">
        <v>-6777</v>
      </c>
      <c r="D25" s="9">
        <v>-8477</v>
      </c>
      <c r="E25" s="9">
        <v>-13614</v>
      </c>
      <c r="F25" s="9">
        <v>-13349</v>
      </c>
      <c r="G25" s="9">
        <v>-11861</v>
      </c>
      <c r="H25" s="9">
        <v>-30261</v>
      </c>
      <c r="I25" s="9">
        <v>-21615</v>
      </c>
      <c r="J25" s="9">
        <v>-25331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>
        <v>-84148</v>
      </c>
      <c r="V25" s="9"/>
      <c r="W25" s="9">
        <v>-82634</v>
      </c>
      <c r="X25" s="9">
        <v>-101804</v>
      </c>
      <c r="Y25" s="9">
        <v>-105589</v>
      </c>
      <c r="Z25" s="9"/>
      <c r="AA25" s="9">
        <v>-103734</v>
      </c>
      <c r="AB25" s="9">
        <v>-106434</v>
      </c>
      <c r="AC25" s="9"/>
      <c r="AD25" s="9">
        <v>-32542</v>
      </c>
      <c r="AE25" s="9">
        <v>-42217</v>
      </c>
      <c r="AF25" s="9">
        <v>-89068</v>
      </c>
      <c r="AG25" s="9">
        <v>-121436</v>
      </c>
      <c r="AH25" s="9">
        <v>-223092</v>
      </c>
      <c r="AI25" s="9">
        <v>-317344</v>
      </c>
      <c r="AJ25" s="9">
        <v>-392764</v>
      </c>
    </row>
    <row r="26" spans="2:36" s="7" customFormat="1" x14ac:dyDescent="0.25">
      <c r="B26" s="14" t="s">
        <v>148</v>
      </c>
      <c r="C26" s="14"/>
      <c r="D26" s="15">
        <f>(D25-C25)/ABS(C25)</f>
        <v>-0.25084845801977274</v>
      </c>
      <c r="E26" s="15">
        <f t="shared" ref="E26:AJ26" si="83">(E25-D25)/ABS(D25)</f>
        <v>-0.6059926860917777</v>
      </c>
      <c r="F26" s="15">
        <f t="shared" si="83"/>
        <v>1.9465256353753489E-2</v>
      </c>
      <c r="G26" s="15">
        <f t="shared" si="83"/>
        <v>0.11146902389692112</v>
      </c>
      <c r="H26" s="15">
        <f t="shared" si="83"/>
        <v>-1.5513025883146447</v>
      </c>
      <c r="I26" s="15">
        <f t="shared" si="83"/>
        <v>0.2857142857142857</v>
      </c>
      <c r="J26" s="15">
        <f t="shared" si="83"/>
        <v>-0.17191764978024521</v>
      </c>
      <c r="K26" s="15">
        <f t="shared" ref="K26" si="84">(K25-J25)/ABS(J25)</f>
        <v>1</v>
      </c>
      <c r="L26" s="15" t="e">
        <f t="shared" ref="L26" si="85">(L25-K25)/ABS(K25)</f>
        <v>#DIV/0!</v>
      </c>
      <c r="M26" s="15" t="e">
        <f t="shared" ref="M26" si="86">(M25-L25)/ABS(L25)</f>
        <v>#DIV/0!</v>
      </c>
      <c r="N26" s="15" t="e">
        <f t="shared" ref="N26" si="87">(N25-M25)/ABS(M25)</f>
        <v>#DIV/0!</v>
      </c>
      <c r="O26" s="15" t="e">
        <f t="shared" ref="O26" si="88">(O25-N25)/ABS(N25)</f>
        <v>#DIV/0!</v>
      </c>
      <c r="P26" s="15" t="e">
        <f t="shared" ref="P26" si="89">(P25-O25)/ABS(O25)</f>
        <v>#DIV/0!</v>
      </c>
      <c r="Q26" s="15" t="e">
        <f t="shared" ref="Q26" si="90">(Q25-P25)/ABS(P25)</f>
        <v>#DIV/0!</v>
      </c>
      <c r="R26" s="15" t="e">
        <f t="shared" ref="R26" si="91">(R25-Q25)/ABS(Q25)</f>
        <v>#DIV/0!</v>
      </c>
      <c r="S26" s="15" t="e">
        <f t="shared" ref="S26" si="92">(S25-R25)/ABS(R25)</f>
        <v>#DIV/0!</v>
      </c>
      <c r="T26" s="15" t="e">
        <f t="shared" ref="T26" si="93">(T25-S25)/ABS(S25)</f>
        <v>#DIV/0!</v>
      </c>
      <c r="U26" s="15" t="e">
        <f t="shared" ref="U26" si="94">(U25-T25)/ABS(T25)</f>
        <v>#DIV/0!</v>
      </c>
      <c r="V26" s="15">
        <f t="shared" ref="V26" si="95">(V25-U25)/ABS(U25)</f>
        <v>1</v>
      </c>
      <c r="W26" s="15" t="e">
        <f t="shared" ref="W26" si="96">(W25-V25)/ABS(V25)</f>
        <v>#DIV/0!</v>
      </c>
      <c r="X26" s="15">
        <f t="shared" ref="X26" si="97">(X25-W25)/ABS(W25)</f>
        <v>-0.23198683350678898</v>
      </c>
      <c r="Y26" s="15">
        <f t="shared" ref="Y26" si="98">(Y25-X25)/ABS(X25)</f>
        <v>-3.717928568622058E-2</v>
      </c>
      <c r="Z26" s="15">
        <f t="shared" ref="Z26" si="99">(Z25-Y25)/ABS(Y25)</f>
        <v>1</v>
      </c>
      <c r="AA26" s="15" t="e">
        <f t="shared" ref="AA26" si="100">(AA25-Z25)/ABS(Z25)</f>
        <v>#DIV/0!</v>
      </c>
      <c r="AB26" s="15">
        <f t="shared" ref="AB26" si="101">(AB25-AA25)/ABS(AA25)</f>
        <v>-2.6028110359187923E-2</v>
      </c>
      <c r="AC26" s="15"/>
      <c r="AD26" s="15"/>
      <c r="AE26" s="15">
        <f t="shared" si="83"/>
        <v>-0.29730809415524551</v>
      </c>
      <c r="AF26" s="15">
        <f t="shared" si="83"/>
        <v>-1.1097662079257171</v>
      </c>
      <c r="AG26" s="15">
        <f t="shared" si="83"/>
        <v>-0.36340773341716442</v>
      </c>
      <c r="AH26" s="15">
        <f t="shared" si="83"/>
        <v>-0.83711584703053465</v>
      </c>
      <c r="AI26" s="15">
        <f t="shared" si="83"/>
        <v>-0.42248041166872857</v>
      </c>
      <c r="AJ26" s="15">
        <f t="shared" si="83"/>
        <v>-0.23766007865281838</v>
      </c>
    </row>
    <row r="27" spans="2:36" s="7" customFormat="1" x14ac:dyDescent="0.25">
      <c r="B27" s="16" t="s">
        <v>142</v>
      </c>
      <c r="C27" s="15">
        <f>C25/C$28</f>
        <v>0.1110819715123998</v>
      </c>
      <c r="D27" s="15">
        <f t="shared" ref="D27:AG27" si="102">D25/D$28</f>
        <v>0.12548665492280137</v>
      </c>
      <c r="E27" s="15">
        <f t="shared" si="102"/>
        <v>0.15794236391479882</v>
      </c>
      <c r="F27" s="15">
        <f t="shared" si="102"/>
        <v>0.15761819298162755</v>
      </c>
      <c r="G27" s="15">
        <f t="shared" si="102"/>
        <v>0.12811760766480521</v>
      </c>
      <c r="H27" s="15">
        <f t="shared" si="102"/>
        <v>0.23796642157826445</v>
      </c>
      <c r="I27" s="15">
        <f t="shared" si="102"/>
        <v>0.17116453651351737</v>
      </c>
      <c r="J27" s="15">
        <f t="shared" si="102"/>
        <v>0.18116216699445736</v>
      </c>
      <c r="K27" s="15" t="e">
        <f t="shared" ref="K27:AB27" si="103">K25/K$28</f>
        <v>#DIV/0!</v>
      </c>
      <c r="L27" s="15" t="e">
        <f t="shared" si="103"/>
        <v>#DIV/0!</v>
      </c>
      <c r="M27" s="15" t="e">
        <f t="shared" si="103"/>
        <v>#DIV/0!</v>
      </c>
      <c r="N27" s="15" t="e">
        <f t="shared" si="103"/>
        <v>#DIV/0!</v>
      </c>
      <c r="O27" s="15" t="e">
        <f t="shared" si="103"/>
        <v>#DIV/0!</v>
      </c>
      <c r="P27" s="15" t="e">
        <f t="shared" si="103"/>
        <v>#DIV/0!</v>
      </c>
      <c r="Q27" s="15" t="e">
        <f t="shared" si="103"/>
        <v>#DIV/0!</v>
      </c>
      <c r="R27" s="15" t="e">
        <f t="shared" si="103"/>
        <v>#DIV/0!</v>
      </c>
      <c r="S27" s="15" t="e">
        <f t="shared" si="103"/>
        <v>#DIV/0!</v>
      </c>
      <c r="T27" s="15" t="e">
        <f t="shared" si="103"/>
        <v>#DIV/0!</v>
      </c>
      <c r="U27" s="15">
        <f t="shared" si="103"/>
        <v>0.1756464527548865</v>
      </c>
      <c r="V27" s="15" t="e">
        <f t="shared" si="103"/>
        <v>#DIV/0!</v>
      </c>
      <c r="W27" s="15">
        <f t="shared" si="103"/>
        <v>0.1522348684428691</v>
      </c>
      <c r="X27" s="15">
        <f t="shared" si="103"/>
        <v>0.18047730649090027</v>
      </c>
      <c r="Y27" s="15">
        <f t="shared" si="103"/>
        <v>0.17961986707425573</v>
      </c>
      <c r="Z27" s="15" t="e">
        <f t="shared" si="103"/>
        <v>#DIV/0!</v>
      </c>
      <c r="AA27" s="15">
        <f t="shared" si="103"/>
        <v>0.15053613642201316</v>
      </c>
      <c r="AB27" s="15">
        <f t="shared" si="103"/>
        <v>0.1493154586125674</v>
      </c>
      <c r="AC27" s="15"/>
      <c r="AD27" s="15">
        <f t="shared" si="102"/>
        <v>0.16628003229333796</v>
      </c>
      <c r="AE27" s="15">
        <f t="shared" si="102"/>
        <v>0.14098179996660545</v>
      </c>
      <c r="AF27" s="15">
        <f t="shared" si="102"/>
        <v>0.18332369388969047</v>
      </c>
      <c r="AG27" s="15">
        <f t="shared" si="102"/>
        <v>0.16467639967345699</v>
      </c>
      <c r="AH27" s="15">
        <f t="shared" ref="AH27" si="104">AH25/AH$28</f>
        <v>0.18423332323083008</v>
      </c>
      <c r="AI27" s="15">
        <f t="shared" ref="AI27" si="105">AI25/AI$28</f>
        <v>0.17340093556860026</v>
      </c>
      <c r="AJ27" s="15">
        <f t="shared" ref="AJ27" si="106">AJ25/AJ$28</f>
        <v>0.1706314158275144</v>
      </c>
    </row>
    <row r="28" spans="2:36" s="3" customFormat="1" x14ac:dyDescent="0.25">
      <c r="B28" s="3" t="s">
        <v>131</v>
      </c>
      <c r="C28" s="10">
        <f>SUM(C19, C22, C25)</f>
        <v>-61009</v>
      </c>
      <c r="D28" s="10">
        <f t="shared" ref="D28:AJ28" si="107">SUM(D19, D22, D25)</f>
        <v>-67553</v>
      </c>
      <c r="E28" s="10">
        <f t="shared" si="107"/>
        <v>-86196</v>
      </c>
      <c r="F28" s="10">
        <f t="shared" si="107"/>
        <v>-84692</v>
      </c>
      <c r="G28" s="10">
        <f t="shared" si="107"/>
        <v>-92579</v>
      </c>
      <c r="H28" s="10">
        <f t="shared" si="107"/>
        <v>-127165</v>
      </c>
      <c r="I28" s="10">
        <f t="shared" si="107"/>
        <v>-126282</v>
      </c>
      <c r="J28" s="10">
        <f t="shared" si="107"/>
        <v>-139825</v>
      </c>
      <c r="K28" s="10">
        <f t="shared" ref="K28:AB28" si="108">SUM(K19, K22, K25)</f>
        <v>0</v>
      </c>
      <c r="L28" s="10">
        <f t="shared" si="108"/>
        <v>0</v>
      </c>
      <c r="M28" s="10">
        <f t="shared" si="108"/>
        <v>0</v>
      </c>
      <c r="N28" s="10">
        <f t="shared" si="108"/>
        <v>0</v>
      </c>
      <c r="O28" s="10">
        <f t="shared" si="108"/>
        <v>0</v>
      </c>
      <c r="P28" s="10">
        <f t="shared" si="108"/>
        <v>0</v>
      </c>
      <c r="Q28" s="10">
        <f t="shared" si="108"/>
        <v>0</v>
      </c>
      <c r="R28" s="10">
        <f t="shared" si="108"/>
        <v>0</v>
      </c>
      <c r="S28" s="10">
        <f t="shared" si="108"/>
        <v>0</v>
      </c>
      <c r="T28" s="10">
        <f t="shared" si="108"/>
        <v>0</v>
      </c>
      <c r="U28" s="10">
        <f t="shared" si="108"/>
        <v>-479076</v>
      </c>
      <c r="V28" s="10">
        <f t="shared" si="108"/>
        <v>0</v>
      </c>
      <c r="W28" s="10">
        <f t="shared" si="108"/>
        <v>-542806</v>
      </c>
      <c r="X28" s="10">
        <f t="shared" si="108"/>
        <v>-564082</v>
      </c>
      <c r="Y28" s="10">
        <f t="shared" si="108"/>
        <v>-587847</v>
      </c>
      <c r="Z28" s="10">
        <f t="shared" si="108"/>
        <v>0</v>
      </c>
      <c r="AA28" s="10">
        <f t="shared" si="108"/>
        <v>-689097</v>
      </c>
      <c r="AB28" s="10">
        <f t="shared" si="108"/>
        <v>-712813</v>
      </c>
      <c r="AC28" s="10"/>
      <c r="AD28" s="10">
        <f t="shared" si="107"/>
        <v>-195706</v>
      </c>
      <c r="AE28" s="10">
        <f t="shared" si="107"/>
        <v>-299450</v>
      </c>
      <c r="AF28" s="10">
        <f t="shared" si="107"/>
        <v>-485851</v>
      </c>
      <c r="AG28" s="10">
        <f t="shared" si="107"/>
        <v>-737422</v>
      </c>
      <c r="AH28" s="10">
        <f t="shared" si="107"/>
        <v>-1210921</v>
      </c>
      <c r="AI28" s="10">
        <f t="shared" si="107"/>
        <v>-1830117</v>
      </c>
      <c r="AJ28" s="10">
        <f t="shared" si="107"/>
        <v>-2301827</v>
      </c>
    </row>
    <row r="29" spans="2:36" x14ac:dyDescent="0.25">
      <c r="B29" s="3" t="s">
        <v>132</v>
      </c>
      <c r="C29" s="10">
        <f>C16+C28</f>
        <v>-33114</v>
      </c>
      <c r="D29" s="10">
        <f t="shared" ref="D29:J29" si="109">D16+D28</f>
        <v>-30327</v>
      </c>
      <c r="E29" s="10">
        <f t="shared" si="109"/>
        <v>-42091</v>
      </c>
      <c r="F29" s="10">
        <f t="shared" si="109"/>
        <v>-31232</v>
      </c>
      <c r="G29" s="10">
        <f t="shared" si="109"/>
        <v>-24775</v>
      </c>
      <c r="H29" s="10">
        <f t="shared" si="109"/>
        <v>-50639</v>
      </c>
      <c r="I29" s="10">
        <f t="shared" si="109"/>
        <v>-38518</v>
      </c>
      <c r="J29" s="10">
        <f t="shared" si="109"/>
        <v>-31133</v>
      </c>
      <c r="K29" s="10">
        <f t="shared" ref="K29:AB29" si="110">K16+K28</f>
        <v>0</v>
      </c>
      <c r="L29" s="10">
        <f t="shared" si="110"/>
        <v>0</v>
      </c>
      <c r="M29" s="10">
        <f t="shared" si="110"/>
        <v>0</v>
      </c>
      <c r="N29" s="10">
        <f t="shared" si="110"/>
        <v>0</v>
      </c>
      <c r="O29" s="10">
        <f t="shared" si="110"/>
        <v>0</v>
      </c>
      <c r="P29" s="10">
        <f t="shared" si="110"/>
        <v>0</v>
      </c>
      <c r="Q29" s="10">
        <f t="shared" si="110"/>
        <v>0</v>
      </c>
      <c r="R29" s="10">
        <f t="shared" si="110"/>
        <v>0</v>
      </c>
      <c r="S29" s="10">
        <f t="shared" si="110"/>
        <v>0</v>
      </c>
      <c r="T29" s="10">
        <f t="shared" si="110"/>
        <v>0</v>
      </c>
      <c r="U29" s="10">
        <f t="shared" si="110"/>
        <v>-56422</v>
      </c>
      <c r="V29" s="10">
        <f t="shared" si="110"/>
        <v>0</v>
      </c>
      <c r="W29" s="10">
        <f t="shared" si="110"/>
        <v>-19456</v>
      </c>
      <c r="X29" s="10">
        <f t="shared" si="110"/>
        <v>-15373</v>
      </c>
      <c r="Y29" s="10">
        <f t="shared" si="110"/>
        <v>3163</v>
      </c>
      <c r="Z29" s="10">
        <f t="shared" si="110"/>
        <v>0</v>
      </c>
      <c r="AA29" s="10">
        <f t="shared" si="110"/>
        <v>6936</v>
      </c>
      <c r="AB29" s="10">
        <f t="shared" si="110"/>
        <v>13658</v>
      </c>
      <c r="AC29" s="10"/>
      <c r="AD29" s="10">
        <f>AD16+AD28</f>
        <v>-131440</v>
      </c>
      <c r="AE29" s="10">
        <f t="shared" ref="AE29:AJ29" si="111">AE16+AE28</f>
        <v>-136864</v>
      </c>
      <c r="AF29" s="10">
        <f t="shared" si="111"/>
        <v>-146065</v>
      </c>
      <c r="AG29" s="10">
        <f t="shared" si="111"/>
        <v>-92529</v>
      </c>
      <c r="AH29" s="10">
        <f t="shared" si="111"/>
        <v>-142548</v>
      </c>
      <c r="AI29" s="10">
        <f t="shared" si="111"/>
        <v>-190112</v>
      </c>
      <c r="AJ29" s="10">
        <f t="shared" si="111"/>
        <v>-1995</v>
      </c>
    </row>
    <row r="30" spans="2:36" x14ac:dyDescent="0.25">
      <c r="B30" t="s">
        <v>133</v>
      </c>
      <c r="C30" s="9">
        <v>-192</v>
      </c>
      <c r="D30" s="9">
        <v>-236</v>
      </c>
      <c r="F30" s="9"/>
      <c r="G30" s="9">
        <v>-1</v>
      </c>
      <c r="H30" s="9">
        <v>-164</v>
      </c>
      <c r="I30" s="9">
        <v>-132</v>
      </c>
      <c r="J30" s="9">
        <v>-145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>
        <f>-6334+16245</f>
        <v>9911</v>
      </c>
      <c r="V30" s="9"/>
      <c r="W30" s="9">
        <f>-6387+30521</f>
        <v>24134</v>
      </c>
      <c r="X30" s="9">
        <f>36638-6444</f>
        <v>30194</v>
      </c>
      <c r="Y30" s="9">
        <f>-6503+40086</f>
        <v>33583</v>
      </c>
      <c r="Z30" s="9"/>
      <c r="AA30" s="9">
        <f>-6511+45850</f>
        <v>39339</v>
      </c>
      <c r="AB30" s="9">
        <f>51526-6549</f>
        <v>44977</v>
      </c>
      <c r="AC30" s="9"/>
      <c r="AD30" s="9">
        <v>-1648</v>
      </c>
      <c r="AE30" s="9">
        <v>-428</v>
      </c>
      <c r="AF30" s="9">
        <v>-442</v>
      </c>
      <c r="AG30" s="9">
        <v>-1559</v>
      </c>
      <c r="AH30" s="9">
        <f>-25231+3788</f>
        <v>-21443</v>
      </c>
      <c r="AI30" s="9">
        <f>-25319+52495</f>
        <v>27176</v>
      </c>
      <c r="AJ30" s="9">
        <f>-25756+148930</f>
        <v>123174</v>
      </c>
    </row>
    <row r="31" spans="2:36" x14ac:dyDescent="0.25">
      <c r="B31" t="s">
        <v>134</v>
      </c>
      <c r="C31" s="9">
        <v>-190</v>
      </c>
      <c r="D31" s="9">
        <v>-1852</v>
      </c>
      <c r="E31">
        <v>303</v>
      </c>
      <c r="F31">
        <v>321</v>
      </c>
      <c r="G31" s="9">
        <v>394</v>
      </c>
      <c r="H31" s="9">
        <v>-451</v>
      </c>
      <c r="I31" s="9">
        <v>3579</v>
      </c>
      <c r="J31" s="9">
        <v>3203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>
        <v>750</v>
      </c>
      <c r="V31" s="9"/>
      <c r="W31" s="9">
        <v>230</v>
      </c>
      <c r="X31" s="9">
        <v>-1734</v>
      </c>
      <c r="Y31" s="9">
        <v>-474</v>
      </c>
      <c r="Z31" s="9"/>
      <c r="AA31" s="9">
        <v>7656</v>
      </c>
      <c r="AB31" s="9">
        <v>-1031</v>
      </c>
      <c r="AC31" s="9"/>
      <c r="AD31" s="9">
        <v>-1473</v>
      </c>
      <c r="AE31" s="9">
        <v>-1418</v>
      </c>
      <c r="AF31" s="9">
        <v>6725</v>
      </c>
      <c r="AG31" s="9">
        <v>6219</v>
      </c>
      <c r="AH31" s="9">
        <v>3968</v>
      </c>
      <c r="AI31" s="9">
        <v>3053</v>
      </c>
      <c r="AJ31">
        <v>1638</v>
      </c>
    </row>
    <row r="32" spans="2:36" x14ac:dyDescent="0.25">
      <c r="B32" t="s">
        <v>135</v>
      </c>
      <c r="C32" s="9">
        <v>-121</v>
      </c>
      <c r="D32" s="9">
        <v>-362</v>
      </c>
      <c r="E32" s="9">
        <v>-535</v>
      </c>
      <c r="F32" s="9">
        <v>-349</v>
      </c>
      <c r="G32" s="9">
        <v>-595</v>
      </c>
      <c r="H32" s="9">
        <v>-635</v>
      </c>
      <c r="I32" s="9">
        <v>-434</v>
      </c>
      <c r="J32" s="9">
        <v>-333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>
        <v>-8870</v>
      </c>
      <c r="V32" s="9"/>
      <c r="W32" s="9">
        <v>-4409</v>
      </c>
      <c r="X32" s="9">
        <v>-4611</v>
      </c>
      <c r="Y32" s="9">
        <v>-9603</v>
      </c>
      <c r="Z32" s="9"/>
      <c r="AA32" s="9">
        <v>-7667</v>
      </c>
      <c r="AB32" s="9">
        <v>-10914</v>
      </c>
      <c r="AC32" s="9"/>
      <c r="AD32" s="9">
        <v>-929</v>
      </c>
      <c r="AE32" s="9">
        <v>-1367</v>
      </c>
      <c r="AF32" s="9">
        <v>-1997</v>
      </c>
      <c r="AG32" s="9">
        <v>-4760</v>
      </c>
      <c r="AH32" s="9">
        <v>-72355</v>
      </c>
      <c r="AI32" s="9">
        <v>-22402</v>
      </c>
      <c r="AJ32" s="9">
        <v>-32232</v>
      </c>
    </row>
    <row r="33" spans="2:149" x14ac:dyDescent="0.25">
      <c r="B33" s="3" t="s">
        <v>139</v>
      </c>
      <c r="C33" s="10">
        <f>SUM(C29:C32)</f>
        <v>-33617</v>
      </c>
      <c r="D33" s="10">
        <f t="shared" ref="D33:AB33" si="112">SUM(D29:D32)</f>
        <v>-32777</v>
      </c>
      <c r="E33" s="10">
        <f t="shared" si="112"/>
        <v>-42323</v>
      </c>
      <c r="F33" s="10">
        <f t="shared" si="112"/>
        <v>-31260</v>
      </c>
      <c r="G33" s="10">
        <f t="shared" si="112"/>
        <v>-24977</v>
      </c>
      <c r="H33" s="10">
        <f t="shared" si="112"/>
        <v>-51889</v>
      </c>
      <c r="I33" s="10">
        <f t="shared" si="112"/>
        <v>-35505</v>
      </c>
      <c r="J33" s="10">
        <f t="shared" si="112"/>
        <v>-28408</v>
      </c>
      <c r="K33" s="10">
        <f t="shared" si="112"/>
        <v>0</v>
      </c>
      <c r="L33" s="10">
        <f t="shared" si="112"/>
        <v>0</v>
      </c>
      <c r="M33" s="10">
        <f t="shared" si="112"/>
        <v>0</v>
      </c>
      <c r="N33" s="10">
        <f t="shared" si="112"/>
        <v>0</v>
      </c>
      <c r="O33" s="10">
        <f t="shared" si="112"/>
        <v>0</v>
      </c>
      <c r="P33" s="10">
        <f t="shared" si="112"/>
        <v>0</v>
      </c>
      <c r="Q33" s="10">
        <f t="shared" si="112"/>
        <v>0</v>
      </c>
      <c r="R33" s="10">
        <f t="shared" si="112"/>
        <v>0</v>
      </c>
      <c r="S33" s="10">
        <f t="shared" si="112"/>
        <v>0</v>
      </c>
      <c r="T33" s="10">
        <f t="shared" si="112"/>
        <v>0</v>
      </c>
      <c r="U33" s="10">
        <f t="shared" si="112"/>
        <v>-54631</v>
      </c>
      <c r="V33" s="10">
        <f t="shared" si="112"/>
        <v>0</v>
      </c>
      <c r="W33" s="10">
        <f t="shared" si="112"/>
        <v>499</v>
      </c>
      <c r="X33" s="10">
        <f t="shared" si="112"/>
        <v>8476</v>
      </c>
      <c r="Y33" s="10">
        <f t="shared" si="112"/>
        <v>26669</v>
      </c>
      <c r="Z33" s="10">
        <f t="shared" si="112"/>
        <v>0</v>
      </c>
      <c r="AA33" s="10">
        <f t="shared" si="112"/>
        <v>46264</v>
      </c>
      <c r="AB33" s="10">
        <f t="shared" si="112"/>
        <v>46690</v>
      </c>
      <c r="AC33" s="10"/>
      <c r="AD33" s="10">
        <f>SUM(AD29:AD32)</f>
        <v>-135490</v>
      </c>
      <c r="AE33" s="10">
        <f t="shared" ref="AE33:AJ33" si="113">SUM(AE29:AE32)</f>
        <v>-140077</v>
      </c>
      <c r="AF33" s="10">
        <f t="shared" si="113"/>
        <v>-141779</v>
      </c>
      <c r="AG33" s="10">
        <f t="shared" si="113"/>
        <v>-92629</v>
      </c>
      <c r="AH33" s="10">
        <f t="shared" si="113"/>
        <v>-232378</v>
      </c>
      <c r="AI33" s="10">
        <f t="shared" si="113"/>
        <v>-182285</v>
      </c>
      <c r="AJ33" s="10">
        <f t="shared" si="113"/>
        <v>90585</v>
      </c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</row>
    <row r="34" spans="2:149" s="16" customFormat="1" ht="12" x14ac:dyDescent="0.2">
      <c r="B34" s="17" t="s">
        <v>149</v>
      </c>
      <c r="C34" s="18"/>
      <c r="D34" s="19">
        <f>(D33-C33)/ABS(C33)</f>
        <v>2.4987357586935183E-2</v>
      </c>
      <c r="E34" s="19">
        <f t="shared" ref="E34:AJ34" si="114">(E33-D33)/ABS(D33)</f>
        <v>-0.29124080910394484</v>
      </c>
      <c r="F34" s="19">
        <f t="shared" si="114"/>
        <v>0.26139451362143518</v>
      </c>
      <c r="G34" s="19">
        <f t="shared" si="114"/>
        <v>0.20099168266154829</v>
      </c>
      <c r="H34" s="19">
        <f t="shared" si="114"/>
        <v>-1.077471273571686</v>
      </c>
      <c r="I34" s="19">
        <f t="shared" si="114"/>
        <v>0.31575092986952918</v>
      </c>
      <c r="J34" s="19">
        <f t="shared" si="114"/>
        <v>0.1998873398112942</v>
      </c>
      <c r="K34" s="19">
        <f t="shared" ref="K34" si="115">(K33-J33)/ABS(J33)</f>
        <v>1</v>
      </c>
      <c r="L34" s="19" t="e">
        <f t="shared" ref="L34" si="116">(L33-K33)/ABS(K33)</f>
        <v>#DIV/0!</v>
      </c>
      <c r="M34" s="19" t="e">
        <f t="shared" ref="M34" si="117">(M33-L33)/ABS(L33)</f>
        <v>#DIV/0!</v>
      </c>
      <c r="N34" s="19" t="e">
        <f t="shared" ref="N34" si="118">(N33-M33)/ABS(M33)</f>
        <v>#DIV/0!</v>
      </c>
      <c r="O34" s="19" t="e">
        <f t="shared" ref="O34" si="119">(O33-N33)/ABS(N33)</f>
        <v>#DIV/0!</v>
      </c>
      <c r="P34" s="19" t="e">
        <f t="shared" ref="P34" si="120">(P33-O33)/ABS(O33)</f>
        <v>#DIV/0!</v>
      </c>
      <c r="Q34" s="19" t="e">
        <f t="shared" ref="Q34" si="121">(Q33-P33)/ABS(P33)</f>
        <v>#DIV/0!</v>
      </c>
      <c r="R34" s="19" t="e">
        <f t="shared" ref="R34" si="122">(R33-Q33)/ABS(Q33)</f>
        <v>#DIV/0!</v>
      </c>
      <c r="S34" s="19" t="e">
        <f t="shared" ref="S34" si="123">(S33-R33)/ABS(R33)</f>
        <v>#DIV/0!</v>
      </c>
      <c r="T34" s="19" t="e">
        <f t="shared" ref="T34" si="124">(T33-S33)/ABS(S33)</f>
        <v>#DIV/0!</v>
      </c>
      <c r="U34" s="19" t="e">
        <f t="shared" ref="U34" si="125">(U33-T33)/ABS(T33)</f>
        <v>#DIV/0!</v>
      </c>
      <c r="V34" s="19">
        <f t="shared" ref="V34" si="126">(V33-U33)/ABS(U33)</f>
        <v>1</v>
      </c>
      <c r="W34" s="19" t="e">
        <f t="shared" ref="W34" si="127">(W33-V33)/ABS(V33)</f>
        <v>#DIV/0!</v>
      </c>
      <c r="X34" s="19">
        <f t="shared" ref="X34" si="128">(X33-W33)/ABS(W33)</f>
        <v>15.985971943887776</v>
      </c>
      <c r="Y34" s="19">
        <f t="shared" ref="Y34" si="129">(Y33-X33)/ABS(X33)</f>
        <v>2.1464134025483719</v>
      </c>
      <c r="Z34" s="19">
        <f t="shared" ref="Z34" si="130">(Z33-Y33)/ABS(Y33)</f>
        <v>-1</v>
      </c>
      <c r="AA34" s="19" t="e">
        <f t="shared" ref="AA34" si="131">(AA33-Z33)/ABS(Z33)</f>
        <v>#DIV/0!</v>
      </c>
      <c r="AB34" s="19">
        <f t="shared" ref="AB34" si="132">(AB33-AA33)/ABS(AA33)</f>
        <v>9.2080235172056022E-3</v>
      </c>
      <c r="AC34" s="19"/>
      <c r="AD34" s="19"/>
      <c r="AE34" s="19">
        <f t="shared" si="114"/>
        <v>-3.3854897040371985E-2</v>
      </c>
      <c r="AF34" s="19">
        <f t="shared" si="114"/>
        <v>-1.215046010408561E-2</v>
      </c>
      <c r="AG34" s="19">
        <f t="shared" si="114"/>
        <v>0.34666629049436093</v>
      </c>
      <c r="AH34" s="19">
        <f t="shared" si="114"/>
        <v>-1.5086959807403728</v>
      </c>
      <c r="AI34" s="19">
        <f t="shared" si="114"/>
        <v>0.2155668781037792</v>
      </c>
      <c r="AJ34" s="19">
        <f t="shared" si="114"/>
        <v>1.4969416024357463</v>
      </c>
    </row>
    <row r="35" spans="2:149" x14ac:dyDescent="0.25">
      <c r="B35" t="s">
        <v>143</v>
      </c>
      <c r="AD35" s="9">
        <v>22826</v>
      </c>
      <c r="AE35" s="9">
        <v>63179</v>
      </c>
      <c r="AF35" s="9">
        <v>88408</v>
      </c>
      <c r="AG35" s="5">
        <v>264798</v>
      </c>
      <c r="AH35" s="9">
        <v>1918608</v>
      </c>
      <c r="AI35" s="9">
        <v>1996633</v>
      </c>
      <c r="AJ35" s="9">
        <v>2456924</v>
      </c>
    </row>
    <row r="36" spans="2:149" x14ac:dyDescent="0.25">
      <c r="B36" t="s">
        <v>144</v>
      </c>
      <c r="AD36" s="9">
        <v>63179</v>
      </c>
      <c r="AE36" s="9">
        <v>88408</v>
      </c>
      <c r="AF36" s="5">
        <v>264798</v>
      </c>
      <c r="AG36">
        <v>1918608</v>
      </c>
      <c r="AH36" s="9">
        <v>1996633</v>
      </c>
      <c r="AI36" s="9">
        <v>2456924</v>
      </c>
      <c r="AJ36" s="9">
        <v>3377597</v>
      </c>
      <c r="AK36" s="21">
        <f>AJ36*1.03</f>
        <v>3478924.91</v>
      </c>
      <c r="AL36" s="21">
        <f t="shared" ref="AL36:CW36" si="133">AK36*1.03</f>
        <v>3583292.6573000001</v>
      </c>
      <c r="AM36" s="21">
        <f t="shared" si="133"/>
        <v>3690791.4370190003</v>
      </c>
      <c r="AN36" s="21">
        <f t="shared" si="133"/>
        <v>3801515.1801295704</v>
      </c>
      <c r="AO36" s="21">
        <f t="shared" si="133"/>
        <v>3915560.6355334576</v>
      </c>
      <c r="AP36" s="21">
        <f t="shared" si="133"/>
        <v>4033027.4545994615</v>
      </c>
      <c r="AQ36" s="21">
        <f t="shared" si="133"/>
        <v>4154018.2782374453</v>
      </c>
      <c r="AR36" s="21">
        <f t="shared" si="133"/>
        <v>4278638.8265845692</v>
      </c>
      <c r="AS36" s="21">
        <f t="shared" si="133"/>
        <v>4406997.9913821062</v>
      </c>
      <c r="AT36" s="21">
        <f t="shared" si="133"/>
        <v>4539207.9311235696</v>
      </c>
      <c r="AU36" s="21">
        <f t="shared" si="133"/>
        <v>4675384.169057277</v>
      </c>
      <c r="AV36" s="21">
        <f t="shared" si="133"/>
        <v>4815645.6941289958</v>
      </c>
      <c r="AW36" s="21">
        <f t="shared" si="133"/>
        <v>4960115.0649528662</v>
      </c>
      <c r="AX36" s="21">
        <f t="shared" si="133"/>
        <v>5108918.5169014521</v>
      </c>
      <c r="AY36" s="21">
        <f t="shared" si="133"/>
        <v>5262186.0724084955</v>
      </c>
      <c r="AZ36" s="21">
        <f t="shared" si="133"/>
        <v>5420051.6545807505</v>
      </c>
      <c r="BA36" s="21">
        <f t="shared" si="133"/>
        <v>5582653.2042181734</v>
      </c>
      <c r="BB36" s="21">
        <f t="shared" si="133"/>
        <v>5750132.8003447186</v>
      </c>
      <c r="BC36" s="21">
        <f t="shared" si="133"/>
        <v>5922636.7843550602</v>
      </c>
      <c r="BD36" s="21">
        <f t="shared" si="133"/>
        <v>6100315.8878857121</v>
      </c>
      <c r="BE36" s="21">
        <f t="shared" si="133"/>
        <v>6283325.3645222839</v>
      </c>
      <c r="BF36" s="21">
        <f t="shared" si="133"/>
        <v>6471825.1254579527</v>
      </c>
      <c r="BG36" s="21">
        <f t="shared" si="133"/>
        <v>6665979.8792216917</v>
      </c>
      <c r="BH36" s="21">
        <f t="shared" si="133"/>
        <v>6865959.2755983425</v>
      </c>
      <c r="BI36" s="21">
        <f t="shared" si="133"/>
        <v>7071938.0538662933</v>
      </c>
      <c r="BJ36" s="21">
        <f t="shared" si="133"/>
        <v>7284096.195482282</v>
      </c>
      <c r="BK36" s="21">
        <f t="shared" si="133"/>
        <v>7502619.0813467503</v>
      </c>
      <c r="BL36" s="21">
        <f t="shared" si="133"/>
        <v>7727697.6537871528</v>
      </c>
      <c r="BM36" s="21">
        <f t="shared" si="133"/>
        <v>7959528.5834007673</v>
      </c>
      <c r="BN36" s="21">
        <f t="shared" si="133"/>
        <v>8198314.440902791</v>
      </c>
      <c r="BO36" s="21">
        <f t="shared" si="133"/>
        <v>8444263.8741298746</v>
      </c>
      <c r="BP36" s="21">
        <f t="shared" si="133"/>
        <v>8697591.7903537713</v>
      </c>
      <c r="BQ36" s="21">
        <f t="shared" si="133"/>
        <v>8958519.544064384</v>
      </c>
      <c r="BR36" s="21">
        <f t="shared" si="133"/>
        <v>9227275.1303863153</v>
      </c>
      <c r="BS36" s="21">
        <f t="shared" si="133"/>
        <v>9504093.3842979055</v>
      </c>
      <c r="BT36" s="21">
        <f t="shared" si="133"/>
        <v>9789216.1858268436</v>
      </c>
      <c r="BU36" s="21">
        <f t="shared" si="133"/>
        <v>10082892.67140165</v>
      </c>
      <c r="BV36" s="21">
        <f t="shared" si="133"/>
        <v>10385379.4515437</v>
      </c>
      <c r="BW36" s="21">
        <f t="shared" si="133"/>
        <v>10696940.835090011</v>
      </c>
      <c r="BX36" s="21">
        <f t="shared" si="133"/>
        <v>11017849.060142713</v>
      </c>
      <c r="BY36" s="21">
        <f t="shared" si="133"/>
        <v>11348384.531946994</v>
      </c>
      <c r="BZ36" s="21">
        <f t="shared" si="133"/>
        <v>11688836.067905404</v>
      </c>
      <c r="CA36" s="21">
        <f t="shared" si="133"/>
        <v>12039501.149942566</v>
      </c>
      <c r="CB36" s="21">
        <f t="shared" si="133"/>
        <v>12400686.184440844</v>
      </c>
      <c r="CC36" s="21">
        <f t="shared" si="133"/>
        <v>12772706.76997407</v>
      </c>
      <c r="CD36" s="21">
        <f t="shared" si="133"/>
        <v>13155887.973073293</v>
      </c>
      <c r="CE36" s="21">
        <f t="shared" si="133"/>
        <v>13550564.612265492</v>
      </c>
      <c r="CF36" s="21">
        <f t="shared" si="133"/>
        <v>13957081.550633457</v>
      </c>
      <c r="CG36" s="21">
        <f t="shared" si="133"/>
        <v>14375793.997152461</v>
      </c>
      <c r="CH36" s="21">
        <f t="shared" si="133"/>
        <v>14807067.817067035</v>
      </c>
      <c r="CI36" s="21">
        <f t="shared" si="133"/>
        <v>15251279.851579046</v>
      </c>
      <c r="CJ36" s="21">
        <f t="shared" si="133"/>
        <v>15708818.247126417</v>
      </c>
      <c r="CK36" s="21">
        <f t="shared" si="133"/>
        <v>16180082.79454021</v>
      </c>
      <c r="CL36" s="21">
        <f t="shared" si="133"/>
        <v>16665485.278376417</v>
      </c>
      <c r="CM36" s="21">
        <f t="shared" si="133"/>
        <v>17165449.836727709</v>
      </c>
      <c r="CN36" s="21">
        <f t="shared" si="133"/>
        <v>17680413.33182954</v>
      </c>
      <c r="CO36" s="21">
        <f t="shared" si="133"/>
        <v>18210825.731784426</v>
      </c>
      <c r="CP36" s="21">
        <f t="shared" si="133"/>
        <v>18757150.50373796</v>
      </c>
      <c r="CQ36" s="21">
        <f t="shared" si="133"/>
        <v>19319865.018850099</v>
      </c>
      <c r="CR36" s="21">
        <f t="shared" si="133"/>
        <v>19899460.969415601</v>
      </c>
      <c r="CS36" s="21">
        <f t="shared" si="133"/>
        <v>20496444.798498072</v>
      </c>
      <c r="CT36" s="21">
        <f t="shared" si="133"/>
        <v>21111338.142453015</v>
      </c>
      <c r="CU36" s="21">
        <f t="shared" si="133"/>
        <v>21744678.286726605</v>
      </c>
      <c r="CV36" s="21">
        <f t="shared" si="133"/>
        <v>22397018.635328405</v>
      </c>
      <c r="CW36" s="21">
        <f t="shared" si="133"/>
        <v>23068929.194388255</v>
      </c>
      <c r="CX36" s="21">
        <f t="shared" ref="CX36:DD36" si="134">CW36*1.03</f>
        <v>23760997.070219904</v>
      </c>
      <c r="CY36" s="21">
        <f t="shared" si="134"/>
        <v>24473826.9823265</v>
      </c>
      <c r="CZ36" s="21">
        <f t="shared" si="134"/>
        <v>25208041.791796297</v>
      </c>
      <c r="DA36" s="21">
        <f t="shared" si="134"/>
        <v>25964283.045550186</v>
      </c>
      <c r="DB36" s="21">
        <f t="shared" si="134"/>
        <v>26743211.536916692</v>
      </c>
      <c r="DC36" s="21">
        <f t="shared" si="134"/>
        <v>27545507.883024193</v>
      </c>
      <c r="DD36" s="21">
        <f t="shared" si="134"/>
        <v>28371873.11951492</v>
      </c>
    </row>
    <row r="37" spans="2:149" x14ac:dyDescent="0.25">
      <c r="B37" t="s">
        <v>150</v>
      </c>
      <c r="AD37" s="9">
        <f>AD36-AD35</f>
        <v>40353</v>
      </c>
      <c r="AE37" s="9">
        <f>AE36-AE35</f>
        <v>25229</v>
      </c>
      <c r="AF37" s="9">
        <f t="shared" ref="AF37:AJ37" si="135">AF36-AF35</f>
        <v>176390</v>
      </c>
      <c r="AG37" s="9">
        <f t="shared" si="135"/>
        <v>1653810</v>
      </c>
      <c r="AH37" s="9">
        <f t="shared" si="135"/>
        <v>78025</v>
      </c>
      <c r="AI37" s="9">
        <f t="shared" si="135"/>
        <v>460291</v>
      </c>
      <c r="AJ37" s="9">
        <f t="shared" si="135"/>
        <v>920673</v>
      </c>
    </row>
    <row r="38" spans="2:149" x14ac:dyDescent="0.25">
      <c r="AL38" t="s">
        <v>157</v>
      </c>
      <c r="AM38" s="8">
        <v>0.08</v>
      </c>
    </row>
    <row r="39" spans="2:149" x14ac:dyDescent="0.25">
      <c r="AL39" t="s">
        <v>158</v>
      </c>
      <c r="AM39" s="8">
        <v>0.05</v>
      </c>
    </row>
    <row r="40" spans="2:149" x14ac:dyDescent="0.25">
      <c r="AL40" t="s">
        <v>159</v>
      </c>
      <c r="AM40" s="20">
        <f>NPV(AM38,AD36:DD36)+Sheet1!I7-Sheet1!I8</f>
        <v>46671615.554605067</v>
      </c>
    </row>
    <row r="41" spans="2:149" x14ac:dyDescent="0.25">
      <c r="AL41" t="s">
        <v>160</v>
      </c>
      <c r="AM41" s="20">
        <f>AM40/Sheet1!I5</f>
        <v>192.06426154158464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2024-08-24T17:11:53Z</dcterms:created>
  <dcterms:modified xsi:type="dcterms:W3CDTF">2024-08-31T02:36:24Z</dcterms:modified>
</cp:coreProperties>
</file>