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D97BBF54-84C9-4A38-8074-213F8A07D8E3}" xr6:coauthVersionLast="47" xr6:coauthVersionMax="47" xr10:uidLastSave="{00000000-0000-0000-0000-000000000000}"/>
  <bookViews>
    <workbookView xWindow="-105" yWindow="0" windowWidth="200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J21" i="2"/>
  <c r="D21" i="2" l="1"/>
  <c r="E21" i="2"/>
  <c r="F21" i="2"/>
  <c r="G21" i="2"/>
  <c r="H21" i="2"/>
  <c r="I21" i="2"/>
  <c r="C21" i="2"/>
  <c r="R33" i="2"/>
  <c r="R21" i="2"/>
  <c r="R38" i="2" l="1"/>
  <c r="N16" i="2"/>
  <c r="O16" i="2"/>
  <c r="P16" i="2"/>
  <c r="Q16" i="2"/>
  <c r="M16" i="2"/>
  <c r="N14" i="2"/>
  <c r="O14" i="2"/>
  <c r="P14" i="2"/>
  <c r="Q14" i="2"/>
  <c r="M14" i="2"/>
  <c r="N12" i="2"/>
  <c r="O12" i="2"/>
  <c r="P12" i="2"/>
  <c r="Q12" i="2"/>
  <c r="M12" i="2"/>
  <c r="N8" i="2"/>
  <c r="O8" i="2"/>
  <c r="P8" i="2"/>
  <c r="Q8" i="2"/>
  <c r="M8" i="2"/>
  <c r="M21" i="2"/>
  <c r="M24" i="2" s="1"/>
  <c r="M25" i="2" s="1"/>
  <c r="N21" i="2"/>
  <c r="N9" i="2" s="1"/>
  <c r="L21" i="2"/>
  <c r="L24" i="2" s="1"/>
  <c r="L25" i="2" s="1"/>
  <c r="O21" i="2"/>
  <c r="O9" i="2" s="1"/>
  <c r="P21" i="2"/>
  <c r="P9" i="2" s="1"/>
  <c r="Q21" i="2"/>
  <c r="Q9" i="2" s="1"/>
  <c r="I5" i="1"/>
  <c r="S38" i="2" l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L9" i="2"/>
  <c r="M9" i="2"/>
  <c r="U44" i="2" l="1"/>
  <c r="U45" i="2" s="1"/>
  <c r="U46" i="2" s="1"/>
  <c r="M33" i="2" l="1"/>
  <c r="N33" i="2"/>
  <c r="O33" i="2"/>
  <c r="P33" i="2"/>
  <c r="Q33" i="2"/>
  <c r="L33" i="2"/>
  <c r="N28" i="2"/>
  <c r="O28" i="2"/>
  <c r="P28" i="2"/>
  <c r="Q28" i="2"/>
  <c r="M28" i="2"/>
  <c r="N39" i="2"/>
  <c r="O39" i="2"/>
  <c r="M39" i="2"/>
  <c r="N22" i="2"/>
  <c r="O22" i="2"/>
  <c r="M22" i="2"/>
  <c r="N24" i="2"/>
  <c r="N25" i="2" s="1"/>
  <c r="M3" i="2"/>
  <c r="N3" i="2" s="1"/>
  <c r="O3" i="2" s="1"/>
  <c r="P3" i="2" s="1"/>
  <c r="Q3" i="2" s="1"/>
  <c r="Q39" i="2"/>
  <c r="P39" i="2"/>
  <c r="P24" i="2"/>
  <c r="P25" i="2" s="1"/>
  <c r="Q24" i="2"/>
  <c r="Q25" i="2" s="1"/>
  <c r="O24" i="2"/>
  <c r="O25" i="2" s="1"/>
  <c r="Q22" i="2"/>
  <c r="P22" i="2"/>
  <c r="I4" i="1"/>
  <c r="I7" i="1" s="1"/>
  <c r="M34" i="2" l="1"/>
  <c r="M41" i="2"/>
  <c r="O35" i="2"/>
  <c r="P34" i="2"/>
  <c r="Q34" i="2"/>
  <c r="Q35" i="2"/>
  <c r="N34" i="2"/>
  <c r="O34" i="2"/>
  <c r="L35" i="2"/>
  <c r="N35" i="2"/>
  <c r="O36" i="2" s="1"/>
  <c r="M35" i="2"/>
  <c r="P35" i="2"/>
  <c r="P36" i="2" s="1"/>
  <c r="M36" i="2" l="1"/>
  <c r="N36" i="2"/>
  <c r="Q36" i="2"/>
</calcChain>
</file>

<file path=xl/sharedStrings.xml><?xml version="1.0" encoding="utf-8"?>
<sst xmlns="http://schemas.openxmlformats.org/spreadsheetml/2006/main" count="98" uniqueCount="98">
  <si>
    <t>Electronic Arts</t>
  </si>
  <si>
    <t>Price</t>
  </si>
  <si>
    <t>Shares</t>
  </si>
  <si>
    <t>MC</t>
  </si>
  <si>
    <t>Cash</t>
  </si>
  <si>
    <t>Debt</t>
  </si>
  <si>
    <t>EV</t>
  </si>
  <si>
    <t>numbers in millions</t>
  </si>
  <si>
    <t>CEO</t>
  </si>
  <si>
    <t>Founded</t>
  </si>
  <si>
    <t>Andrew Wilson</t>
  </si>
  <si>
    <t>Overview</t>
  </si>
  <si>
    <t>"Digital interactive entertainment"</t>
  </si>
  <si>
    <t xml:space="preserve">portfolio of IP, create innovative games and experiences that deliver high-quality interactive enteratinment and drive engagement </t>
  </si>
  <si>
    <t xml:space="preserve">wholly own and also license other IP fromm others </t>
  </si>
  <si>
    <t>Employees</t>
  </si>
  <si>
    <t>EVP &amp; CFO</t>
  </si>
  <si>
    <t>President</t>
  </si>
  <si>
    <t>CPO</t>
  </si>
  <si>
    <t>EVP, CLO, CS</t>
  </si>
  <si>
    <t>SVP, CAO</t>
  </si>
  <si>
    <t>Stuart Canfield</t>
  </si>
  <si>
    <t>Laura Miele</t>
  </si>
  <si>
    <t>Mala Singh</t>
  </si>
  <si>
    <t>Jacob Schatz</t>
  </si>
  <si>
    <t>Eric Kelly</t>
  </si>
  <si>
    <t>Age:</t>
  </si>
  <si>
    <t>Net Revenue</t>
  </si>
  <si>
    <t># in millions</t>
  </si>
  <si>
    <t>Cost of Revenue</t>
  </si>
  <si>
    <t>Gross Profit</t>
  </si>
  <si>
    <t>Operating Expenses:</t>
  </si>
  <si>
    <t>R&amp;D</t>
  </si>
  <si>
    <t>M&amp;S</t>
  </si>
  <si>
    <t>G&amp;A</t>
  </si>
  <si>
    <t>Amortization</t>
  </si>
  <si>
    <t>Restructing</t>
  </si>
  <si>
    <t>Total Operating Expenses</t>
  </si>
  <si>
    <t>Operating Income</t>
  </si>
  <si>
    <t>Net Income</t>
  </si>
  <si>
    <t>Provisoin for (benefit from) income taxes</t>
  </si>
  <si>
    <t>Revenue by composition:</t>
  </si>
  <si>
    <t>Full Game downloads</t>
  </si>
  <si>
    <t>packaged goods</t>
  </si>
  <si>
    <t>live services + other</t>
  </si>
  <si>
    <t>live services + other % of total rev</t>
  </si>
  <si>
    <t>live services % growth</t>
  </si>
  <si>
    <t>Revenue by platform:</t>
  </si>
  <si>
    <t>Console</t>
  </si>
  <si>
    <t>PC &amp; other</t>
  </si>
  <si>
    <t>Mobile</t>
  </si>
  <si>
    <t>Revenue by region:</t>
  </si>
  <si>
    <t>North America</t>
  </si>
  <si>
    <t>International</t>
  </si>
  <si>
    <t>Discount Rate</t>
  </si>
  <si>
    <t>Terminal Rate</t>
  </si>
  <si>
    <t>NPV</t>
  </si>
  <si>
    <t>Share Price</t>
  </si>
  <si>
    <t>Apex Legends</t>
  </si>
  <si>
    <t>Battlefield</t>
  </si>
  <si>
    <t>Command and Conquer</t>
  </si>
  <si>
    <t>FIFA</t>
  </si>
  <si>
    <t>Moving to EA FC in FY2024</t>
  </si>
  <si>
    <t>Ultimate Team revenue substantial portion</t>
  </si>
  <si>
    <t>FIFA Mobile, FIFA Online</t>
  </si>
  <si>
    <t>Formula 1</t>
  </si>
  <si>
    <t>Grid Legends</t>
  </si>
  <si>
    <t>It Takes Two</t>
  </si>
  <si>
    <t>Lost in Random</t>
  </si>
  <si>
    <t>Madden</t>
  </si>
  <si>
    <t>Mass Effect</t>
  </si>
  <si>
    <t>Medal of Honor</t>
  </si>
  <si>
    <t>Need for Speed Hot Pursuit</t>
  </si>
  <si>
    <t>NHL</t>
  </si>
  <si>
    <t>Rocket Arena</t>
  </si>
  <si>
    <t>The Sims</t>
  </si>
  <si>
    <t>Substantial live services revenue</t>
  </si>
  <si>
    <t>Star Wars Squadrons</t>
  </si>
  <si>
    <t>UFC 4</t>
  </si>
  <si>
    <t>Glu Mobile - 2.0B</t>
  </si>
  <si>
    <t>Playdemic - 1.4B</t>
  </si>
  <si>
    <t>Golf Clash</t>
  </si>
  <si>
    <t xml:space="preserve">Upside </t>
  </si>
  <si>
    <t>Gross Margin</t>
  </si>
  <si>
    <t>College Football 25</t>
  </si>
  <si>
    <t>Extra content substantial revenue: since release in 2019, $3.4B in lifetime net bookings</t>
  </si>
  <si>
    <t>The Sims 4: 85m+ players since 2014</t>
  </si>
  <si>
    <t>Fiscal Year ended MArch 31</t>
  </si>
  <si>
    <t>FYQ424</t>
  </si>
  <si>
    <t>FYQ324</t>
  </si>
  <si>
    <t>FYQ224</t>
  </si>
  <si>
    <t>FYQ124</t>
  </si>
  <si>
    <t>FYQ423</t>
  </si>
  <si>
    <t>FYQ323</t>
  </si>
  <si>
    <t>Battlefield Franchise Users</t>
  </si>
  <si>
    <t>Net Bookings</t>
  </si>
  <si>
    <t>FQ125</t>
  </si>
  <si>
    <t>FQ225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</si>
</sst>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_);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8" fontId="0" fillId="0" borderId="0" xfId="0" applyNumberFormat="1"/>
    <xf numFmtId="0" fontId="2" fillId="0" borderId="0" xfId="0" applyFont="1"/>
    <xf numFmtId="9" fontId="0" fillId="0" borderId="0" xfId="1" applyFont="1"/>
    <xf numFmtId="164" fontId="0" fillId="0" borderId="0" xfId="0" applyNumberFormat="1"/>
    <xf numFmtId="164" fontId="2" fillId="0" borderId="0" xfId="0" applyNumberFormat="1" applyFont="1"/>
    <xf numFmtId="9" fontId="0" fillId="0" borderId="0" xfId="0" applyNumberFormat="1"/>
    <xf numFmtId="0" fontId="2" fillId="2" borderId="0" xfId="0" applyFont="1" applyFill="1"/>
    <xf numFmtId="9" fontId="0" fillId="2" borderId="0" xfId="0" applyNumberFormat="1" applyFill="1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YQ!@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6"/>
  <sheetViews>
    <sheetView workbookViewId="0">
      <selection activeCell="C39" sqref="C39"/>
    </sheetView>
  </sheetViews>
  <sheetFormatPr defaultRowHeight="15" x14ac:dyDescent="0.25"/>
  <cols>
    <col min="2" max="2" width="12" bestFit="1" customWidth="1"/>
    <col min="3" max="3" width="14.7109375" bestFit="1" customWidth="1"/>
    <col min="9" max="9" width="10.85546875" bestFit="1" customWidth="1"/>
  </cols>
  <sheetData>
    <row r="1" spans="2:11" x14ac:dyDescent="0.25">
      <c r="K1" t="s">
        <v>7</v>
      </c>
    </row>
    <row r="2" spans="2:11" x14ac:dyDescent="0.25">
      <c r="B2" s="2" t="s">
        <v>0</v>
      </c>
      <c r="H2" s="2" t="s">
        <v>1</v>
      </c>
      <c r="I2" s="1">
        <v>145.91</v>
      </c>
    </row>
    <row r="3" spans="2:11" x14ac:dyDescent="0.25">
      <c r="H3" s="2" t="s">
        <v>2</v>
      </c>
      <c r="I3">
        <v>266</v>
      </c>
    </row>
    <row r="4" spans="2:11" x14ac:dyDescent="0.25">
      <c r="B4" s="2" t="s">
        <v>15</v>
      </c>
      <c r="C4">
        <v>13700</v>
      </c>
      <c r="H4" s="2" t="s">
        <v>3</v>
      </c>
      <c r="I4" s="4">
        <f>I3*I2</f>
        <v>38812.06</v>
      </c>
    </row>
    <row r="5" spans="2:11" x14ac:dyDescent="0.25">
      <c r="B5" s="2" t="s">
        <v>9</v>
      </c>
      <c r="C5">
        <v>1982</v>
      </c>
      <c r="H5" s="2" t="s">
        <v>4</v>
      </c>
      <c r="I5">
        <f>2900+362</f>
        <v>3262</v>
      </c>
    </row>
    <row r="6" spans="2:11" x14ac:dyDescent="0.25">
      <c r="B6" s="2" t="s">
        <v>11</v>
      </c>
      <c r="C6" t="s">
        <v>12</v>
      </c>
      <c r="H6" s="2" t="s">
        <v>5</v>
      </c>
      <c r="I6">
        <v>3090</v>
      </c>
    </row>
    <row r="7" spans="2:11" x14ac:dyDescent="0.25">
      <c r="B7" s="2"/>
      <c r="D7" s="2" t="s">
        <v>26</v>
      </c>
      <c r="H7" s="2" t="s">
        <v>6</v>
      </c>
      <c r="I7" s="4">
        <f>I4-I5+I6</f>
        <v>38640.06</v>
      </c>
    </row>
    <row r="8" spans="2:11" x14ac:dyDescent="0.25">
      <c r="B8" s="2" t="s">
        <v>8</v>
      </c>
      <c r="C8" s="3" t="s">
        <v>10</v>
      </c>
      <c r="D8">
        <v>49</v>
      </c>
      <c r="H8" s="2"/>
    </row>
    <row r="9" spans="2:11" x14ac:dyDescent="0.25">
      <c r="B9" s="2" t="s">
        <v>16</v>
      </c>
      <c r="C9" t="s">
        <v>21</v>
      </c>
      <c r="D9">
        <v>45</v>
      </c>
      <c r="H9" s="2"/>
    </row>
    <row r="10" spans="2:11" x14ac:dyDescent="0.25">
      <c r="B10" s="2" t="s">
        <v>17</v>
      </c>
      <c r="C10" t="s">
        <v>22</v>
      </c>
      <c r="D10">
        <v>54</v>
      </c>
      <c r="H10" s="2"/>
    </row>
    <row r="11" spans="2:11" x14ac:dyDescent="0.25">
      <c r="B11" s="2" t="s">
        <v>18</v>
      </c>
      <c r="C11" t="s">
        <v>23</v>
      </c>
      <c r="D11">
        <v>53</v>
      </c>
      <c r="H11" s="2"/>
    </row>
    <row r="12" spans="2:11" x14ac:dyDescent="0.25">
      <c r="B12" s="2" t="s">
        <v>19</v>
      </c>
      <c r="C12" t="s">
        <v>24</v>
      </c>
      <c r="D12">
        <v>55</v>
      </c>
    </row>
    <row r="13" spans="2:11" x14ac:dyDescent="0.25">
      <c r="B13" s="2" t="s">
        <v>20</v>
      </c>
      <c r="C13" t="s">
        <v>25</v>
      </c>
      <c r="D13">
        <v>52</v>
      </c>
    </row>
    <row r="14" spans="2:11" x14ac:dyDescent="0.25">
      <c r="B14" s="2"/>
    </row>
    <row r="16" spans="2:11" x14ac:dyDescent="0.25">
      <c r="B16" t="s">
        <v>13</v>
      </c>
    </row>
    <row r="17" spans="2:3" x14ac:dyDescent="0.25">
      <c r="B17" t="s">
        <v>14</v>
      </c>
    </row>
    <row r="19" spans="2:3" x14ac:dyDescent="0.25">
      <c r="B19" t="s">
        <v>58</v>
      </c>
    </row>
    <row r="20" spans="2:3" x14ac:dyDescent="0.25">
      <c r="C20" t="s">
        <v>85</v>
      </c>
    </row>
    <row r="21" spans="2:3" x14ac:dyDescent="0.25">
      <c r="B21" t="s">
        <v>59</v>
      </c>
    </row>
    <row r="22" spans="2:3" x14ac:dyDescent="0.25">
      <c r="B22" t="s">
        <v>60</v>
      </c>
    </row>
    <row r="23" spans="2:3" x14ac:dyDescent="0.25">
      <c r="B23" t="s">
        <v>61</v>
      </c>
    </row>
    <row r="24" spans="2:3" x14ac:dyDescent="0.25">
      <c r="C24" t="s">
        <v>62</v>
      </c>
    </row>
    <row r="25" spans="2:3" x14ac:dyDescent="0.25">
      <c r="C25" t="s">
        <v>63</v>
      </c>
    </row>
    <row r="26" spans="2:3" x14ac:dyDescent="0.25">
      <c r="C26" t="s">
        <v>64</v>
      </c>
    </row>
    <row r="27" spans="2:3" x14ac:dyDescent="0.25">
      <c r="B27" t="s">
        <v>65</v>
      </c>
    </row>
    <row r="28" spans="2:3" x14ac:dyDescent="0.25">
      <c r="B28" t="s">
        <v>66</v>
      </c>
    </row>
    <row r="29" spans="2:3" x14ac:dyDescent="0.25">
      <c r="B29" t="s">
        <v>67</v>
      </c>
    </row>
    <row r="30" spans="2:3" x14ac:dyDescent="0.25">
      <c r="B30" t="s">
        <v>68</v>
      </c>
    </row>
    <row r="31" spans="2:3" x14ac:dyDescent="0.25">
      <c r="B31" t="s">
        <v>69</v>
      </c>
    </row>
    <row r="32" spans="2:3" x14ac:dyDescent="0.25">
      <c r="B32" t="s">
        <v>84</v>
      </c>
    </row>
    <row r="33" spans="2:3" x14ac:dyDescent="0.25">
      <c r="B33" t="s">
        <v>70</v>
      </c>
    </row>
    <row r="34" spans="2:3" x14ac:dyDescent="0.25">
      <c r="B34" t="s">
        <v>71</v>
      </c>
    </row>
    <row r="35" spans="2:3" x14ac:dyDescent="0.25">
      <c r="B35" t="s">
        <v>72</v>
      </c>
    </row>
    <row r="36" spans="2:3" x14ac:dyDescent="0.25">
      <c r="B36" t="s">
        <v>73</v>
      </c>
    </row>
    <row r="37" spans="2:3" x14ac:dyDescent="0.25">
      <c r="B37" t="s">
        <v>74</v>
      </c>
    </row>
    <row r="38" spans="2:3" x14ac:dyDescent="0.25">
      <c r="B38" t="s">
        <v>75</v>
      </c>
    </row>
    <row r="39" spans="2:3" x14ac:dyDescent="0.25">
      <c r="C39" t="s">
        <v>86</v>
      </c>
    </row>
    <row r="40" spans="2:3" x14ac:dyDescent="0.25">
      <c r="C40" t="s">
        <v>76</v>
      </c>
    </row>
    <row r="41" spans="2:3" x14ac:dyDescent="0.25">
      <c r="B41" t="s">
        <v>77</v>
      </c>
    </row>
    <row r="42" spans="2:3" x14ac:dyDescent="0.25">
      <c r="B42" t="s">
        <v>78</v>
      </c>
    </row>
    <row r="44" spans="2:3" x14ac:dyDescent="0.25">
      <c r="B44" t="s">
        <v>79</v>
      </c>
    </row>
    <row r="45" spans="2:3" x14ac:dyDescent="0.25">
      <c r="B45" t="s">
        <v>80</v>
      </c>
    </row>
    <row r="46" spans="2:3" x14ac:dyDescent="0.25">
      <c r="C4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7B3D-05E9-4BCF-8DDF-5D77FA14F825}">
  <dimension ref="B2:CK46"/>
  <sheetViews>
    <sheetView tabSelected="1" zoomScale="110" zoomScaleNormal="110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defaultRowHeight="15" x14ac:dyDescent="0.25"/>
  <cols>
    <col min="2" max="2" width="38.5703125" bestFit="1" customWidth="1"/>
    <col min="3" max="9" width="9.28515625" customWidth="1"/>
    <col min="10" max="10" width="9.28515625" style="9" customWidth="1"/>
    <col min="11" max="11" width="9.28515625" customWidth="1"/>
    <col min="12" max="12" width="9.42578125" customWidth="1"/>
    <col min="13" max="13" width="9.28515625" customWidth="1"/>
    <col min="14" max="14" width="9.5703125" customWidth="1"/>
    <col min="20" max="20" width="13.28515625" bestFit="1" customWidth="1"/>
    <col min="21" max="21" width="11.28515625" bestFit="1" customWidth="1"/>
  </cols>
  <sheetData>
    <row r="2" spans="2:18" x14ac:dyDescent="0.25">
      <c r="B2" t="s">
        <v>28</v>
      </c>
      <c r="L2" s="10" t="s">
        <v>87</v>
      </c>
      <c r="M2" s="10"/>
      <c r="N2" s="10"/>
      <c r="O2" s="10"/>
      <c r="P2" s="10"/>
      <c r="Q2" s="10"/>
    </row>
    <row r="3" spans="2:18" x14ac:dyDescent="0.25">
      <c r="C3" t="s">
        <v>93</v>
      </c>
      <c r="D3" t="s">
        <v>92</v>
      </c>
      <c r="E3" t="s">
        <v>91</v>
      </c>
      <c r="F3" t="s">
        <v>90</v>
      </c>
      <c r="G3" t="s">
        <v>89</v>
      </c>
      <c r="H3" t="s">
        <v>88</v>
      </c>
      <c r="I3" t="s">
        <v>96</v>
      </c>
      <c r="J3" s="9" t="s">
        <v>97</v>
      </c>
      <c r="L3" s="2">
        <v>2019</v>
      </c>
      <c r="M3" s="2">
        <f>L3+1</f>
        <v>2020</v>
      </c>
      <c r="N3" s="2">
        <f t="shared" ref="N3:Q3" si="0">M3+1</f>
        <v>2021</v>
      </c>
      <c r="O3" s="2">
        <f t="shared" si="0"/>
        <v>2022</v>
      </c>
      <c r="P3" s="2">
        <f t="shared" si="0"/>
        <v>2023</v>
      </c>
      <c r="Q3" s="2">
        <f t="shared" si="0"/>
        <v>2024</v>
      </c>
      <c r="R3" s="9">
        <v>2025</v>
      </c>
    </row>
    <row r="4" spans="2:18" x14ac:dyDescent="0.25">
      <c r="B4" t="s">
        <v>41</v>
      </c>
      <c r="L4" s="2"/>
      <c r="M4" s="2"/>
      <c r="N4" s="2"/>
      <c r="O4" s="2"/>
      <c r="P4" s="2"/>
      <c r="Q4" s="2"/>
      <c r="R4" s="9"/>
    </row>
    <row r="5" spans="2:18" x14ac:dyDescent="0.25">
      <c r="B5" t="s">
        <v>42</v>
      </c>
      <c r="C5">
        <v>423</v>
      </c>
      <c r="D5">
        <v>274</v>
      </c>
      <c r="E5">
        <v>301</v>
      </c>
      <c r="F5">
        <v>346</v>
      </c>
      <c r="G5">
        <v>431</v>
      </c>
      <c r="H5">
        <v>265</v>
      </c>
      <c r="I5">
        <v>190</v>
      </c>
      <c r="L5">
        <v>681</v>
      </c>
      <c r="M5">
        <v>811</v>
      </c>
      <c r="N5">
        <v>918</v>
      </c>
      <c r="O5">
        <v>1282</v>
      </c>
      <c r="P5">
        <v>1262</v>
      </c>
      <c r="Q5">
        <v>1343</v>
      </c>
      <c r="R5" s="9"/>
    </row>
    <row r="6" spans="2:18" x14ac:dyDescent="0.25">
      <c r="B6" t="s">
        <v>43</v>
      </c>
      <c r="C6">
        <v>199</v>
      </c>
      <c r="D6">
        <v>98</v>
      </c>
      <c r="E6">
        <v>142</v>
      </c>
      <c r="F6">
        <v>275</v>
      </c>
      <c r="G6">
        <v>187</v>
      </c>
      <c r="H6">
        <v>68</v>
      </c>
      <c r="I6">
        <v>60</v>
      </c>
      <c r="L6">
        <v>1112</v>
      </c>
      <c r="M6">
        <v>1076</v>
      </c>
      <c r="N6">
        <v>695</v>
      </c>
      <c r="O6">
        <v>711</v>
      </c>
      <c r="P6">
        <v>675</v>
      </c>
      <c r="Q6">
        <v>672</v>
      </c>
      <c r="R6" s="9"/>
    </row>
    <row r="7" spans="2:18" x14ac:dyDescent="0.25">
      <c r="B7" t="s">
        <v>44</v>
      </c>
      <c r="C7">
        <v>1259</v>
      </c>
      <c r="D7">
        <v>1502</v>
      </c>
      <c r="E7">
        <v>1481</v>
      </c>
      <c r="F7">
        <v>1293</v>
      </c>
      <c r="G7">
        <v>1327</v>
      </c>
      <c r="H7">
        <v>1446</v>
      </c>
      <c r="I7">
        <v>1410</v>
      </c>
      <c r="L7">
        <v>3157</v>
      </c>
      <c r="M7">
        <v>3650</v>
      </c>
      <c r="N7">
        <v>4016</v>
      </c>
      <c r="O7">
        <v>4998</v>
      </c>
      <c r="P7">
        <v>5489</v>
      </c>
      <c r="Q7">
        <v>5547</v>
      </c>
      <c r="R7" s="9"/>
    </row>
    <row r="8" spans="2:18" x14ac:dyDescent="0.25">
      <c r="B8" t="s">
        <v>46</v>
      </c>
      <c r="M8" s="6">
        <f>M7/L7-1</f>
        <v>0.15616091225847328</v>
      </c>
      <c r="N8" s="6">
        <f t="shared" ref="N8:Q8" si="1">N7/M7-1</f>
        <v>0.10027397260273974</v>
      </c>
      <c r="O8" s="6">
        <f t="shared" si="1"/>
        <v>0.2445219123505975</v>
      </c>
      <c r="P8" s="6">
        <f t="shared" si="1"/>
        <v>9.8239295718287378E-2</v>
      </c>
      <c r="Q8" s="6">
        <f t="shared" si="1"/>
        <v>1.0566587720896248E-2</v>
      </c>
      <c r="R8" s="9"/>
    </row>
    <row r="9" spans="2:18" x14ac:dyDescent="0.25">
      <c r="B9" t="s">
        <v>45</v>
      </c>
      <c r="L9" s="6">
        <f t="shared" ref="L9:Q9" si="2">L7/L21</f>
        <v>0.63777777777777778</v>
      </c>
      <c r="M9" s="6">
        <f t="shared" si="2"/>
        <v>0.65920173379086144</v>
      </c>
      <c r="N9" s="6">
        <f t="shared" si="2"/>
        <v>0.71344821460294905</v>
      </c>
      <c r="O9" s="6">
        <f t="shared" si="2"/>
        <v>0.71491918180517811</v>
      </c>
      <c r="P9" s="6">
        <f t="shared" si="2"/>
        <v>0.73915970913008344</v>
      </c>
      <c r="Q9" s="6">
        <f t="shared" si="2"/>
        <v>0.7335361015604337</v>
      </c>
      <c r="R9" s="9"/>
    </row>
    <row r="10" spans="2:18" x14ac:dyDescent="0.25">
      <c r="B10" t="s">
        <v>47</v>
      </c>
      <c r="L10" s="6"/>
      <c r="M10" s="6"/>
      <c r="N10" s="6"/>
      <c r="O10" s="6"/>
      <c r="P10" s="6"/>
      <c r="Q10" s="6"/>
      <c r="R10" s="9"/>
    </row>
    <row r="11" spans="2:18" x14ac:dyDescent="0.25">
      <c r="B11" t="s">
        <v>48</v>
      </c>
      <c r="L11">
        <v>3333</v>
      </c>
      <c r="M11">
        <v>3774</v>
      </c>
      <c r="N11">
        <v>3716</v>
      </c>
      <c r="O11">
        <v>4400</v>
      </c>
      <c r="P11">
        <v>4443</v>
      </c>
      <c r="Q11">
        <v>4463</v>
      </c>
      <c r="R11" s="9"/>
    </row>
    <row r="12" spans="2:18" x14ac:dyDescent="0.25">
      <c r="M12" s="6">
        <f>M11/L11-1</f>
        <v>0.13231323132313233</v>
      </c>
      <c r="N12" s="6">
        <f t="shared" ref="N12:Q12" si="3">N11/M11-1</f>
        <v>-1.5368309485956577E-2</v>
      </c>
      <c r="O12" s="6">
        <f t="shared" si="3"/>
        <v>0.18406889128094717</v>
      </c>
      <c r="P12" s="6">
        <f t="shared" si="3"/>
        <v>9.7727272727272663E-3</v>
      </c>
      <c r="Q12" s="6">
        <f t="shared" si="3"/>
        <v>4.5014629754669411E-3</v>
      </c>
      <c r="R12" s="9"/>
    </row>
    <row r="13" spans="2:18" x14ac:dyDescent="0.25">
      <c r="B13" t="s">
        <v>49</v>
      </c>
      <c r="L13">
        <v>793</v>
      </c>
      <c r="M13">
        <v>1036</v>
      </c>
      <c r="N13">
        <v>1195</v>
      </c>
      <c r="O13">
        <v>1717</v>
      </c>
      <c r="P13">
        <v>1729</v>
      </c>
      <c r="Q13">
        <v>1532</v>
      </c>
      <c r="R13" s="9"/>
    </row>
    <row r="14" spans="2:18" x14ac:dyDescent="0.25">
      <c r="M14" s="6">
        <f>M13/L13-1</f>
        <v>0.30643127364438838</v>
      </c>
      <c r="N14" s="6">
        <f t="shared" ref="N14:Q14" si="4">N13/M13-1</f>
        <v>0.15347490347490345</v>
      </c>
      <c r="O14" s="6">
        <f t="shared" si="4"/>
        <v>0.43682008368200842</v>
      </c>
      <c r="P14" s="6">
        <f t="shared" si="4"/>
        <v>6.988934187536433E-3</v>
      </c>
      <c r="Q14" s="6">
        <f t="shared" si="4"/>
        <v>-0.11393869288606129</v>
      </c>
      <c r="R14" s="9"/>
    </row>
    <row r="15" spans="2:18" x14ac:dyDescent="0.25">
      <c r="B15" t="s">
        <v>50</v>
      </c>
      <c r="L15">
        <v>824</v>
      </c>
      <c r="M15">
        <v>727</v>
      </c>
      <c r="N15">
        <v>718</v>
      </c>
      <c r="O15">
        <v>1213</v>
      </c>
      <c r="P15">
        <v>1254</v>
      </c>
      <c r="Q15">
        <v>1059</v>
      </c>
      <c r="R15" s="9"/>
    </row>
    <row r="16" spans="2:18" x14ac:dyDescent="0.25">
      <c r="M16" s="6">
        <f>M15/L15-1</f>
        <v>-0.11771844660194175</v>
      </c>
      <c r="N16" s="6">
        <f t="shared" ref="N16:Q16" si="5">N15/M15-1</f>
        <v>-1.2379642365887178E-2</v>
      </c>
      <c r="O16" s="6">
        <f t="shared" si="5"/>
        <v>0.68941504178272983</v>
      </c>
      <c r="P16" s="6">
        <f t="shared" si="5"/>
        <v>3.3800494641385015E-2</v>
      </c>
      <c r="Q16" s="6">
        <f t="shared" si="5"/>
        <v>-0.15550239234449759</v>
      </c>
      <c r="R16" s="9"/>
    </row>
    <row r="17" spans="2:18" x14ac:dyDescent="0.25">
      <c r="B17" t="s">
        <v>95</v>
      </c>
      <c r="I17">
        <v>1260</v>
      </c>
      <c r="M17" s="6"/>
      <c r="N17" s="6"/>
      <c r="O17" s="6"/>
      <c r="P17" s="6"/>
      <c r="Q17" s="6"/>
      <c r="R17" s="9"/>
    </row>
    <row r="18" spans="2:18" x14ac:dyDescent="0.25">
      <c r="B18" t="s">
        <v>51</v>
      </c>
      <c r="M18" s="6"/>
      <c r="N18" s="6"/>
      <c r="O18" s="6"/>
      <c r="P18" s="6"/>
      <c r="Q18" s="6"/>
      <c r="R18" s="9"/>
    </row>
    <row r="19" spans="2:18" x14ac:dyDescent="0.25">
      <c r="B19" t="s">
        <v>52</v>
      </c>
      <c r="L19">
        <v>1906</v>
      </c>
      <c r="M19">
        <v>2270</v>
      </c>
      <c r="N19">
        <v>2474</v>
      </c>
      <c r="O19">
        <v>3039</v>
      </c>
      <c r="P19">
        <v>3151</v>
      </c>
      <c r="Q19">
        <v>3001</v>
      </c>
      <c r="R19" s="9"/>
    </row>
    <row r="20" spans="2:18" x14ac:dyDescent="0.25">
      <c r="B20" t="s">
        <v>53</v>
      </c>
      <c r="L20">
        <v>3044</v>
      </c>
      <c r="M20">
        <v>3267</v>
      </c>
      <c r="N20">
        <v>3155</v>
      </c>
      <c r="O20">
        <v>3952</v>
      </c>
      <c r="P20">
        <v>4275</v>
      </c>
      <c r="Q20">
        <v>4561</v>
      </c>
      <c r="R20" s="9"/>
    </row>
    <row r="21" spans="2:18" x14ac:dyDescent="0.25">
      <c r="B21" s="2" t="s">
        <v>27</v>
      </c>
      <c r="C21" s="2">
        <f>SUM(C7,C6,C5)</f>
        <v>1881</v>
      </c>
      <c r="D21" s="2">
        <f t="shared" ref="D21:I21" si="6">SUM(D7,D6,D5)</f>
        <v>1874</v>
      </c>
      <c r="E21" s="2">
        <f t="shared" si="6"/>
        <v>1924</v>
      </c>
      <c r="F21" s="2">
        <f t="shared" si="6"/>
        <v>1914</v>
      </c>
      <c r="G21" s="2">
        <f t="shared" si="6"/>
        <v>1945</v>
      </c>
      <c r="H21" s="2">
        <f t="shared" si="6"/>
        <v>1779</v>
      </c>
      <c r="I21" s="2">
        <f t="shared" si="6"/>
        <v>1660</v>
      </c>
      <c r="J21" s="11">
        <f>(1900+2000)/2</f>
        <v>1950</v>
      </c>
      <c r="K21" s="2"/>
      <c r="L21" s="2">
        <f>SUM(L7,L6,L5)</f>
        <v>4950</v>
      </c>
      <c r="M21" s="2">
        <f>SUM(M7,M6,M5)</f>
        <v>5537</v>
      </c>
      <c r="N21" s="2">
        <f>SUM(N7,N6,N5)</f>
        <v>5629</v>
      </c>
      <c r="O21" s="2">
        <f>SUM(O5,O6,O7)</f>
        <v>6991</v>
      </c>
      <c r="P21" s="2">
        <f>SUM(P5:P7)</f>
        <v>7426</v>
      </c>
      <c r="Q21" s="2">
        <f>SUM(Q5:Q7)</f>
        <v>7562</v>
      </c>
      <c r="R21" s="9">
        <f>(7100+7500)/2</f>
        <v>7300</v>
      </c>
    </row>
    <row r="22" spans="2:18" x14ac:dyDescent="0.25">
      <c r="M22" s="6">
        <f>M21/L21-1</f>
        <v>0.11858585858585857</v>
      </c>
      <c r="N22" s="6">
        <f t="shared" ref="N22:O22" si="7">N21/M21-1</f>
        <v>1.6615495755824439E-2</v>
      </c>
      <c r="O22" s="6">
        <f t="shared" si="7"/>
        <v>0.24196127198436668</v>
      </c>
      <c r="P22" s="6">
        <f>P21/O21-1</f>
        <v>6.2222857960234634E-2</v>
      </c>
      <c r="Q22" s="6">
        <f>Q21/P21-1</f>
        <v>1.8314031780231721E-2</v>
      </c>
      <c r="R22" s="9"/>
    </row>
    <row r="23" spans="2:18" x14ac:dyDescent="0.25">
      <c r="B23" t="s">
        <v>29</v>
      </c>
      <c r="J23" s="13">
        <v>-435</v>
      </c>
      <c r="L23" s="4">
        <v>-1322</v>
      </c>
      <c r="M23" s="4">
        <v>-1369</v>
      </c>
      <c r="N23" s="4">
        <v>-1494</v>
      </c>
      <c r="O23" s="4">
        <v>-1859</v>
      </c>
      <c r="P23" s="4">
        <v>-1792</v>
      </c>
      <c r="Q23" s="4">
        <v>-1710</v>
      </c>
      <c r="R23" s="9"/>
    </row>
    <row r="24" spans="2:18" x14ac:dyDescent="0.25">
      <c r="B24" s="2" t="s">
        <v>30</v>
      </c>
      <c r="C24" s="2"/>
      <c r="D24" s="2"/>
      <c r="E24" s="2"/>
      <c r="F24" s="2"/>
      <c r="G24" s="2"/>
      <c r="H24" s="2"/>
      <c r="I24" s="2"/>
      <c r="J24" s="12">
        <f>SUM(J21,J23)</f>
        <v>1515</v>
      </c>
      <c r="K24" s="2"/>
      <c r="L24" s="5">
        <f>L23+L21</f>
        <v>3628</v>
      </c>
      <c r="M24" s="5">
        <f>M23+M21</f>
        <v>4168</v>
      </c>
      <c r="N24" s="2">
        <f t="shared" ref="N24" si="8">N23+N21</f>
        <v>4135</v>
      </c>
      <c r="O24" s="5">
        <f>SUM(O21,O23)</f>
        <v>5132</v>
      </c>
      <c r="P24" s="5">
        <f t="shared" ref="P24:Q24" si="9">SUM(P21,P23)</f>
        <v>5634</v>
      </c>
      <c r="Q24" s="5">
        <f t="shared" si="9"/>
        <v>5852</v>
      </c>
      <c r="R24" s="9"/>
    </row>
    <row r="25" spans="2:18" x14ac:dyDescent="0.25">
      <c r="B25" s="2" t="s">
        <v>83</v>
      </c>
      <c r="C25" s="2"/>
      <c r="D25" s="2"/>
      <c r="E25" s="2"/>
      <c r="F25" s="2"/>
      <c r="G25" s="2"/>
      <c r="H25" s="2"/>
      <c r="I25" s="2"/>
      <c r="J25" s="11"/>
      <c r="K25" s="2"/>
      <c r="L25" s="6">
        <f>L24/L21</f>
        <v>0.73292929292929287</v>
      </c>
      <c r="M25" s="6">
        <f t="shared" ref="M25:Q25" si="10">M24/M21</f>
        <v>0.75275419902474261</v>
      </c>
      <c r="N25" s="6">
        <f t="shared" si="10"/>
        <v>0.7345887368982057</v>
      </c>
      <c r="O25" s="6">
        <f t="shared" si="10"/>
        <v>0.73408668287798595</v>
      </c>
      <c r="P25" s="6">
        <f t="shared" si="10"/>
        <v>0.75868569889577164</v>
      </c>
      <c r="Q25" s="6">
        <f t="shared" si="10"/>
        <v>0.77386934673366836</v>
      </c>
      <c r="R25" s="9"/>
    </row>
    <row r="26" spans="2:18" x14ac:dyDescent="0.25">
      <c r="B26" t="s">
        <v>31</v>
      </c>
      <c r="R26" s="9"/>
    </row>
    <row r="27" spans="2:18" x14ac:dyDescent="0.25">
      <c r="B27" t="s">
        <v>32</v>
      </c>
      <c r="L27" s="4">
        <v>-1433</v>
      </c>
      <c r="M27" s="4">
        <v>-1559</v>
      </c>
      <c r="N27" s="4">
        <v>-1778</v>
      </c>
      <c r="O27" s="4">
        <v>-2186</v>
      </c>
      <c r="P27" s="4">
        <v>-2328</v>
      </c>
      <c r="Q27" s="4">
        <v>-2420</v>
      </c>
      <c r="R27" s="9"/>
    </row>
    <row r="28" spans="2:18" x14ac:dyDescent="0.25">
      <c r="L28" s="4"/>
      <c r="M28" s="6">
        <f>M27/L27-1</f>
        <v>8.7927424982554125E-2</v>
      </c>
      <c r="N28" s="6">
        <f t="shared" ref="N28:Q28" si="11">N27/M27-1</f>
        <v>0.14047466324567037</v>
      </c>
      <c r="O28" s="6">
        <f t="shared" si="11"/>
        <v>0.22947131608548932</v>
      </c>
      <c r="P28" s="6">
        <f t="shared" si="11"/>
        <v>6.4958828911253486E-2</v>
      </c>
      <c r="Q28" s="6">
        <f t="shared" si="11"/>
        <v>3.9518900343642693E-2</v>
      </c>
      <c r="R28" s="9"/>
    </row>
    <row r="29" spans="2:18" x14ac:dyDescent="0.25">
      <c r="B29" t="s">
        <v>33</v>
      </c>
      <c r="L29" s="4">
        <v>-702</v>
      </c>
      <c r="M29" s="4">
        <v>-631</v>
      </c>
      <c r="N29" s="4">
        <v>-689</v>
      </c>
      <c r="O29" s="4">
        <v>-961</v>
      </c>
      <c r="P29" s="4">
        <v>-978</v>
      </c>
      <c r="Q29" s="4">
        <v>-1019</v>
      </c>
      <c r="R29" s="9"/>
    </row>
    <row r="30" spans="2:18" x14ac:dyDescent="0.25">
      <c r="B30" t="s">
        <v>34</v>
      </c>
      <c r="L30" s="4">
        <v>-460</v>
      </c>
      <c r="M30" s="4">
        <v>-506</v>
      </c>
      <c r="N30" s="4">
        <v>-592</v>
      </c>
      <c r="O30" s="4">
        <v>-673</v>
      </c>
      <c r="P30" s="4">
        <v>-727</v>
      </c>
      <c r="Q30" s="4">
        <v>-691</v>
      </c>
      <c r="R30" s="9"/>
    </row>
    <row r="31" spans="2:18" x14ac:dyDescent="0.25">
      <c r="B31" t="s">
        <v>35</v>
      </c>
      <c r="L31" s="4">
        <v>-23</v>
      </c>
      <c r="M31" s="4">
        <v>-22</v>
      </c>
      <c r="N31" s="4">
        <v>-30</v>
      </c>
      <c r="O31" s="4">
        <v>-183</v>
      </c>
      <c r="P31" s="4">
        <v>-158</v>
      </c>
      <c r="Q31" s="4">
        <v>-142</v>
      </c>
      <c r="R31" s="9"/>
    </row>
    <row r="32" spans="2:18" x14ac:dyDescent="0.25">
      <c r="B32" t="s">
        <v>36</v>
      </c>
      <c r="L32" s="4">
        <v>-14</v>
      </c>
      <c r="M32" s="4">
        <v>-5</v>
      </c>
      <c r="N32" s="4">
        <v>0</v>
      </c>
      <c r="O32" s="4">
        <v>0</v>
      </c>
      <c r="P32" s="4">
        <v>-62</v>
      </c>
      <c r="Q32" s="4">
        <v>-111</v>
      </c>
      <c r="R32" s="9"/>
    </row>
    <row r="33" spans="2:89" x14ac:dyDescent="0.25">
      <c r="B33" s="2" t="s">
        <v>37</v>
      </c>
      <c r="C33" s="2"/>
      <c r="D33" s="2"/>
      <c r="E33" s="2"/>
      <c r="F33" s="2"/>
      <c r="G33" s="2"/>
      <c r="H33" s="2"/>
      <c r="I33" s="2"/>
      <c r="J33" s="12">
        <v>-1200</v>
      </c>
      <c r="K33" s="2"/>
      <c r="L33" s="5">
        <f>L32+L31+L29+L30+L27</f>
        <v>-2632</v>
      </c>
      <c r="M33" s="5">
        <f t="shared" ref="M33:Q33" si="12">M32+M31+M29+M30+M27</f>
        <v>-2723</v>
      </c>
      <c r="N33" s="5">
        <f t="shared" si="12"/>
        <v>-3089</v>
      </c>
      <c r="O33" s="5">
        <f t="shared" si="12"/>
        <v>-4003</v>
      </c>
      <c r="P33" s="5">
        <f t="shared" si="12"/>
        <v>-4253</v>
      </c>
      <c r="Q33" s="5">
        <f t="shared" si="12"/>
        <v>-4383</v>
      </c>
      <c r="R33" s="5">
        <f>-1*(4350+4440)/2</f>
        <v>-4395</v>
      </c>
    </row>
    <row r="34" spans="2:89" x14ac:dyDescent="0.25">
      <c r="B34" s="2"/>
      <c r="C34" s="2"/>
      <c r="D34" s="2"/>
      <c r="E34" s="2"/>
      <c r="F34" s="2"/>
      <c r="G34" s="2"/>
      <c r="H34" s="2"/>
      <c r="I34" s="2"/>
      <c r="J34" s="11"/>
      <c r="K34" s="2"/>
      <c r="L34" s="5"/>
      <c r="M34" s="6">
        <f>M33/L33-1</f>
        <v>3.4574468085106336E-2</v>
      </c>
      <c r="N34" s="6">
        <f t="shared" ref="N34:Q34" si="13">N33/M33-1</f>
        <v>0.13441057656995969</v>
      </c>
      <c r="O34" s="6">
        <f t="shared" si="13"/>
        <v>0.29588863709938495</v>
      </c>
      <c r="P34" s="6">
        <f t="shared" si="13"/>
        <v>6.2453160129902541E-2</v>
      </c>
      <c r="Q34" s="6">
        <f t="shared" si="13"/>
        <v>3.0566658829061844E-2</v>
      </c>
      <c r="R34" s="9"/>
    </row>
    <row r="35" spans="2:89" x14ac:dyDescent="0.25">
      <c r="B35" s="2" t="s">
        <v>38</v>
      </c>
      <c r="C35" s="2"/>
      <c r="D35" s="2"/>
      <c r="E35" s="2"/>
      <c r="F35" s="2"/>
      <c r="G35" s="2"/>
      <c r="H35" s="2"/>
      <c r="I35" s="2"/>
      <c r="J35" s="11"/>
      <c r="K35" s="2"/>
      <c r="L35" s="5">
        <f>L24+L33</f>
        <v>996</v>
      </c>
      <c r="M35" s="5">
        <f t="shared" ref="M35:N35" si="14">M24+M33</f>
        <v>1445</v>
      </c>
      <c r="N35" s="5">
        <f t="shared" si="14"/>
        <v>1046</v>
      </c>
      <c r="O35" s="5">
        <f>O24+O33</f>
        <v>1129</v>
      </c>
      <c r="P35" s="5">
        <f t="shared" ref="P35:Q35" si="15">P24+P33</f>
        <v>1381</v>
      </c>
      <c r="Q35" s="5">
        <f t="shared" si="15"/>
        <v>1469</v>
      </c>
      <c r="R35" s="9"/>
    </row>
    <row r="36" spans="2:89" x14ac:dyDescent="0.25">
      <c r="M36" s="6">
        <f>M35/L35-1</f>
        <v>0.45080321285140568</v>
      </c>
      <c r="N36" s="6">
        <f t="shared" ref="N36:O36" si="16">N35/M35-1</f>
        <v>-0.27612456747404845</v>
      </c>
      <c r="O36" s="6">
        <f t="shared" si="16"/>
        <v>7.9349904397705506E-2</v>
      </c>
      <c r="P36" s="6">
        <f>P35/O35-1</f>
        <v>0.22320637732506654</v>
      </c>
      <c r="Q36" s="6">
        <f>Q35/P35-1</f>
        <v>6.3721940622737172E-2</v>
      </c>
      <c r="R36" s="9"/>
    </row>
    <row r="37" spans="2:89" x14ac:dyDescent="0.25">
      <c r="B37" t="s">
        <v>40</v>
      </c>
      <c r="M37" s="6"/>
      <c r="N37" s="6"/>
      <c r="O37" s="6"/>
      <c r="P37" s="6"/>
      <c r="Q37" s="6"/>
      <c r="R37" s="9"/>
    </row>
    <row r="38" spans="2:89" x14ac:dyDescent="0.25">
      <c r="B38" s="2" t="s">
        <v>39</v>
      </c>
      <c r="C38" s="2"/>
      <c r="D38" s="2"/>
      <c r="E38" s="2"/>
      <c r="F38" s="2"/>
      <c r="G38" s="2"/>
      <c r="H38" s="2"/>
      <c r="I38" s="2"/>
      <c r="J38" s="11"/>
      <c r="K38" s="2"/>
      <c r="L38" s="2">
        <v>1019</v>
      </c>
      <c r="M38" s="7">
        <v>3039</v>
      </c>
      <c r="N38" s="2">
        <v>837</v>
      </c>
      <c r="O38" s="2">
        <v>789</v>
      </c>
      <c r="P38" s="2">
        <v>802</v>
      </c>
      <c r="Q38" s="2">
        <v>1273</v>
      </c>
      <c r="R38" s="9">
        <f>Q38*1.03</f>
        <v>1311.19</v>
      </c>
      <c r="S38" s="9">
        <f t="shared" ref="S38:T38" si="17">R38*1.03</f>
        <v>1350.5257000000001</v>
      </c>
      <c r="T38" s="9">
        <f t="shared" si="17"/>
        <v>1391.0414710000002</v>
      </c>
      <c r="U38" s="9">
        <f>T38*(1+$U$43)</f>
        <v>1377.1310562900003</v>
      </c>
      <c r="V38" s="9">
        <f t="shared" ref="V38:CG38" si="18">U38*(1+$U$43)</f>
        <v>1363.3597457271003</v>
      </c>
      <c r="W38" s="9">
        <f t="shared" si="18"/>
        <v>1349.7261482698293</v>
      </c>
      <c r="X38" s="9">
        <f t="shared" si="18"/>
        <v>1336.2288867871309</v>
      </c>
      <c r="Y38" s="9">
        <f t="shared" si="18"/>
        <v>1322.8665979192597</v>
      </c>
      <c r="Z38" s="9">
        <f t="shared" si="18"/>
        <v>1309.6379319400671</v>
      </c>
      <c r="AA38" s="9">
        <f t="shared" si="18"/>
        <v>1296.5415526206664</v>
      </c>
      <c r="AB38" s="9">
        <f t="shared" si="18"/>
        <v>1283.5761370944597</v>
      </c>
      <c r="AC38" s="9">
        <f t="shared" si="18"/>
        <v>1270.7403757235152</v>
      </c>
      <c r="AD38" s="9">
        <f t="shared" si="18"/>
        <v>1258.03297196628</v>
      </c>
      <c r="AE38" s="9">
        <f t="shared" si="18"/>
        <v>1245.4526422466172</v>
      </c>
      <c r="AF38" s="9">
        <f t="shared" si="18"/>
        <v>1232.998115824151</v>
      </c>
      <c r="AG38" s="9">
        <f t="shared" si="18"/>
        <v>1220.6681346659095</v>
      </c>
      <c r="AH38" s="9">
        <f t="shared" si="18"/>
        <v>1208.4614533192505</v>
      </c>
      <c r="AI38" s="9">
        <f t="shared" si="18"/>
        <v>1196.376838786058</v>
      </c>
      <c r="AJ38" s="9">
        <f t="shared" si="18"/>
        <v>1184.4130703981973</v>
      </c>
      <c r="AK38" s="9">
        <f t="shared" si="18"/>
        <v>1172.5689396942153</v>
      </c>
      <c r="AL38" s="9">
        <f t="shared" si="18"/>
        <v>1160.843250297273</v>
      </c>
      <c r="AM38" s="9">
        <f t="shared" si="18"/>
        <v>1149.2348177943002</v>
      </c>
      <c r="AN38" s="9">
        <f t="shared" si="18"/>
        <v>1137.7424696163571</v>
      </c>
      <c r="AO38" s="9">
        <f t="shared" si="18"/>
        <v>1126.3650449201934</v>
      </c>
      <c r="AP38" s="9">
        <f t="shared" si="18"/>
        <v>1115.1013944709914</v>
      </c>
      <c r="AQ38" s="9">
        <f t="shared" si="18"/>
        <v>1103.9503805262814</v>
      </c>
      <c r="AR38" s="9">
        <f t="shared" si="18"/>
        <v>1092.9108767210187</v>
      </c>
      <c r="AS38" s="9">
        <f t="shared" si="18"/>
        <v>1081.9817679538085</v>
      </c>
      <c r="AT38" s="9">
        <f t="shared" si="18"/>
        <v>1071.1619502742703</v>
      </c>
      <c r="AU38" s="9">
        <f t="shared" si="18"/>
        <v>1060.4503307715277</v>
      </c>
      <c r="AV38" s="9">
        <f t="shared" si="18"/>
        <v>1049.8458274638124</v>
      </c>
      <c r="AW38" s="9">
        <f t="shared" si="18"/>
        <v>1039.3473691891743</v>
      </c>
      <c r="AX38" s="9">
        <f t="shared" si="18"/>
        <v>1028.9538954972825</v>
      </c>
      <c r="AY38" s="9">
        <f t="shared" si="18"/>
        <v>1018.6643565423096</v>
      </c>
      <c r="AZ38" s="9">
        <f t="shared" si="18"/>
        <v>1008.4777129768866</v>
      </c>
      <c r="BA38" s="9">
        <f t="shared" si="18"/>
        <v>998.39293584711766</v>
      </c>
      <c r="BB38" s="9">
        <f t="shared" si="18"/>
        <v>988.40900648864647</v>
      </c>
      <c r="BC38" s="9">
        <f t="shared" si="18"/>
        <v>978.52491642376003</v>
      </c>
      <c r="BD38" s="9">
        <f t="shared" si="18"/>
        <v>968.73966725952243</v>
      </c>
      <c r="BE38" s="9">
        <f t="shared" si="18"/>
        <v>959.05227058692719</v>
      </c>
      <c r="BF38" s="9">
        <f t="shared" si="18"/>
        <v>949.46174788105793</v>
      </c>
      <c r="BG38" s="9">
        <f t="shared" si="18"/>
        <v>939.96713040224734</v>
      </c>
      <c r="BH38" s="9">
        <f t="shared" si="18"/>
        <v>930.56745909822484</v>
      </c>
      <c r="BI38" s="9">
        <f t="shared" si="18"/>
        <v>921.26178450724262</v>
      </c>
      <c r="BJ38" s="9">
        <f t="shared" si="18"/>
        <v>912.04916666217014</v>
      </c>
      <c r="BK38" s="9">
        <f t="shared" si="18"/>
        <v>902.92867499554848</v>
      </c>
      <c r="BL38" s="9">
        <f t="shared" si="18"/>
        <v>893.89938824559295</v>
      </c>
      <c r="BM38" s="9">
        <f t="shared" si="18"/>
        <v>884.96039436313697</v>
      </c>
      <c r="BN38" s="9">
        <f t="shared" si="18"/>
        <v>876.11079041950563</v>
      </c>
      <c r="BO38" s="9">
        <f t="shared" si="18"/>
        <v>867.34968251531052</v>
      </c>
      <c r="BP38" s="9">
        <f t="shared" si="18"/>
        <v>858.67618569015735</v>
      </c>
      <c r="BQ38" s="9">
        <f t="shared" si="18"/>
        <v>850.08942383325575</v>
      </c>
      <c r="BR38" s="9">
        <f t="shared" si="18"/>
        <v>841.58852959492322</v>
      </c>
      <c r="BS38" s="9">
        <f t="shared" si="18"/>
        <v>833.17264429897398</v>
      </c>
      <c r="BT38" s="9">
        <f t="shared" si="18"/>
        <v>824.84091785598423</v>
      </c>
      <c r="BU38" s="9">
        <f t="shared" si="18"/>
        <v>816.59250867742435</v>
      </c>
      <c r="BV38" s="9">
        <f t="shared" si="18"/>
        <v>808.42658359065013</v>
      </c>
      <c r="BW38" s="9">
        <f t="shared" si="18"/>
        <v>800.34231775474359</v>
      </c>
      <c r="BX38" s="9">
        <f t="shared" si="18"/>
        <v>792.33889457719613</v>
      </c>
      <c r="BY38" s="9">
        <f t="shared" si="18"/>
        <v>784.41550563142414</v>
      </c>
      <c r="BZ38" s="9">
        <f t="shared" si="18"/>
        <v>776.57135057510993</v>
      </c>
      <c r="CA38" s="9">
        <f t="shared" si="18"/>
        <v>768.8056370693588</v>
      </c>
      <c r="CB38" s="9">
        <f t="shared" si="18"/>
        <v>761.11758069866517</v>
      </c>
      <c r="CC38" s="9">
        <f t="shared" si="18"/>
        <v>753.50640489167847</v>
      </c>
      <c r="CD38" s="9">
        <f t="shared" si="18"/>
        <v>745.97134084276172</v>
      </c>
      <c r="CE38" s="9">
        <f t="shared" si="18"/>
        <v>738.51162743433406</v>
      </c>
      <c r="CF38" s="9">
        <f t="shared" si="18"/>
        <v>731.12651115999074</v>
      </c>
      <c r="CG38" s="9">
        <f t="shared" si="18"/>
        <v>723.8152460483908</v>
      </c>
      <c r="CH38" s="9">
        <f t="shared" ref="CH38:CK38" si="19">CG38*(1+$U$43)</f>
        <v>716.57709358790692</v>
      </c>
      <c r="CI38" s="9">
        <f t="shared" si="19"/>
        <v>709.41132265202782</v>
      </c>
      <c r="CJ38" s="9">
        <f t="shared" si="19"/>
        <v>702.31720942550749</v>
      </c>
      <c r="CK38" s="9">
        <f t="shared" si="19"/>
        <v>695.29403733125241</v>
      </c>
    </row>
    <row r="39" spans="2:89" x14ac:dyDescent="0.25">
      <c r="M39" s="8">
        <f>M38/L38-1</f>
        <v>1.9823356231599609</v>
      </c>
      <c r="N39" s="6">
        <f t="shared" ref="N39:O39" si="20">N38/M38-1</f>
        <v>-0.72458045409674243</v>
      </c>
      <c r="O39" s="6">
        <f t="shared" si="20"/>
        <v>-5.7347670250896043E-2</v>
      </c>
      <c r="P39" s="6">
        <f>P38/O38-1</f>
        <v>1.6476552598225558E-2</v>
      </c>
      <c r="Q39" s="6">
        <f>Q38/P38-1</f>
        <v>0.58728179551122195</v>
      </c>
      <c r="R39" s="9"/>
    </row>
    <row r="41" spans="2:89" x14ac:dyDescent="0.25">
      <c r="M41" s="6">
        <f>AVERAGE(M39:Q39)</f>
        <v>0.36083316938435395</v>
      </c>
    </row>
    <row r="42" spans="2:89" x14ac:dyDescent="0.25">
      <c r="T42" t="s">
        <v>54</v>
      </c>
      <c r="U42" s="6">
        <v>0.05</v>
      </c>
    </row>
    <row r="43" spans="2:89" x14ac:dyDescent="0.25">
      <c r="B43" t="s">
        <v>94</v>
      </c>
      <c r="T43" t="s">
        <v>55</v>
      </c>
      <c r="U43" s="6">
        <v>-0.01</v>
      </c>
    </row>
    <row r="44" spans="2:89" x14ac:dyDescent="0.25">
      <c r="T44" t="s">
        <v>56</v>
      </c>
      <c r="U44" s="1">
        <f>NPV(U42,L38:CK38)+Sheet1!I5-Sheet1!I6</f>
        <v>24131.987061900723</v>
      </c>
    </row>
    <row r="45" spans="2:89" x14ac:dyDescent="0.25">
      <c r="T45" t="s">
        <v>57</v>
      </c>
      <c r="U45" s="1">
        <f>U44/Sheet1!I3</f>
        <v>90.721755871807233</v>
      </c>
    </row>
    <row r="46" spans="2:89" x14ac:dyDescent="0.25">
      <c r="T46" t="s">
        <v>82</v>
      </c>
      <c r="U46" s="6">
        <f>U45/Sheet1!I2-1</f>
        <v>-0.37823483056810892</v>
      </c>
    </row>
  </sheetData>
  <mergeCells count="1">
    <mergeCell ref="L2:Q2"/>
  </mergeCells>
  <hyperlinks>
    <hyperlink ref="E3" r:id="rId1" display="FYQ!@$" xr:uid="{AB99CA06-B887-452A-98A5-CB52428B4C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jacharles</dc:creator>
  <cp:lastModifiedBy>Jacob Charles</cp:lastModifiedBy>
  <dcterms:created xsi:type="dcterms:W3CDTF">2015-06-05T18:17:20Z</dcterms:created>
  <dcterms:modified xsi:type="dcterms:W3CDTF">2024-08-13T21:11:31Z</dcterms:modified>
</cp:coreProperties>
</file>