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E0BD49B7-CC39-4137-8654-7D759EA8E88F}" xr6:coauthVersionLast="47" xr6:coauthVersionMax="47" xr10:uidLastSave="{00000000-0000-0000-0000-000000000000}"/>
  <bookViews>
    <workbookView xWindow="17820" yWindow="0" windowWidth="11085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" l="1"/>
  <c r="H33" i="2" s="1"/>
  <c r="U27" i="2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T27" i="2"/>
  <c r="P27" i="2"/>
  <c r="Q27" i="2" s="1"/>
  <c r="R27" i="2" s="1"/>
  <c r="K27" i="2"/>
  <c r="L27" i="2" s="1"/>
  <c r="M27" i="2" s="1"/>
  <c r="N27" i="2" s="1"/>
  <c r="O27" i="2" s="1"/>
  <c r="J27" i="2"/>
  <c r="I27" i="2"/>
  <c r="H27" i="2"/>
  <c r="G27" i="2"/>
  <c r="F28" i="2"/>
  <c r="E28" i="2"/>
  <c r="D28" i="2"/>
  <c r="F27" i="2"/>
  <c r="H4" i="1"/>
  <c r="E14" i="2"/>
  <c r="D14" i="2"/>
  <c r="D23" i="2"/>
  <c r="E23" i="2"/>
  <c r="C23" i="2"/>
  <c r="D12" i="2"/>
  <c r="E12" i="2"/>
  <c r="C12" i="2"/>
  <c r="D7" i="2"/>
  <c r="D13" i="2" s="1"/>
  <c r="D24" i="2" s="1"/>
  <c r="D27" i="2" s="1"/>
  <c r="E7" i="2"/>
  <c r="E8" i="2" s="1"/>
  <c r="C7" i="2"/>
  <c r="D3" i="2"/>
  <c r="E3" i="2" s="1"/>
  <c r="F3" i="1"/>
  <c r="F4" i="1" s="1"/>
  <c r="F7" i="1" s="1"/>
  <c r="C13" i="2" l="1"/>
  <c r="C24" i="2" s="1"/>
  <c r="C27" i="2" s="1"/>
  <c r="E13" i="2"/>
  <c r="E24" i="2" s="1"/>
  <c r="E27" i="2" s="1"/>
  <c r="D8" i="2"/>
</calcChain>
</file>

<file path=xl/sharedStrings.xml><?xml version="1.0" encoding="utf-8"?>
<sst xmlns="http://schemas.openxmlformats.org/spreadsheetml/2006/main" count="67" uniqueCount="65">
  <si>
    <t>Peloton</t>
  </si>
  <si>
    <t>Price</t>
  </si>
  <si>
    <t>Shares</t>
  </si>
  <si>
    <t>MC</t>
  </si>
  <si>
    <t>Cash</t>
  </si>
  <si>
    <t>Debt</t>
  </si>
  <si>
    <t>EV</t>
  </si>
  <si>
    <t>Members</t>
  </si>
  <si>
    <t>Founded</t>
  </si>
  <si>
    <t xml:space="preserve">HQ </t>
  </si>
  <si>
    <t>NY</t>
  </si>
  <si>
    <t>Products</t>
  </si>
  <si>
    <t>Peloton Bike</t>
  </si>
  <si>
    <t>Peloton Bike+</t>
  </si>
  <si>
    <t>Peloton Tread</t>
  </si>
  <si>
    <t>Peloton Tread+</t>
  </si>
  <si>
    <t>Peloton Guide</t>
  </si>
  <si>
    <t>Peloton Row</t>
  </si>
  <si>
    <t>*allow financing and rentals aswell</t>
  </si>
  <si>
    <t>Memberships</t>
  </si>
  <si>
    <t>All-Access</t>
  </si>
  <si>
    <t>Peloton App:</t>
  </si>
  <si>
    <t>Peloton App +</t>
  </si>
  <si>
    <t>includes app+ and content excl. for Pelotyon equipment</t>
  </si>
  <si>
    <t>Peloton App One</t>
  </si>
  <si>
    <t>Peloton App Free</t>
  </si>
  <si>
    <t>Guide Membership</t>
  </si>
  <si>
    <t>Manufacturing</t>
  </si>
  <si>
    <t>July 2022:</t>
  </si>
  <si>
    <t>shift form in house manufacturing to 3rd party partners for 100% of products</t>
  </si>
  <si>
    <t>IP</t>
  </si>
  <si>
    <t>F patent apps pending</t>
  </si>
  <si>
    <t>US Patents</t>
  </si>
  <si>
    <t>US patent apps pending</t>
  </si>
  <si>
    <t>Foreign patents</t>
  </si>
  <si>
    <t>US Trademark</t>
  </si>
  <si>
    <t>Foreign Trademark</t>
  </si>
  <si>
    <t>2nd &amp; 3rd Q of fiscal year higher sales</t>
  </si>
  <si>
    <t># in 1s</t>
  </si>
  <si>
    <t>numbers in millions</t>
  </si>
  <si>
    <t>Connected Fitness Products</t>
  </si>
  <si>
    <t>Subscriptions</t>
  </si>
  <si>
    <t>Total Rev</t>
  </si>
  <si>
    <t>numebers in millions</t>
  </si>
  <si>
    <t>Cost of Revenue:</t>
  </si>
  <si>
    <t>Revenue:</t>
  </si>
  <si>
    <t>Total COR</t>
  </si>
  <si>
    <t xml:space="preserve">Gross Profit </t>
  </si>
  <si>
    <t>Op Exp</t>
  </si>
  <si>
    <t>Sales &amp; Marketing</t>
  </si>
  <si>
    <t>G&amp;A</t>
  </si>
  <si>
    <t>R&amp;D</t>
  </si>
  <si>
    <t>Goodwill impairment</t>
  </si>
  <si>
    <t>Impairment expense</t>
  </si>
  <si>
    <t>Restructuring</t>
  </si>
  <si>
    <t>Supplier settlements</t>
  </si>
  <si>
    <t>Total Op Exp.</t>
  </si>
  <si>
    <t>P/L from operations</t>
  </si>
  <si>
    <t>other net expenses</t>
  </si>
  <si>
    <t>income tax benefit</t>
  </si>
  <si>
    <t>Net P/L</t>
  </si>
  <si>
    <t>Discount Rate</t>
  </si>
  <si>
    <t>Terminal Rate</t>
  </si>
  <si>
    <t>NPV</t>
  </si>
  <si>
    <t>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</si>
</sst>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_);\(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0" fontId="2" fillId="0" borderId="0" xfId="0" applyFont="1"/>
    <xf numFmtId="37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9" fontId="2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5"/>
  <sheetViews>
    <sheetView workbookViewId="0">
      <selection activeCell="H4" sqref="H4"/>
    </sheetView>
  </sheetViews>
  <sheetFormatPr defaultRowHeight="15" x14ac:dyDescent="0.25"/>
  <cols>
    <col min="2" max="2" width="22.28515625" bestFit="1" customWidth="1"/>
    <col min="6" max="6" width="11.85546875" bestFit="1" customWidth="1"/>
  </cols>
  <sheetData>
    <row r="1" spans="2:9" x14ac:dyDescent="0.25">
      <c r="H1" t="s">
        <v>39</v>
      </c>
    </row>
    <row r="2" spans="2:9" x14ac:dyDescent="0.25">
      <c r="B2" s="2" t="s">
        <v>0</v>
      </c>
      <c r="C2" s="2"/>
      <c r="E2" s="2" t="s">
        <v>1</v>
      </c>
      <c r="F2" s="1">
        <v>2.9</v>
      </c>
    </row>
    <row r="3" spans="2:9" x14ac:dyDescent="0.25">
      <c r="E3" s="2" t="s">
        <v>2</v>
      </c>
      <c r="F3">
        <f>339+0.02</f>
        <v>339.02</v>
      </c>
    </row>
    <row r="4" spans="2:9" x14ac:dyDescent="0.25">
      <c r="B4" s="2" t="s">
        <v>8</v>
      </c>
      <c r="C4">
        <v>2012</v>
      </c>
      <c r="E4" s="2" t="s">
        <v>3</v>
      </c>
      <c r="F4" s="3">
        <f>F3*F2</f>
        <v>983.1579999999999</v>
      </c>
      <c r="H4">
        <f>983/28</f>
        <v>35.107142857142854</v>
      </c>
    </row>
    <row r="5" spans="2:9" x14ac:dyDescent="0.25">
      <c r="B5" s="2" t="s">
        <v>9</v>
      </c>
      <c r="C5" t="s">
        <v>10</v>
      </c>
      <c r="E5" s="2" t="s">
        <v>4</v>
      </c>
      <c r="F5">
        <v>813</v>
      </c>
    </row>
    <row r="6" spans="2:9" x14ac:dyDescent="0.25">
      <c r="B6" s="2" t="s">
        <v>7</v>
      </c>
      <c r="C6">
        <v>6500</v>
      </c>
      <c r="E6" s="2" t="s">
        <v>5</v>
      </c>
      <c r="F6">
        <v>478</v>
      </c>
      <c r="I6" t="s">
        <v>37</v>
      </c>
    </row>
    <row r="7" spans="2:9" x14ac:dyDescent="0.25">
      <c r="E7" s="2" t="s">
        <v>6</v>
      </c>
      <c r="F7" s="3">
        <f>F4-F5+F6</f>
        <v>648.1579999999999</v>
      </c>
    </row>
    <row r="10" spans="2:9" x14ac:dyDescent="0.25">
      <c r="B10" s="2" t="s">
        <v>11</v>
      </c>
      <c r="C10" t="s">
        <v>18</v>
      </c>
    </row>
    <row r="11" spans="2:9" x14ac:dyDescent="0.25">
      <c r="B11" t="s">
        <v>12</v>
      </c>
    </row>
    <row r="12" spans="2:9" x14ac:dyDescent="0.25">
      <c r="B12" t="s">
        <v>13</v>
      </c>
    </row>
    <row r="13" spans="2:9" x14ac:dyDescent="0.25">
      <c r="B13" t="s">
        <v>14</v>
      </c>
    </row>
    <row r="14" spans="2:9" x14ac:dyDescent="0.25">
      <c r="B14" t="s">
        <v>15</v>
      </c>
    </row>
    <row r="15" spans="2:9" x14ac:dyDescent="0.25">
      <c r="B15" t="s">
        <v>16</v>
      </c>
    </row>
    <row r="16" spans="2:9" x14ac:dyDescent="0.25">
      <c r="B16" t="s">
        <v>17</v>
      </c>
    </row>
    <row r="18" spans="2:3" x14ac:dyDescent="0.25">
      <c r="B18" s="2" t="s">
        <v>19</v>
      </c>
    </row>
    <row r="19" spans="2:3" x14ac:dyDescent="0.25">
      <c r="B19" t="s">
        <v>20</v>
      </c>
      <c r="C19" t="s">
        <v>23</v>
      </c>
    </row>
    <row r="20" spans="2:3" x14ac:dyDescent="0.25">
      <c r="B20" t="s">
        <v>21</v>
      </c>
    </row>
    <row r="21" spans="2:3" x14ac:dyDescent="0.25">
      <c r="B21" t="s">
        <v>22</v>
      </c>
    </row>
    <row r="22" spans="2:3" x14ac:dyDescent="0.25">
      <c r="B22" t="s">
        <v>24</v>
      </c>
    </row>
    <row r="23" spans="2:3" x14ac:dyDescent="0.25">
      <c r="B23" t="s">
        <v>25</v>
      </c>
    </row>
    <row r="24" spans="2:3" x14ac:dyDescent="0.25">
      <c r="B24" t="s">
        <v>26</v>
      </c>
    </row>
    <row r="26" spans="2:3" x14ac:dyDescent="0.25">
      <c r="B26" s="2" t="s">
        <v>27</v>
      </c>
    </row>
    <row r="27" spans="2:3" x14ac:dyDescent="0.25">
      <c r="B27" t="s">
        <v>28</v>
      </c>
      <c r="C27" t="s">
        <v>29</v>
      </c>
    </row>
    <row r="29" spans="2:3" x14ac:dyDescent="0.25">
      <c r="B29" s="2" t="s">
        <v>30</v>
      </c>
      <c r="C29" t="s">
        <v>38</v>
      </c>
    </row>
    <row r="30" spans="2:3" x14ac:dyDescent="0.25">
      <c r="B30" t="s">
        <v>32</v>
      </c>
      <c r="C30">
        <v>170</v>
      </c>
    </row>
    <row r="31" spans="2:3" x14ac:dyDescent="0.25">
      <c r="B31" t="s">
        <v>33</v>
      </c>
      <c r="C31">
        <v>83</v>
      </c>
    </row>
    <row r="32" spans="2:3" x14ac:dyDescent="0.25">
      <c r="B32" t="s">
        <v>34</v>
      </c>
      <c r="C32">
        <v>393</v>
      </c>
    </row>
    <row r="33" spans="2:3" x14ac:dyDescent="0.25">
      <c r="B33" t="s">
        <v>31</v>
      </c>
      <c r="C33">
        <v>146</v>
      </c>
    </row>
    <row r="34" spans="2:3" x14ac:dyDescent="0.25">
      <c r="B34" t="s">
        <v>35</v>
      </c>
      <c r="C34">
        <v>52</v>
      </c>
    </row>
    <row r="35" spans="2:3" x14ac:dyDescent="0.25">
      <c r="B35" t="s">
        <v>36</v>
      </c>
      <c r="C35">
        <v>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1742-4213-48F3-9A89-CD2496A01DC7}">
  <dimension ref="B1:BQ33"/>
  <sheetViews>
    <sheetView tabSelected="1" workbookViewId="0">
      <selection activeCell="C26" sqref="C26"/>
    </sheetView>
  </sheetViews>
  <sheetFormatPr defaultRowHeight="15" x14ac:dyDescent="0.25"/>
  <cols>
    <col min="2" max="2" width="26" bestFit="1" customWidth="1"/>
    <col min="7" max="7" width="13.42578125" bestFit="1" customWidth="1"/>
  </cols>
  <sheetData>
    <row r="1" spans="2:7" x14ac:dyDescent="0.25">
      <c r="B1" t="s">
        <v>43</v>
      </c>
    </row>
    <row r="3" spans="2:7" x14ac:dyDescent="0.25">
      <c r="C3" s="2">
        <v>2021</v>
      </c>
      <c r="D3" s="2">
        <f>C3+1</f>
        <v>2022</v>
      </c>
      <c r="E3" s="2">
        <f>D3+1</f>
        <v>2023</v>
      </c>
    </row>
    <row r="4" spans="2:7" x14ac:dyDescent="0.25">
      <c r="B4" t="s">
        <v>45</v>
      </c>
    </row>
    <row r="5" spans="2:7" x14ac:dyDescent="0.25">
      <c r="B5" t="s">
        <v>40</v>
      </c>
      <c r="C5">
        <v>3149</v>
      </c>
      <c r="D5">
        <v>2187</v>
      </c>
      <c r="E5">
        <v>1130</v>
      </c>
    </row>
    <row r="6" spans="2:7" x14ac:dyDescent="0.25">
      <c r="B6" t="s">
        <v>41</v>
      </c>
      <c r="C6">
        <v>872</v>
      </c>
      <c r="D6">
        <v>1394</v>
      </c>
      <c r="E6">
        <v>1670</v>
      </c>
    </row>
    <row r="7" spans="2:7" x14ac:dyDescent="0.25">
      <c r="B7" s="2" t="s">
        <v>42</v>
      </c>
      <c r="C7" s="2">
        <f>SUM(C5:C6)</f>
        <v>4021</v>
      </c>
      <c r="D7" s="2">
        <f t="shared" ref="D7:E7" si="0">SUM(D5:D6)</f>
        <v>3581</v>
      </c>
      <c r="E7" s="2">
        <f t="shared" si="0"/>
        <v>2800</v>
      </c>
    </row>
    <row r="8" spans="2:7" x14ac:dyDescent="0.25">
      <c r="B8" s="2"/>
      <c r="C8" s="2"/>
      <c r="D8" s="6">
        <f>D7/C7-1</f>
        <v>-0.10942551604078588</v>
      </c>
      <c r="E8" s="6">
        <f>E7/D7-1</f>
        <v>-0.21809550404914824</v>
      </c>
    </row>
    <row r="9" spans="2:7" x14ac:dyDescent="0.25">
      <c r="B9" t="s">
        <v>44</v>
      </c>
    </row>
    <row r="10" spans="2:7" x14ac:dyDescent="0.25">
      <c r="B10" t="s">
        <v>40</v>
      </c>
      <c r="C10" s="4">
        <v>-2236</v>
      </c>
      <c r="D10" s="4">
        <v>-2433</v>
      </c>
      <c r="E10" s="4">
        <v>-1328</v>
      </c>
    </row>
    <row r="11" spans="2:7" x14ac:dyDescent="0.25">
      <c r="B11" t="s">
        <v>41</v>
      </c>
      <c r="C11" s="4">
        <v>-331</v>
      </c>
      <c r="D11" s="4">
        <v>-450</v>
      </c>
      <c r="E11" s="4">
        <v>-548</v>
      </c>
      <c r="G11" s="4">
        <v>-1</v>
      </c>
    </row>
    <row r="12" spans="2:7" x14ac:dyDescent="0.25">
      <c r="B12" s="2" t="s">
        <v>46</v>
      </c>
      <c r="C12" s="5">
        <f>SUM(C10:C11)</f>
        <v>-2567</v>
      </c>
      <c r="D12" s="5">
        <f t="shared" ref="D12:E12" si="1">SUM(D10:D11)</f>
        <v>-2883</v>
      </c>
      <c r="E12" s="5">
        <f t="shared" si="1"/>
        <v>-1876</v>
      </c>
    </row>
    <row r="13" spans="2:7" x14ac:dyDescent="0.25">
      <c r="B13" s="2" t="s">
        <v>47</v>
      </c>
      <c r="C13" s="5">
        <f>C7+C12</f>
        <v>1454</v>
      </c>
      <c r="D13" s="5">
        <f t="shared" ref="D13:E13" si="2">D7+D12</f>
        <v>698</v>
      </c>
      <c r="E13" s="5">
        <f t="shared" si="2"/>
        <v>924</v>
      </c>
    </row>
    <row r="14" spans="2:7" x14ac:dyDescent="0.25">
      <c r="B14" s="2"/>
      <c r="C14" s="5"/>
      <c r="D14" s="6">
        <f>D13/C13-1</f>
        <v>-0.51994497936726281</v>
      </c>
      <c r="E14" s="6">
        <f>E13/D13-1</f>
        <v>0.32378223495702008</v>
      </c>
    </row>
    <row r="15" spans="2:7" x14ac:dyDescent="0.25">
      <c r="B15" t="s">
        <v>48</v>
      </c>
    </row>
    <row r="16" spans="2:7" x14ac:dyDescent="0.25">
      <c r="B16" t="s">
        <v>49</v>
      </c>
      <c r="C16" s="4">
        <v>-728</v>
      </c>
      <c r="D16" s="4">
        <v>-1019</v>
      </c>
      <c r="E16" s="4">
        <v>-648</v>
      </c>
    </row>
    <row r="17" spans="2:69" x14ac:dyDescent="0.25">
      <c r="B17" t="s">
        <v>50</v>
      </c>
      <c r="C17" s="4">
        <v>-662</v>
      </c>
      <c r="D17" s="4">
        <v>-963</v>
      </c>
      <c r="E17" s="4">
        <v>-798</v>
      </c>
    </row>
    <row r="18" spans="2:69" x14ac:dyDescent="0.25">
      <c r="B18" t="s">
        <v>51</v>
      </c>
      <c r="C18" s="4">
        <v>-248</v>
      </c>
      <c r="D18" s="4">
        <v>-360</v>
      </c>
      <c r="E18" s="4">
        <v>-318</v>
      </c>
    </row>
    <row r="19" spans="2:69" x14ac:dyDescent="0.25">
      <c r="B19" t="s">
        <v>52</v>
      </c>
      <c r="C19" s="4">
        <v>0</v>
      </c>
      <c r="D19" s="4">
        <v>-182</v>
      </c>
      <c r="E19" s="4">
        <v>0</v>
      </c>
    </row>
    <row r="20" spans="2:69" x14ac:dyDescent="0.25">
      <c r="B20" t="s">
        <v>53</v>
      </c>
      <c r="C20" s="4">
        <v>-5</v>
      </c>
      <c r="D20" s="4">
        <v>-391</v>
      </c>
      <c r="E20" s="4">
        <v>-145</v>
      </c>
    </row>
    <row r="21" spans="2:69" x14ac:dyDescent="0.25">
      <c r="B21" t="s">
        <v>54</v>
      </c>
      <c r="C21" s="4"/>
      <c r="D21" s="4">
        <v>-22.5</v>
      </c>
      <c r="E21" s="4">
        <v>-189</v>
      </c>
    </row>
    <row r="22" spans="2:69" x14ac:dyDescent="0.25">
      <c r="B22" t="s">
        <v>55</v>
      </c>
      <c r="C22" s="4"/>
      <c r="D22" s="4">
        <v>-338</v>
      </c>
      <c r="E22" s="4">
        <v>-22</v>
      </c>
    </row>
    <row r="23" spans="2:69" x14ac:dyDescent="0.25">
      <c r="B23" s="2" t="s">
        <v>56</v>
      </c>
      <c r="C23" s="5">
        <f>SUM(C16:C22)</f>
        <v>-1643</v>
      </c>
      <c r="D23" s="5">
        <f t="shared" ref="D23:E23" si="3">SUM(D16:D22)</f>
        <v>-3275.5</v>
      </c>
      <c r="E23" s="5">
        <f t="shared" si="3"/>
        <v>-2120</v>
      </c>
    </row>
    <row r="24" spans="2:69" x14ac:dyDescent="0.25">
      <c r="B24" t="s">
        <v>57</v>
      </c>
      <c r="C24" s="5">
        <f>C13+C23</f>
        <v>-189</v>
      </c>
      <c r="D24" s="5">
        <f t="shared" ref="D24:E24" si="4">D13+D23</f>
        <v>-2577.5</v>
      </c>
      <c r="E24" s="5">
        <f t="shared" si="4"/>
        <v>-1196</v>
      </c>
    </row>
    <row r="25" spans="2:69" x14ac:dyDescent="0.25">
      <c r="B25" t="s">
        <v>58</v>
      </c>
      <c r="C25" s="4">
        <v>-10.4</v>
      </c>
      <c r="D25" s="4">
        <v>-74.099999999999994</v>
      </c>
      <c r="E25" s="4">
        <v>-60.9</v>
      </c>
    </row>
    <row r="26" spans="2:69" x14ac:dyDescent="0.25">
      <c r="B26" t="s">
        <v>59</v>
      </c>
      <c r="C26">
        <v>9</v>
      </c>
      <c r="D26" s="4">
        <v>20</v>
      </c>
      <c r="E26" s="4">
        <v>4</v>
      </c>
      <c r="G26" s="4"/>
    </row>
    <row r="27" spans="2:69" x14ac:dyDescent="0.25">
      <c r="B27" s="2" t="s">
        <v>60</v>
      </c>
      <c r="C27" s="5">
        <f>SUM(C24:C26)</f>
        <v>-190.4</v>
      </c>
      <c r="D27" s="5">
        <f t="shared" ref="D27:E27" si="5">SUM(D24:D26)</f>
        <v>-2631.6</v>
      </c>
      <c r="E27" s="5">
        <f t="shared" si="5"/>
        <v>-1252.9000000000001</v>
      </c>
      <c r="F27" s="5">
        <f>-167*4</f>
        <v>-668</v>
      </c>
      <c r="G27">
        <f>F27*0.5</f>
        <v>-334</v>
      </c>
      <c r="H27">
        <f>G27*0.5</f>
        <v>-167</v>
      </c>
      <c r="I27">
        <f>H27*0.9</f>
        <v>-150.30000000000001</v>
      </c>
      <c r="J27">
        <f>I27*0.8</f>
        <v>-120.24000000000001</v>
      </c>
      <c r="K27">
        <f t="shared" ref="K27:R27" si="6">J27*0.8</f>
        <v>-96.192000000000007</v>
      </c>
      <c r="L27">
        <f t="shared" si="6"/>
        <v>-76.953600000000009</v>
      </c>
      <c r="M27">
        <f t="shared" si="6"/>
        <v>-61.562880000000007</v>
      </c>
      <c r="N27">
        <f t="shared" si="6"/>
        <v>-49.250304000000007</v>
      </c>
      <c r="O27">
        <f t="shared" si="6"/>
        <v>-39.400243200000006</v>
      </c>
      <c r="P27">
        <f t="shared" si="6"/>
        <v>-31.520194560000007</v>
      </c>
      <c r="Q27">
        <f t="shared" si="6"/>
        <v>-25.216155648000008</v>
      </c>
      <c r="R27">
        <f t="shared" si="6"/>
        <v>-20.172924518400009</v>
      </c>
      <c r="S27">
        <v>10</v>
      </c>
      <c r="T27">
        <f>S27*1.05</f>
        <v>10.5</v>
      </c>
      <c r="U27">
        <f t="shared" ref="U27:BQ27" si="7">T27*1.05</f>
        <v>11.025</v>
      </c>
      <c r="V27">
        <f t="shared" si="7"/>
        <v>11.576250000000002</v>
      </c>
      <c r="W27">
        <f t="shared" si="7"/>
        <v>12.155062500000001</v>
      </c>
      <c r="X27">
        <f t="shared" si="7"/>
        <v>12.762815625000002</v>
      </c>
      <c r="Y27">
        <f t="shared" si="7"/>
        <v>13.400956406250003</v>
      </c>
      <c r="Z27">
        <f t="shared" si="7"/>
        <v>14.071004226562504</v>
      </c>
      <c r="AA27">
        <f t="shared" si="7"/>
        <v>14.774554437890631</v>
      </c>
      <c r="AB27">
        <f t="shared" si="7"/>
        <v>15.513282159785163</v>
      </c>
      <c r="AC27">
        <f t="shared" si="7"/>
        <v>16.288946267774421</v>
      </c>
      <c r="AD27">
        <f t="shared" si="7"/>
        <v>17.103393581163143</v>
      </c>
      <c r="AE27">
        <f t="shared" si="7"/>
        <v>17.9585632602213</v>
      </c>
      <c r="AF27">
        <f t="shared" si="7"/>
        <v>18.856491423232367</v>
      </c>
      <c r="AG27">
        <f t="shared" si="7"/>
        <v>19.799315994393986</v>
      </c>
      <c r="AH27">
        <f t="shared" si="7"/>
        <v>20.789281794113688</v>
      </c>
      <c r="AI27">
        <f t="shared" si="7"/>
        <v>21.828745883819373</v>
      </c>
      <c r="AJ27">
        <f t="shared" si="7"/>
        <v>22.920183178010344</v>
      </c>
      <c r="AK27">
        <f t="shared" si="7"/>
        <v>24.066192336910863</v>
      </c>
      <c r="AL27">
        <f t="shared" si="7"/>
        <v>25.269501953756407</v>
      </c>
      <c r="AM27">
        <f t="shared" si="7"/>
        <v>26.532977051444227</v>
      </c>
      <c r="AN27">
        <f t="shared" si="7"/>
        <v>27.85962590401644</v>
      </c>
      <c r="AO27">
        <f t="shared" si="7"/>
        <v>29.252607199217262</v>
      </c>
      <c r="AP27">
        <f t="shared" si="7"/>
        <v>30.715237559178128</v>
      </c>
      <c r="AQ27">
        <f t="shared" si="7"/>
        <v>32.250999437137033</v>
      </c>
      <c r="AR27">
        <f t="shared" si="7"/>
        <v>33.863549408993883</v>
      </c>
      <c r="AS27">
        <f t="shared" si="7"/>
        <v>35.55672687944358</v>
      </c>
      <c r="AT27">
        <f t="shared" si="7"/>
        <v>37.334563223415763</v>
      </c>
      <c r="AU27">
        <f t="shared" si="7"/>
        <v>39.201291384586554</v>
      </c>
      <c r="AV27">
        <f t="shared" si="7"/>
        <v>41.161355953815885</v>
      </c>
      <c r="AW27">
        <f t="shared" si="7"/>
        <v>43.219423751506682</v>
      </c>
      <c r="AX27">
        <f t="shared" si="7"/>
        <v>45.380394939082016</v>
      </c>
      <c r="AY27">
        <f t="shared" si="7"/>
        <v>47.649414686036117</v>
      </c>
      <c r="AZ27">
        <f t="shared" si="7"/>
        <v>50.031885420337922</v>
      </c>
      <c r="BA27">
        <f t="shared" si="7"/>
        <v>52.53347969135482</v>
      </c>
      <c r="BB27">
        <f t="shared" si="7"/>
        <v>55.160153675922565</v>
      </c>
      <c r="BC27">
        <f t="shared" si="7"/>
        <v>57.918161359718695</v>
      </c>
      <c r="BD27">
        <f t="shared" si="7"/>
        <v>60.814069427704631</v>
      </c>
      <c r="BE27">
        <f t="shared" si="7"/>
        <v>63.854772899089866</v>
      </c>
      <c r="BF27">
        <f t="shared" si="7"/>
        <v>67.047511544044369</v>
      </c>
      <c r="BG27">
        <f t="shared" si="7"/>
        <v>70.399887121246593</v>
      </c>
      <c r="BH27">
        <f t="shared" si="7"/>
        <v>73.91988147730892</v>
      </c>
      <c r="BI27">
        <f t="shared" si="7"/>
        <v>77.615875551174369</v>
      </c>
      <c r="BJ27">
        <f t="shared" si="7"/>
        <v>81.496669328733091</v>
      </c>
      <c r="BK27">
        <f t="shared" si="7"/>
        <v>85.571502795169749</v>
      </c>
      <c r="BL27">
        <f t="shared" si="7"/>
        <v>89.850077934928237</v>
      </c>
      <c r="BM27">
        <f t="shared" si="7"/>
        <v>94.34258183167465</v>
      </c>
      <c r="BN27">
        <f t="shared" si="7"/>
        <v>99.059710923258393</v>
      </c>
      <c r="BO27">
        <f t="shared" si="7"/>
        <v>104.01269646942131</v>
      </c>
      <c r="BP27">
        <f t="shared" si="7"/>
        <v>109.21333129289239</v>
      </c>
      <c r="BQ27">
        <f t="shared" si="7"/>
        <v>114.67399785753702</v>
      </c>
    </row>
    <row r="28" spans="2:69" x14ac:dyDescent="0.25">
      <c r="D28" s="7">
        <f>-1*((D27/C27)-1)</f>
        <v>-12.821428571428571</v>
      </c>
      <c r="E28" s="7">
        <f>-1*((E27/D27)-1)</f>
        <v>0.52390180878552961</v>
      </c>
      <c r="F28" s="7">
        <f>-1*((F27/E27)-1)</f>
        <v>0.46683693830313677</v>
      </c>
      <c r="G28" s="7"/>
    </row>
    <row r="30" spans="2:69" x14ac:dyDescent="0.25">
      <c r="G30" t="s">
        <v>61</v>
      </c>
      <c r="H30">
        <v>15</v>
      </c>
    </row>
    <row r="31" spans="2:69" x14ac:dyDescent="0.25">
      <c r="G31" t="s">
        <v>62</v>
      </c>
      <c r="H31">
        <v>5</v>
      </c>
    </row>
    <row r="32" spans="2:69" x14ac:dyDescent="0.25">
      <c r="G32" t="s">
        <v>63</v>
      </c>
      <c r="H32" s="1">
        <f>NPV(H30,C27:BQ27)+Sheet1!F5-Sheet1!F6</f>
        <v>312.50390676926622</v>
      </c>
    </row>
    <row r="33" spans="7:8" x14ac:dyDescent="0.25">
      <c r="G33" t="s">
        <v>64</v>
      </c>
      <c r="H33">
        <f>H32/Sheet1!F3</f>
        <v>0.92178605028985383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jacharles</dc:creator>
  <cp:lastModifiedBy>Jacob Charles</cp:lastModifiedBy>
  <dcterms:created xsi:type="dcterms:W3CDTF">2015-06-05T18:17:20Z</dcterms:created>
  <dcterms:modified xsi:type="dcterms:W3CDTF">2024-08-13T03:52:33Z</dcterms:modified>
</cp:coreProperties>
</file>