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jacharles\Desktop\work\models\financial_models\"/>
    </mc:Choice>
  </mc:AlternateContent>
  <xr:revisionPtr revIDLastSave="0" documentId="13_ncr:1_{2E8934A6-9F6A-4BDE-B75E-ED61FF241AF2}" xr6:coauthVersionLast="47" xr6:coauthVersionMax="47" xr10:uidLastSave="{00000000-0000-0000-0000-000000000000}"/>
  <bookViews>
    <workbookView xWindow="-105" yWindow="0" windowWidth="21060" windowHeight="15585" xr2:uid="{AA51C6CB-968E-42BC-8878-56B3C9131C69}"/>
  </bookViews>
  <sheets>
    <sheet name="cablebahamas" sheetId="1" r:id="rId1"/>
    <sheet name="notes" sheetId="3" r:id="rId2"/>
    <sheet name="dcf" sheetId="2" r:id="rId3"/>
  </sheets>
  <definedNames>
    <definedName name="CIQWBGuid" hidden="1">"a611639b-bab1-425e-aaa5-008c326fdfdb"</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43588.5561574074</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0">cablebahamas!$C$2:$Q$132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 i="1" l="1"/>
  <c r="I49" i="1"/>
  <c r="I48" i="1"/>
  <c r="I47" i="1"/>
  <c r="I46" i="1"/>
  <c r="I45" i="1"/>
  <c r="I44" i="1"/>
  <c r="I77" i="1"/>
  <c r="I75" i="1"/>
  <c r="I69" i="1"/>
  <c r="I68" i="1"/>
  <c r="I67" i="1"/>
  <c r="I64" i="1"/>
  <c r="I53" i="1"/>
  <c r="I61" i="1"/>
  <c r="I60" i="1"/>
  <c r="I58" i="1"/>
  <c r="I55" i="1"/>
  <c r="D14" i="1"/>
  <c r="K12" i="2"/>
  <c r="L12" i="2"/>
  <c r="M12" i="2" s="1"/>
  <c r="N12" i="2" s="1"/>
  <c r="O12" i="2" s="1"/>
  <c r="P12" i="2" s="1"/>
  <c r="J12" i="2"/>
  <c r="F19" i="2"/>
  <c r="G19" i="2"/>
  <c r="H19" i="2"/>
  <c r="I19" i="2"/>
  <c r="E19" i="2"/>
  <c r="G89" i="1"/>
  <c r="H89" i="1"/>
  <c r="F89" i="1"/>
  <c r="G88" i="1"/>
  <c r="H88" i="1"/>
  <c r="F88" i="1"/>
  <c r="G87" i="1"/>
  <c r="H87" i="1"/>
  <c r="F87" i="1"/>
  <c r="F84" i="1"/>
  <c r="G84" i="1"/>
  <c r="H84" i="1"/>
  <c r="E84" i="1"/>
  <c r="F13" i="2"/>
  <c r="G13" i="2"/>
  <c r="H13" i="2"/>
  <c r="I13" i="2"/>
  <c r="E13" i="2"/>
  <c r="I12" i="2"/>
  <c r="H12" i="2" s="1"/>
  <c r="G12" i="2" s="1"/>
  <c r="F12" i="2" s="1"/>
  <c r="E12" i="2" s="1"/>
  <c r="E23" i="2" s="1"/>
  <c r="D23" i="1"/>
  <c r="D29" i="1" s="1"/>
  <c r="E16" i="2" s="1"/>
  <c r="D77" i="1"/>
  <c r="D114" i="1"/>
  <c r="D119" i="1"/>
  <c r="D117" i="1" s="1"/>
  <c r="D118" i="1" s="1"/>
  <c r="D132" i="1"/>
  <c r="E67" i="1"/>
  <c r="E69" i="1" s="1"/>
  <c r="F69" i="1"/>
  <c r="F75" i="1"/>
  <c r="E75" i="1"/>
  <c r="E60" i="1"/>
  <c r="E58" i="1"/>
  <c r="E61" i="1" s="1"/>
  <c r="F58" i="1"/>
  <c r="F61" i="1" s="1"/>
  <c r="E22" i="1"/>
  <c r="E23" i="1" s="1"/>
  <c r="F22" i="1"/>
  <c r="F23" i="1" s="1"/>
  <c r="E25" i="1"/>
  <c r="E47" i="1" s="1"/>
  <c r="F25" i="1"/>
  <c r="F47" i="1" s="1"/>
  <c r="E33" i="1"/>
  <c r="F33" i="1"/>
  <c r="H33" i="1"/>
  <c r="G33" i="1"/>
  <c r="H68" i="1"/>
  <c r="H67" i="1"/>
  <c r="G67" i="1"/>
  <c r="H64" i="1"/>
  <c r="G64" i="1"/>
  <c r="G68" i="1"/>
  <c r="G58" i="1"/>
  <c r="G60" i="1"/>
  <c r="G125" i="1" s="1"/>
  <c r="G55" i="1"/>
  <c r="H58" i="1"/>
  <c r="H60" i="1"/>
  <c r="H125" i="1" s="1"/>
  <c r="H55" i="1"/>
  <c r="G44" i="1"/>
  <c r="H25" i="1"/>
  <c r="H47" i="1" s="1"/>
  <c r="G25" i="1"/>
  <c r="G47" i="1" s="1"/>
  <c r="F44" i="1"/>
  <c r="E132" i="1"/>
  <c r="E119" i="1"/>
  <c r="E117" i="1" s="1"/>
  <c r="E118" i="1" s="1"/>
  <c r="E114" i="1"/>
  <c r="E46" i="1"/>
  <c r="H24" i="1"/>
  <c r="H46" i="1" s="1"/>
  <c r="G24" i="1"/>
  <c r="G46" i="1" s="1"/>
  <c r="H75" i="1"/>
  <c r="G75" i="1"/>
  <c r="G23" i="1"/>
  <c r="H23" i="1"/>
  <c r="C2" i="1"/>
  <c r="H18" i="1"/>
  <c r="G18" i="1" s="1"/>
  <c r="G53" i="1" s="1"/>
  <c r="H19" i="1"/>
  <c r="G19" i="1" s="1"/>
  <c r="G54" i="1" s="1"/>
  <c r="H44" i="1"/>
  <c r="F46" i="1"/>
  <c r="C53" i="1"/>
  <c r="C54" i="1"/>
  <c r="C80" i="1"/>
  <c r="C81" i="1"/>
  <c r="C106" i="1"/>
  <c r="C107" i="1"/>
  <c r="G112" i="1"/>
  <c r="H112" i="1"/>
  <c r="F114" i="1"/>
  <c r="G114" i="1"/>
  <c r="H114" i="1"/>
  <c r="F119" i="1"/>
  <c r="F117" i="1" s="1"/>
  <c r="F118" i="1" s="1"/>
  <c r="G119" i="1"/>
  <c r="G117" i="1" s="1"/>
  <c r="G118" i="1" s="1"/>
  <c r="H119" i="1"/>
  <c r="H117" i="1" s="1"/>
  <c r="H118" i="1" s="1"/>
  <c r="F132" i="1"/>
  <c r="G132" i="1"/>
  <c r="H132" i="1"/>
  <c r="I18" i="1" l="1"/>
  <c r="I14" i="2"/>
  <c r="H14" i="2"/>
  <c r="G14" i="2"/>
  <c r="E17" i="2"/>
  <c r="E29" i="1"/>
  <c r="F16" i="2" s="1"/>
  <c r="F17" i="2" s="1"/>
  <c r="H80" i="1"/>
  <c r="E77" i="1"/>
  <c r="H69" i="1"/>
  <c r="F14" i="2"/>
  <c r="I23" i="2"/>
  <c r="H23" i="2"/>
  <c r="G23" i="2"/>
  <c r="F23" i="2"/>
  <c r="D34" i="1"/>
  <c r="D39" i="1"/>
  <c r="D41" i="1" s="1"/>
  <c r="H29" i="1"/>
  <c r="I16" i="2" s="1"/>
  <c r="I17" i="2" s="1"/>
  <c r="F77" i="1"/>
  <c r="F45" i="1"/>
  <c r="F29" i="1"/>
  <c r="G16" i="2" s="1"/>
  <c r="G17" i="2" s="1"/>
  <c r="G61" i="1"/>
  <c r="G69" i="1"/>
  <c r="G29" i="1"/>
  <c r="H16" i="2" s="1"/>
  <c r="H17" i="2" s="1"/>
  <c r="H61" i="1"/>
  <c r="H54" i="1"/>
  <c r="H53" i="1"/>
  <c r="H107" i="1"/>
  <c r="E45" i="1"/>
  <c r="E39" i="1"/>
  <c r="E34" i="1"/>
  <c r="G45" i="1"/>
  <c r="F18" i="1"/>
  <c r="G106" i="1"/>
  <c r="G107" i="1"/>
  <c r="F19" i="1"/>
  <c r="F54" i="1" s="1"/>
  <c r="H45" i="1"/>
  <c r="H106" i="1"/>
  <c r="F53" i="1" l="1"/>
  <c r="G80" i="1"/>
  <c r="H77" i="1"/>
  <c r="F50" i="1"/>
  <c r="G77" i="1"/>
  <c r="D36" i="1"/>
  <c r="D129" i="1" s="1"/>
  <c r="E41" i="1"/>
  <c r="F106" i="1"/>
  <c r="E18" i="1"/>
  <c r="F80" i="1" s="1"/>
  <c r="F107" i="1"/>
  <c r="E19" i="1"/>
  <c r="F34" i="1"/>
  <c r="F39" i="1"/>
  <c r="E48" i="1"/>
  <c r="E36" i="1"/>
  <c r="E129" i="1" l="1"/>
  <c r="E83" i="1"/>
  <c r="E92" i="1" s="1"/>
  <c r="E53" i="1"/>
  <c r="D18" i="1"/>
  <c r="E80" i="1" s="1"/>
  <c r="E54" i="1"/>
  <c r="D19" i="1"/>
  <c r="F41" i="1"/>
  <c r="F49" i="1"/>
  <c r="E106" i="1"/>
  <c r="F36" i="1"/>
  <c r="F48" i="1"/>
  <c r="F129" i="1" l="1"/>
  <c r="F83" i="1"/>
  <c r="F92" i="1" s="1"/>
  <c r="D107" i="1"/>
  <c r="D54" i="1"/>
  <c r="D106" i="1"/>
  <c r="D53" i="1"/>
  <c r="H34" i="1" l="1"/>
  <c r="H36" i="1" s="1"/>
  <c r="H39" i="1"/>
  <c r="H41" i="1" s="1"/>
  <c r="H48" i="1"/>
  <c r="H129" i="1" l="1"/>
  <c r="H83" i="1"/>
  <c r="H92" i="1" s="1"/>
  <c r="G34" i="1"/>
  <c r="G36" i="1" s="1"/>
  <c r="G39" i="1"/>
  <c r="G41" i="1" s="1"/>
  <c r="G48" i="1"/>
  <c r="H49" i="1"/>
  <c r="G50" i="1"/>
  <c r="H50" i="1"/>
  <c r="G49" i="1" l="1"/>
  <c r="G129" i="1"/>
  <c r="G83" i="1"/>
  <c r="G9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3" authorId="0" shapeId="0" xr:uid="{9EDC2D22-989C-495C-8A52-BFBC74876912}">
      <text>
        <r>
          <rPr>
            <sz val="9"/>
            <color indexed="81"/>
            <rFont val="Tahoma"/>
            <family val="2"/>
          </rPr>
          <t>Front cover of Apple 2018 10K</t>
        </r>
      </text>
    </comment>
    <comment ref="C58" authorId="0" shapeId="0" xr:uid="{20D4217B-7800-4D2D-AED4-0E248257EEA4}">
      <text>
        <r>
          <rPr>
            <sz val="9"/>
            <color indexed="81"/>
            <rFont val="Tahoma"/>
            <family val="2"/>
          </rPr>
          <t>Includes vendor non-trade receivables</t>
        </r>
      </text>
    </comment>
    <comment ref="C60" authorId="0" shapeId="0" xr:uid="{25365AB5-B1B2-4C42-8596-FE097D36C689}">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K114" authorId="0" shapeId="0" xr:uid="{2EE594CD-6553-476F-A4DB-CEB222B8E96B}">
      <text>
        <r>
          <rPr>
            <sz val="9"/>
            <color indexed="81"/>
            <rFont val="Tahoma"/>
            <family val="2"/>
          </rPr>
          <t>WSP estimate</t>
        </r>
      </text>
    </comment>
    <comment ref="C130" authorId="0" shapeId="0" xr:uid="{E3620E40-8023-43BB-B560-32BA3DA06D70}">
      <text>
        <r>
          <rPr>
            <sz val="9"/>
            <color indexed="81"/>
            <rFont val="Tahoma"/>
            <family val="2"/>
          </rPr>
          <t>Statement of shareholders equity schedule, p.41 Apple 2018 10K</t>
        </r>
      </text>
    </comment>
    <comment ref="C131" authorId="0" shapeId="0" xr:uid="{4EB23FAC-6D5E-49DD-AE9B-8D07272B2128}">
      <text>
        <r>
          <rPr>
            <sz val="9"/>
            <color indexed="81"/>
            <rFont val="Tahoma"/>
            <family val="2"/>
          </rPr>
          <t>Statement of shareholders equity schedule, p.41 Apple 2018 10K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jacharles</author>
  </authors>
  <commentList>
    <comment ref="B19" authorId="0" shapeId="0" xr:uid="{3FC7F56E-9D6C-432D-BDEE-34415E692178}">
      <text>
        <r>
          <rPr>
            <b/>
            <sz val="9"/>
            <color indexed="81"/>
            <rFont val="Tahoma"/>
            <family val="2"/>
          </rPr>
          <t>jacharles:</t>
        </r>
        <r>
          <rPr>
            <sz val="9"/>
            <color indexed="81"/>
            <rFont val="Tahoma"/>
            <family val="2"/>
          </rPr>
          <t xml:space="preserve">
if the bahamian dollar ever unpegs
</t>
        </r>
      </text>
    </comment>
  </commentList>
</comments>
</file>

<file path=xl/sharedStrings.xml><?xml version="1.0" encoding="utf-8"?>
<sst xmlns="http://schemas.openxmlformats.org/spreadsheetml/2006/main" count="206" uniqueCount="182">
  <si>
    <t>BOP + net income - dividends - repurchases</t>
  </si>
  <si>
    <t>End of period</t>
  </si>
  <si>
    <t>WSP assumption: Straight-line last historical year repurchases</t>
  </si>
  <si>
    <t>Less: Repurchases</t>
  </si>
  <si>
    <t>WSP assumption: Straight-line last historical year dividends</t>
  </si>
  <si>
    <t>Less: Dividends</t>
  </si>
  <si>
    <t>Reference from income statement</t>
  </si>
  <si>
    <t>Plus: Net income</t>
  </si>
  <si>
    <t xml:space="preserve">BOP = Previous year EOP </t>
  </si>
  <si>
    <t>Beginning of period</t>
  </si>
  <si>
    <t>RETAINED EARNINGS</t>
  </si>
  <si>
    <t>Referenced from balance sheet</t>
  </si>
  <si>
    <t>Because we already know the EOP balance, this is a plug: EOP - D&amp;A not from PP&amp;E - BOP</t>
  </si>
  <si>
    <t xml:space="preserve">Plus: Additions </t>
  </si>
  <si>
    <t xml:space="preserve">Assume all D&amp;A not from PP&amp;E is in non-current assets </t>
  </si>
  <si>
    <r>
      <t xml:space="preserve">Less: D&amp;A </t>
    </r>
    <r>
      <rPr>
        <u/>
        <sz val="11"/>
        <color theme="1"/>
        <rFont val="Calibri"/>
        <family val="2"/>
        <scheme val="minor"/>
      </rPr>
      <t>not</t>
    </r>
    <r>
      <rPr>
        <sz val="11"/>
        <color theme="1"/>
        <rFont val="Calibri"/>
        <family val="2"/>
        <scheme val="minor"/>
      </rPr>
      <t xml:space="preserve"> related to PP&amp;E</t>
    </r>
  </si>
  <si>
    <t>OTHER NON-CURRENT ASSETS</t>
  </si>
  <si>
    <t>D&amp;A from PP&amp;E + D&amp;A not from PP&amp;E</t>
  </si>
  <si>
    <t xml:space="preserve">Depreciation &amp; Amortization - Total </t>
  </si>
  <si>
    <t>Straight line last historical % of revenue - WSP assumption</t>
  </si>
  <si>
    <t>as % of revenue</t>
  </si>
  <si>
    <t>Revenue x 'as % of revenue' assumption</t>
  </si>
  <si>
    <r>
      <t xml:space="preserve">D&amp;A </t>
    </r>
    <r>
      <rPr>
        <u/>
        <sz val="11"/>
        <color theme="1"/>
        <rFont val="Calibri"/>
        <family val="2"/>
        <scheme val="minor"/>
      </rPr>
      <t>not</t>
    </r>
    <r>
      <rPr>
        <sz val="11"/>
        <color theme="1"/>
        <rFont val="Calibri"/>
        <family val="2"/>
        <scheme val="minor"/>
      </rPr>
      <t xml:space="preserve"> related to PP&amp;E</t>
    </r>
  </si>
  <si>
    <t>IMPUTING TOTAL DEPRECIATION &amp; AMORTIZATION</t>
  </si>
  <si>
    <t>D&amp;A related to PP&amp;E as a % of capex</t>
  </si>
  <si>
    <t>Step</t>
  </si>
  <si>
    <t>BOP + Capex - Depreciation</t>
  </si>
  <si>
    <t>Capex x 'D&amp;A related to PP&amp;E as a % of capex' ratio (below)</t>
  </si>
  <si>
    <t>Less: Depreciation</t>
  </si>
  <si>
    <t>JP Morgan through 2021; WSP assumption thereafter</t>
  </si>
  <si>
    <t>Plus: Capital expenditures</t>
  </si>
  <si>
    <t>PROPERTY, PLANT &amp; EQUIPMENT</t>
  </si>
  <si>
    <t>Net change in cash during period</t>
  </si>
  <si>
    <t>Cash from financing activities</t>
  </si>
  <si>
    <t>Common dividends</t>
  </si>
  <si>
    <t>Share repurchases</t>
  </si>
  <si>
    <t>Revolver</t>
  </si>
  <si>
    <t>Long term debt</t>
  </si>
  <si>
    <t>Cash from investing activities</t>
  </si>
  <si>
    <t>Capital expenditures</t>
  </si>
  <si>
    <t>Cash from operating activities</t>
  </si>
  <si>
    <t>Other non current liabilities</t>
  </si>
  <si>
    <t>Reference additions to 'other non-current assets' from schedule</t>
  </si>
  <si>
    <t>Other non current assets</t>
  </si>
  <si>
    <t>Increases / (Decreases) in working capital liabilities</t>
  </si>
  <si>
    <t>Stock based compensation</t>
  </si>
  <si>
    <t>Depreciation and amortization</t>
  </si>
  <si>
    <t>Net income</t>
  </si>
  <si>
    <t>CASH FLOW STATEMENT</t>
  </si>
  <si>
    <t>Balance check</t>
  </si>
  <si>
    <t>Total equity</t>
  </si>
  <si>
    <t>WSP assumption: straight-line</t>
  </si>
  <si>
    <t>Other comprehensive income</t>
  </si>
  <si>
    <t>Reference from Retained Earnings schedule</t>
  </si>
  <si>
    <t xml:space="preserve">Retained earnings </t>
  </si>
  <si>
    <t>Increase by stock-based compensation forecasted in the I/S section</t>
  </si>
  <si>
    <t>Common stock</t>
  </si>
  <si>
    <t>Total liabilities</t>
  </si>
  <si>
    <t>Grow in-line with revenue growth</t>
  </si>
  <si>
    <t>Long term debt (includes current portion)</t>
  </si>
  <si>
    <t>Reference from revolver schedule</t>
  </si>
  <si>
    <t>Commercial paper / revolver</t>
  </si>
  <si>
    <t>Deferred revenue (current and non current)</t>
  </si>
  <si>
    <t>Other current liabilities</t>
  </si>
  <si>
    <t>Grow in-line with cost of sales growth</t>
  </si>
  <si>
    <t>Accounts payable</t>
  </si>
  <si>
    <t>Total assets</t>
  </si>
  <si>
    <t>Reference from PP&amp;E schedule</t>
  </si>
  <si>
    <t>Property, plant &amp; equipment</t>
  </si>
  <si>
    <t>Other current assets</t>
  </si>
  <si>
    <t>Inventories</t>
  </si>
  <si>
    <t>Accounts receivable</t>
  </si>
  <si>
    <t>Reference from 'net change in cash' line on the cash flow statement</t>
  </si>
  <si>
    <t>Cash &amp; equivalents, ST and LT marketable securities</t>
  </si>
  <si>
    <t>BALANCE SHEET</t>
  </si>
  <si>
    <t>JP Morgan estimates through 2021: straight-line margin thereafter</t>
  </si>
  <si>
    <t>Tax rate</t>
  </si>
  <si>
    <t>SG&amp;A % of sales</t>
  </si>
  <si>
    <t>R&amp;D % of sales</t>
  </si>
  <si>
    <t>JP Morgan estimates through 2021; straight-line margin thereafter</t>
  </si>
  <si>
    <t>Gross profit margin</t>
  </si>
  <si>
    <t>JP Morgan estimates through 2021; straight-line growth rate thereafter</t>
  </si>
  <si>
    <t>Revenue growth</t>
  </si>
  <si>
    <t>Growth rates &amp; margins</t>
  </si>
  <si>
    <t>EBITDA + Stock-based compensation</t>
  </si>
  <si>
    <t>Adjusted EBITDA</t>
  </si>
  <si>
    <t>WSP assumption: grow SBC in-line with revenue growth</t>
  </si>
  <si>
    <t>EBIT + D&amp;A</t>
  </si>
  <si>
    <t>EBITDA</t>
  </si>
  <si>
    <t>Reference from D&amp;A schedule</t>
  </si>
  <si>
    <t>Depreciation &amp; amortization</t>
  </si>
  <si>
    <t>Pre-tax Profit less taxes</t>
  </si>
  <si>
    <t>Pre-tax Profit x Tax Rate forecast</t>
  </si>
  <si>
    <t>Taxes (enter expense as -)</t>
  </si>
  <si>
    <t>EBIT + interest income less interest expense less other expense</t>
  </si>
  <si>
    <t>Pretax profit</t>
  </si>
  <si>
    <t>Straight-line</t>
  </si>
  <si>
    <t>Other expense, net (enter as -)</t>
  </si>
  <si>
    <t>Reference from interest expense schedule</t>
  </si>
  <si>
    <t>Interest expense (enter as -)</t>
  </si>
  <si>
    <t>Reference from interest on cash schedule</t>
  </si>
  <si>
    <t>Interest income</t>
  </si>
  <si>
    <t>Gross Profit - R&amp;D - SG&amp;A</t>
  </si>
  <si>
    <t>Operating profit (EBIT)</t>
  </si>
  <si>
    <t>Revenue x SG&amp;A % of sales forecast</t>
  </si>
  <si>
    <t>Selling, general &amp; administrative (enter as -)</t>
  </si>
  <si>
    <t>Revenue x R&amp;D % of sales forecast</t>
  </si>
  <si>
    <t>Research &amp; development (enter as -)</t>
  </si>
  <si>
    <t>Revenue x Gross Profit Margin forecast</t>
  </si>
  <si>
    <t>Gross Profit</t>
  </si>
  <si>
    <t>Plug = Revenue - Gross Profit</t>
  </si>
  <si>
    <t>Cost of sales (enter as -)</t>
  </si>
  <si>
    <t>Previous year's revenues x (1+revenue growth rate)</t>
  </si>
  <si>
    <t>Revenue</t>
  </si>
  <si>
    <t>WSP Comments</t>
  </si>
  <si>
    <t>Fiscal year end date</t>
  </si>
  <si>
    <t xml:space="preserve">Fiscal year  </t>
  </si>
  <si>
    <t>INCOME STATEMENT</t>
  </si>
  <si>
    <t>Shares outstanding (millions)</t>
  </si>
  <si>
    <t>Latest fiscal year end date</t>
  </si>
  <si>
    <t>Latest closing share price date</t>
  </si>
  <si>
    <t>Latest closing share price</t>
  </si>
  <si>
    <t>Circ break 1=off, 0=on</t>
  </si>
  <si>
    <t>Ticker</t>
  </si>
  <si>
    <t>Company name</t>
  </si>
  <si>
    <t>Cable Bahamas</t>
  </si>
  <si>
    <t>CAB</t>
  </si>
  <si>
    <t xml:space="preserve">   </t>
  </si>
  <si>
    <t>EBITDA growth</t>
  </si>
  <si>
    <t>Other (loss) income</t>
  </si>
  <si>
    <t>Impairment of Financial &amp; Contract Assets</t>
  </si>
  <si>
    <t>Gain on modification of financial liabilities</t>
  </si>
  <si>
    <t>Net gain on disposal of PP&amp;E</t>
  </si>
  <si>
    <t>EBIT growth</t>
  </si>
  <si>
    <t>non controlling interest</t>
  </si>
  <si>
    <t>Stock Ticker:</t>
  </si>
  <si>
    <t>Company Name:</t>
  </si>
  <si>
    <t>Income Statement</t>
  </si>
  <si>
    <t>% growth</t>
  </si>
  <si>
    <t>EBIT</t>
  </si>
  <si>
    <t>Taxes</t>
  </si>
  <si>
    <t>% of EBIT</t>
  </si>
  <si>
    <t>% of revenue</t>
  </si>
  <si>
    <t>Cash Flow Items</t>
  </si>
  <si>
    <t>D&amp;A</t>
  </si>
  <si>
    <t>% of CAPEX</t>
  </si>
  <si>
    <t>Captial Expenditures</t>
  </si>
  <si>
    <t>Change in NWC</t>
  </si>
  <si>
    <t>% of change in reveneue</t>
  </si>
  <si>
    <t>Discounted Cash Flow</t>
  </si>
  <si>
    <t xml:space="preserve">Revenue </t>
  </si>
  <si>
    <t>Conservative Case</t>
  </si>
  <si>
    <t>Base Case - Sheet Estimates</t>
  </si>
  <si>
    <t>Optimistic Case</t>
  </si>
  <si>
    <t>Latest Fiscal Date:</t>
  </si>
  <si>
    <t>Stock Price:</t>
  </si>
  <si>
    <t>Changes In Working Capital:</t>
  </si>
  <si>
    <t xml:space="preserve">      Accounts Receivable</t>
  </si>
  <si>
    <t xml:space="preserve">      Inventories</t>
  </si>
  <si>
    <t xml:space="preserve"> </t>
  </si>
  <si>
    <t>Cable Bahamas Ltd.</t>
  </si>
  <si>
    <t>v2 packages w/ broadband internet, landline, TV, mobile phone feaures (priced for small business &amp; entrepreneurs)</t>
  </si>
  <si>
    <t>mobile plans</t>
  </si>
  <si>
    <t>push to talk (PPT)</t>
  </si>
  <si>
    <t>enhanced hosted pbx</t>
  </si>
  <si>
    <t>managed wifi</t>
  </si>
  <si>
    <t>broadband internet (empower studentr, teachers, admin to stay connectyed in virtual learning environments</t>
  </si>
  <si>
    <t>advanced hospitality TC</t>
  </si>
  <si>
    <t>CEO / President:</t>
  </si>
  <si>
    <t>Franklyn Butler</t>
  </si>
  <si>
    <t>Market Cap</t>
  </si>
  <si>
    <t>unfilled sell for$700k+ in shares</t>
  </si>
  <si>
    <t>horrible volume in market…liquidity low</t>
  </si>
  <si>
    <t>risks</t>
  </si>
  <si>
    <t>credit risk</t>
  </si>
  <si>
    <t>liquidity risk</t>
  </si>
  <si>
    <t>foreign currency risk</t>
  </si>
  <si>
    <t>IR risk</t>
  </si>
  <si>
    <t>price drop in investments…to mitigate they invest in gov debt securities</t>
  </si>
  <si>
    <t>Chairman</t>
  </si>
  <si>
    <t>Ross McDonald</t>
  </si>
  <si>
    <t>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</si>
</sst>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164" formatCode="_(#,##0_)_%;\(#,##0\)_%;_(&quot;–&quot;_)_%;_(@_)_%"/>
    <numFmt numFmtId="165" formatCode="0.0%_);\(0.0%\);@_)"/>
    <numFmt numFmtId="166" formatCode="_(#,##0.0%_);\(#,##0.0%\);_(&quot;–&quot;_)_%;_(@_)_%"/>
    <numFmt numFmtId="167" formatCode="m/d/yy;@"/>
    <numFmt numFmtId="169" formatCode="0\A;[Red]0\A"/>
    <numFmt numFmtId="171" formatCode="#,##0.000_);\(#,##0.000\)"/>
  </numFmts>
  <fonts count="15"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FF"/>
      <name val="Calibri"/>
      <family val="2"/>
      <scheme val="minor"/>
    </font>
    <font>
      <sz val="11"/>
      <color rgb="FF000000"/>
      <name val="Calibri"/>
      <family val="2"/>
      <scheme val="minor"/>
    </font>
    <font>
      <u/>
      <sz val="11"/>
      <color theme="1"/>
      <name val="Calibri"/>
      <family val="2"/>
      <scheme val="minor"/>
    </font>
    <font>
      <i/>
      <sz val="11"/>
      <color rgb="FF000000"/>
      <name val="Calibri"/>
      <family val="2"/>
      <scheme val="minor"/>
    </font>
    <font>
      <i/>
      <sz val="11"/>
      <color theme="1"/>
      <name val="Calibri"/>
      <family val="2"/>
      <scheme val="minor"/>
    </font>
    <font>
      <i/>
      <sz val="11"/>
      <color rgb="FF0000FF"/>
      <name val="Calibri"/>
      <family val="2"/>
      <scheme val="minor"/>
    </font>
    <font>
      <sz val="9"/>
      <color indexed="81"/>
      <name val="Tahoma"/>
      <family val="2"/>
    </font>
    <font>
      <b/>
      <sz val="11"/>
      <color theme="0"/>
      <name val="Calibri"/>
      <family val="2"/>
      <scheme val="minor"/>
    </font>
    <font>
      <sz val="11"/>
      <color theme="0"/>
      <name val="Calibri"/>
      <family val="2"/>
      <scheme val="minor"/>
    </font>
    <font>
      <sz val="11"/>
      <color rgb="FF002060"/>
      <name val="Calibri"/>
      <family val="2"/>
      <scheme val="minor"/>
    </font>
    <font>
      <b/>
      <i/>
      <sz val="11"/>
      <color theme="1"/>
      <name val="Calibri"/>
      <family val="2"/>
      <scheme val="minor"/>
    </font>
    <font>
      <b/>
      <sz val="9"/>
      <color indexed="81"/>
      <name val="Tahoma"/>
      <family val="2"/>
    </font>
  </fonts>
  <fills count="7">
    <fill>
      <patternFill patternType="none"/>
    </fill>
    <fill>
      <patternFill patternType="gray125"/>
    </fill>
    <fill>
      <patternFill patternType="solid">
        <fgColor rgb="FFC9DAF8"/>
        <bgColor indexed="64"/>
      </patternFill>
    </fill>
    <fill>
      <patternFill patternType="solid">
        <fgColor rgb="FFFCE5CD"/>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5" tint="0.59999389629810485"/>
        <bgColor indexed="64"/>
      </patternFill>
    </fill>
  </fills>
  <borders count="8">
    <border>
      <left/>
      <right/>
      <top/>
      <bottom/>
      <diagonal/>
    </border>
    <border>
      <left/>
      <right/>
      <top/>
      <bottom style="hair">
        <color rgb="FF000000"/>
      </bottom>
      <diagonal/>
    </border>
    <border>
      <left/>
      <right/>
      <top/>
      <bottom style="thin">
        <color rgb="FF000000"/>
      </bottom>
      <diagonal/>
    </border>
    <border>
      <left/>
      <right/>
      <top/>
      <bottom style="thin">
        <color auto="1"/>
      </bottom>
      <diagonal/>
    </border>
    <border>
      <left style="hair">
        <color rgb="FF000000"/>
      </left>
      <right style="hair">
        <color rgb="FF000000"/>
      </right>
      <top style="hair">
        <color rgb="FF000000"/>
      </top>
      <bottom style="hair">
        <color rgb="FF000000"/>
      </bottom>
      <diagonal/>
    </border>
    <border>
      <left/>
      <right/>
      <top style="medium">
        <color rgb="FF000000"/>
      </top>
      <bottom/>
      <diagonal/>
    </border>
    <border>
      <left/>
      <right/>
      <top style="medium">
        <color rgb="FF000000"/>
      </top>
      <bottom style="medium">
        <color rgb="FF000000"/>
      </bottom>
      <diagonal/>
    </border>
    <border>
      <left style="dashed">
        <color indexed="64"/>
      </left>
      <right style="dashed">
        <color indexed="64"/>
      </right>
      <top style="dashed">
        <color indexed="64"/>
      </top>
      <bottom style="dashed">
        <color indexed="64"/>
      </bottom>
      <diagonal/>
    </border>
  </borders>
  <cellStyleXfs count="1">
    <xf numFmtId="0" fontId="0" fillId="0" borderId="0"/>
  </cellStyleXfs>
  <cellXfs count="66">
    <xf numFmtId="0" fontId="0" fillId="0" borderId="0" xfId="0"/>
    <xf numFmtId="3" fontId="0" fillId="0" borderId="0" xfId="0" applyNumberFormat="1"/>
    <xf numFmtId="37" fontId="2" fillId="0" borderId="0" xfId="0" applyNumberFormat="1" applyFont="1"/>
    <xf numFmtId="0" fontId="1" fillId="0" borderId="0" xfId="0" applyFont="1" applyAlignment="1">
      <alignment horizontal="left" indent="1"/>
    </xf>
    <xf numFmtId="37" fontId="3" fillId="0" borderId="1" xfId="0" applyNumberFormat="1" applyFont="1" applyBorder="1"/>
    <xf numFmtId="0" fontId="0" fillId="0" borderId="1" xfId="0" applyBorder="1" applyAlignment="1">
      <alignment horizontal="left" indent="1"/>
    </xf>
    <xf numFmtId="37" fontId="3" fillId="0" borderId="0" xfId="0" applyNumberFormat="1" applyFont="1"/>
    <xf numFmtId="0" fontId="0" fillId="0" borderId="0" xfId="0" applyAlignment="1">
      <alignment horizontal="left" indent="1"/>
    </xf>
    <xf numFmtId="37" fontId="4" fillId="0" borderId="0" xfId="0" applyNumberFormat="1" applyFont="1"/>
    <xf numFmtId="0" fontId="0" fillId="0" borderId="0" xfId="0" applyAlignment="1">
      <alignment horizontal="left"/>
    </xf>
    <xf numFmtId="0" fontId="0" fillId="0" borderId="2" xfId="0" applyBorder="1"/>
    <xf numFmtId="37" fontId="1" fillId="0" borderId="2" xfId="0" applyNumberFormat="1" applyFont="1" applyBorder="1"/>
    <xf numFmtId="37" fontId="1" fillId="0" borderId="2" xfId="0" applyNumberFormat="1" applyFont="1" applyBorder="1" applyAlignment="1">
      <alignment horizontal="left"/>
    </xf>
    <xf numFmtId="37" fontId="0" fillId="0" borderId="0" xfId="0" applyNumberFormat="1"/>
    <xf numFmtId="37" fontId="1" fillId="0" borderId="0" xfId="0" applyNumberFormat="1" applyFont="1"/>
    <xf numFmtId="0" fontId="0" fillId="0" borderId="1" xfId="0" applyBorder="1"/>
    <xf numFmtId="164" fontId="0" fillId="0" borderId="0" xfId="0" applyNumberFormat="1"/>
    <xf numFmtId="0" fontId="1" fillId="0" borderId="0" xfId="0" applyFont="1" applyAlignment="1">
      <alignment horizontal="left"/>
    </xf>
    <xf numFmtId="166" fontId="0" fillId="0" borderId="0" xfId="0" applyNumberFormat="1"/>
    <xf numFmtId="165" fontId="0" fillId="0" borderId="2" xfId="0" applyNumberFormat="1" applyBorder="1"/>
    <xf numFmtId="0" fontId="1" fillId="0" borderId="2" xfId="0" applyFont="1" applyBorder="1" applyAlignment="1">
      <alignment horizontal="left"/>
    </xf>
    <xf numFmtId="165" fontId="4" fillId="0" borderId="0" xfId="0" applyNumberFormat="1" applyFont="1"/>
    <xf numFmtId="165" fontId="0" fillId="0" borderId="0" xfId="0" applyNumberFormat="1"/>
    <xf numFmtId="166" fontId="3" fillId="2" borderId="0" xfId="0" applyNumberFormat="1" applyFont="1" applyFill="1"/>
    <xf numFmtId="0" fontId="5" fillId="0" borderId="0" xfId="0" applyFont="1"/>
    <xf numFmtId="0" fontId="0" fillId="0" borderId="1" xfId="0" quotePrefix="1" applyBorder="1" applyAlignment="1">
      <alignment horizontal="left" indent="1"/>
    </xf>
    <xf numFmtId="0" fontId="0" fillId="0" borderId="0" xfId="0" quotePrefix="1" applyAlignment="1">
      <alignment horizontal="left" indent="1"/>
    </xf>
    <xf numFmtId="0" fontId="1" fillId="0" borderId="0" xfId="0" applyFont="1"/>
    <xf numFmtId="167" fontId="6" fillId="0" borderId="2" xfId="0" applyNumberFormat="1" applyFont="1" applyBorder="1"/>
    <xf numFmtId="169" fontId="2" fillId="0" borderId="0" xfId="0" applyNumberFormat="1" applyFont="1"/>
    <xf numFmtId="14" fontId="7" fillId="0" borderId="0" xfId="0" applyNumberFormat="1" applyFont="1"/>
    <xf numFmtId="0" fontId="1" fillId="0" borderId="2" xfId="0" applyFont="1" applyBorder="1"/>
    <xf numFmtId="167" fontId="7" fillId="0" borderId="2" xfId="0" applyNumberFormat="1" applyFont="1" applyBorder="1"/>
    <xf numFmtId="37" fontId="7" fillId="0" borderId="0" xfId="0" applyNumberFormat="1" applyFont="1"/>
    <xf numFmtId="0" fontId="7" fillId="0" borderId="0" xfId="0" applyFont="1"/>
    <xf numFmtId="165" fontId="3" fillId="0" borderId="0" xfId="0" applyNumberFormat="1" applyFont="1"/>
    <xf numFmtId="0" fontId="0" fillId="0" borderId="0" xfId="0" quotePrefix="1"/>
    <xf numFmtId="167" fontId="7" fillId="0" borderId="0" xfId="0" applyNumberFormat="1" applyFont="1"/>
    <xf numFmtId="167" fontId="8" fillId="0" borderId="0" xfId="0" applyNumberFormat="1" applyFont="1"/>
    <xf numFmtId="0" fontId="0" fillId="0" borderId="3" xfId="0" applyBorder="1"/>
    <xf numFmtId="0" fontId="1" fillId="0" borderId="3" xfId="0" applyFont="1" applyBorder="1"/>
    <xf numFmtId="167" fontId="7" fillId="0" borderId="3" xfId="0" applyNumberFormat="1" applyFont="1" applyBorder="1"/>
    <xf numFmtId="0" fontId="7" fillId="0" borderId="2" xfId="0" applyFont="1" applyBorder="1"/>
    <xf numFmtId="169" fontId="1" fillId="0" borderId="0" xfId="0" applyNumberFormat="1" applyFont="1"/>
    <xf numFmtId="171" fontId="3" fillId="0" borderId="0" xfId="0" applyNumberFormat="1" applyFont="1" applyAlignment="1">
      <alignment horizontal="center"/>
    </xf>
    <xf numFmtId="167" fontId="3" fillId="0" borderId="0" xfId="0" applyNumberFormat="1" applyFont="1" applyAlignment="1">
      <alignment horizontal="center"/>
    </xf>
    <xf numFmtId="0" fontId="4" fillId="0" borderId="0" xfId="0" applyFont="1"/>
    <xf numFmtId="14" fontId="3" fillId="0" borderId="0" xfId="0" applyNumberFormat="1" applyFont="1" applyAlignment="1">
      <alignment horizontal="center"/>
    </xf>
    <xf numFmtId="8" fontId="3" fillId="0" borderId="0" xfId="0" applyNumberFormat="1" applyFont="1" applyAlignment="1">
      <alignment horizontal="center"/>
    </xf>
    <xf numFmtId="164" fontId="3" fillId="3" borderId="4" xfId="0" applyNumberFormat="1" applyFont="1" applyFill="1" applyBorder="1" applyAlignment="1">
      <alignment horizontal="center"/>
    </xf>
    <xf numFmtId="0" fontId="3" fillId="0" borderId="0" xfId="0" applyFont="1" applyAlignment="1">
      <alignment horizontal="center"/>
    </xf>
    <xf numFmtId="0" fontId="0" fillId="0" borderId="5" xfId="0" applyBorder="1"/>
    <xf numFmtId="14" fontId="6" fillId="0" borderId="0" xfId="0" applyNumberFormat="1" applyFont="1" applyAlignment="1">
      <alignment horizontal="left"/>
    </xf>
    <xf numFmtId="0" fontId="0" fillId="0" borderId="6" xfId="0" applyBorder="1"/>
    <xf numFmtId="0" fontId="1" fillId="0" borderId="6" xfId="0" applyFont="1" applyBorder="1"/>
    <xf numFmtId="0" fontId="11" fillId="4" borderId="0" xfId="0" applyFont="1" applyFill="1"/>
    <xf numFmtId="0" fontId="10" fillId="4" borderId="0" xfId="0" applyFont="1" applyFill="1"/>
    <xf numFmtId="37" fontId="12" fillId="0" borderId="0" xfId="0" applyNumberFormat="1" applyFont="1"/>
    <xf numFmtId="0" fontId="13" fillId="0" borderId="0" xfId="0" applyFont="1"/>
    <xf numFmtId="9" fontId="1" fillId="0" borderId="0" xfId="0" applyNumberFormat="1" applyFont="1"/>
    <xf numFmtId="0" fontId="0" fillId="5" borderId="7" xfId="0" applyFill="1" applyBorder="1"/>
    <xf numFmtId="15" fontId="0" fillId="5" borderId="7" xfId="0" applyNumberFormat="1" applyFill="1" applyBorder="1"/>
    <xf numFmtId="0" fontId="3" fillId="0" borderId="0" xfId="0" applyFont="1"/>
    <xf numFmtId="0" fontId="0" fillId="6" borderId="0" xfId="0" applyFill="1"/>
    <xf numFmtId="0" fontId="0" fillId="0" borderId="0" xfId="0" applyBorder="1"/>
    <xf numFmtId="37" fontId="13" fillId="0" borderId="0" xfId="0" applyNumberFormat="1" applyFont="1"/>
  </cellXfs>
  <cellStyles count="1">
    <cellStyle name="Normal" xfId="0" builtinId="0"/>
  </cellStyles>
  <dxfs count="1">
    <dxf>
      <fill>
        <patternFill>
          <bgColor theme="8"/>
        </patternFill>
      </fill>
      <border>
        <left/>
        <right/>
        <top style="thin">
          <color rgb="FF9C0006"/>
        </top>
        <bottom style="thin">
          <color rgb="FF9C0006"/>
        </bottom>
        <vertical/>
        <horizontal/>
      </border>
    </dxf>
  </dxfs>
  <tableStyles count="0" defaultTableStyle="TableStyleMedium2" defaultPivotStyle="PivotStyleLight16"/>
  <colors>
    <mruColors>
      <color rgb="FFFF505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4457A-0F6E-4F4C-9F66-060477A85578}">
  <dimension ref="C1:R133"/>
  <sheetViews>
    <sheetView tabSelected="1" topLeftCell="A5" zoomScale="120" zoomScaleNormal="120" workbookViewId="0">
      <pane xSplit="3" ySplit="15" topLeftCell="D30" activePane="bottomRight" state="frozen"/>
      <selection activeCell="A5" sqref="A5"/>
      <selection pane="topRight" activeCell="D5" sqref="D5"/>
      <selection pane="bottomLeft" activeCell="A20" sqref="A20"/>
      <selection pane="bottomRight" activeCell="I24" sqref="I24"/>
    </sheetView>
  </sheetViews>
  <sheetFormatPr defaultColWidth="8.85546875" defaultRowHeight="15" x14ac:dyDescent="0.25"/>
  <cols>
    <col min="1" max="2" width="1.7109375" customWidth="1"/>
    <col min="3" max="3" width="47.7109375" bestFit="1" customWidth="1"/>
    <col min="4" max="4" width="14.42578125" bestFit="1" customWidth="1"/>
    <col min="5" max="7" width="12.5703125" bestFit="1" customWidth="1"/>
    <col min="8" max="8" width="14.28515625" bestFit="1" customWidth="1"/>
    <col min="9" max="9" width="14.28515625" customWidth="1"/>
    <col min="10" max="10" width="11.85546875" customWidth="1"/>
    <col min="11" max="11" width="81.42578125" bestFit="1" customWidth="1"/>
    <col min="12" max="13" width="10.28515625" bestFit="1" customWidth="1"/>
    <col min="14" max="15" width="9.42578125" bestFit="1" customWidth="1"/>
  </cols>
  <sheetData>
    <row r="1" spans="3:9" ht="15.75" thickBot="1" x14ac:dyDescent="0.3"/>
    <row r="2" spans="3:9" ht="15.75" thickBot="1" x14ac:dyDescent="0.3">
      <c r="C2" s="54" t="str">
        <f>"Financial Statement Model for "&amp;D7</f>
        <v>Financial Statement Model for Cable Bahamas Ltd.</v>
      </c>
      <c r="D2" s="53"/>
      <c r="E2" s="53"/>
      <c r="F2" s="53"/>
      <c r="G2" s="53"/>
      <c r="H2" s="53"/>
      <c r="I2" s="53"/>
    </row>
    <row r="3" spans="3:9" x14ac:dyDescent="0.25">
      <c r="C3" s="52"/>
      <c r="D3" s="51"/>
      <c r="E3" s="51"/>
      <c r="F3" s="51"/>
      <c r="G3" s="51"/>
      <c r="H3" s="51"/>
      <c r="I3" s="64"/>
    </row>
    <row r="4" spans="3:9" s="27" customFormat="1" x14ac:dyDescent="0.25">
      <c r="C4" s="27" t="s">
        <v>168</v>
      </c>
      <c r="D4" t="s">
        <v>169</v>
      </c>
    </row>
    <row r="5" spans="3:9" s="27" customFormat="1" x14ac:dyDescent="0.25">
      <c r="C5" s="27" t="s">
        <v>179</v>
      </c>
      <c r="D5" t="s">
        <v>180</v>
      </c>
    </row>
    <row r="7" spans="3:9" x14ac:dyDescent="0.25">
      <c r="C7" s="46" t="s">
        <v>124</v>
      </c>
      <c r="D7" s="62" t="s">
        <v>160</v>
      </c>
    </row>
    <row r="8" spans="3:9" x14ac:dyDescent="0.25">
      <c r="C8" s="46" t="s">
        <v>123</v>
      </c>
      <c r="D8" s="50" t="s">
        <v>126</v>
      </c>
    </row>
    <row r="9" spans="3:9" x14ac:dyDescent="0.25">
      <c r="C9" t="s">
        <v>122</v>
      </c>
      <c r="D9" s="49">
        <v>1</v>
      </c>
    </row>
    <row r="10" spans="3:9" x14ac:dyDescent="0.25">
      <c r="C10" t="s">
        <v>121</v>
      </c>
      <c r="D10" s="48">
        <v>4.18</v>
      </c>
    </row>
    <row r="11" spans="3:9" x14ac:dyDescent="0.25">
      <c r="C11" t="s">
        <v>120</v>
      </c>
      <c r="D11" s="47" t="s">
        <v>127</v>
      </c>
    </row>
    <row r="12" spans="3:9" x14ac:dyDescent="0.25">
      <c r="C12" s="46" t="s">
        <v>119</v>
      </c>
      <c r="D12" s="45">
        <v>44742</v>
      </c>
      <c r="E12" s="13"/>
      <c r="F12" s="13"/>
      <c r="G12" s="13"/>
      <c r="H12" s="13"/>
      <c r="I12" s="13"/>
    </row>
    <row r="13" spans="3:9" ht="15" customHeight="1" x14ac:dyDescent="0.25">
      <c r="C13" t="s">
        <v>118</v>
      </c>
      <c r="D13" s="44">
        <v>40.773000000000003</v>
      </c>
      <c r="E13" s="13"/>
      <c r="F13" s="13"/>
    </row>
    <row r="14" spans="3:9" ht="15" customHeight="1" x14ac:dyDescent="0.25">
      <c r="C14" t="s">
        <v>170</v>
      </c>
      <c r="D14" s="44">
        <f>D13*D10</f>
        <v>170.43114</v>
      </c>
      <c r="E14" s="13"/>
      <c r="F14" s="13"/>
    </row>
    <row r="15" spans="3:9" ht="15" customHeight="1" x14ac:dyDescent="0.25">
      <c r="C15" t="s">
        <v>181</v>
      </c>
      <c r="D15" s="44">
        <v>844</v>
      </c>
      <c r="E15" s="13"/>
      <c r="F15" s="13"/>
    </row>
    <row r="17" spans="3:17" x14ac:dyDescent="0.25">
      <c r="C17" s="31" t="s">
        <v>117</v>
      </c>
      <c r="D17" s="10"/>
      <c r="E17" s="10"/>
      <c r="F17" s="10"/>
      <c r="G17" s="10"/>
      <c r="H17" s="10"/>
      <c r="I17" s="10"/>
    </row>
    <row r="18" spans="3:17" x14ac:dyDescent="0.25">
      <c r="C18" t="s">
        <v>116</v>
      </c>
      <c r="D18" s="43">
        <f>E18-1</f>
        <v>2018</v>
      </c>
      <c r="E18" s="43">
        <f>F18-1</f>
        <v>2019</v>
      </c>
      <c r="F18" s="43">
        <f>G18-1</f>
        <v>2020</v>
      </c>
      <c r="G18" s="43">
        <f>H18-1</f>
        <v>2021</v>
      </c>
      <c r="H18" s="43">
        <f>YEAR(D12)</f>
        <v>2022</v>
      </c>
      <c r="I18" s="43">
        <f>H18+1</f>
        <v>2023</v>
      </c>
    </row>
    <row r="19" spans="3:17" x14ac:dyDescent="0.25">
      <c r="C19" s="42" t="s">
        <v>115</v>
      </c>
      <c r="D19" s="41">
        <f>EOMONTH(E19,-12)</f>
        <v>43281</v>
      </c>
      <c r="E19" s="41">
        <f>EOMONTH(F19,-12)</f>
        <v>43646</v>
      </c>
      <c r="F19" s="41">
        <f>EOMONTH(G19,-12)</f>
        <v>44012</v>
      </c>
      <c r="G19" s="41">
        <f>EOMONTH(H19,-12)</f>
        <v>44377</v>
      </c>
      <c r="H19" s="41">
        <f>D12</f>
        <v>44742</v>
      </c>
      <c r="I19" s="41">
        <v>45107</v>
      </c>
      <c r="K19" s="40" t="s">
        <v>114</v>
      </c>
      <c r="L19" s="39"/>
      <c r="M19" s="39"/>
      <c r="N19" s="39"/>
      <c r="O19" s="39"/>
      <c r="P19" s="39"/>
      <c r="Q19" s="39"/>
    </row>
    <row r="20" spans="3:17" x14ac:dyDescent="0.25">
      <c r="C20" s="34"/>
      <c r="D20" s="38"/>
      <c r="E20" s="38"/>
      <c r="F20" s="38"/>
      <c r="G20" s="37"/>
      <c r="H20" s="37"/>
      <c r="I20" s="37"/>
    </row>
    <row r="21" spans="3:17" x14ac:dyDescent="0.25">
      <c r="C21" t="s">
        <v>113</v>
      </c>
      <c r="D21" s="6"/>
      <c r="E21" s="6">
        <v>181896881</v>
      </c>
      <c r="F21" s="6">
        <v>192909153</v>
      </c>
      <c r="G21" s="6">
        <v>200228976</v>
      </c>
      <c r="H21" s="6">
        <v>217981225</v>
      </c>
      <c r="I21" s="6">
        <v>231090604</v>
      </c>
      <c r="K21" t="s">
        <v>112</v>
      </c>
    </row>
    <row r="22" spans="3:17" x14ac:dyDescent="0.25">
      <c r="C22" t="s">
        <v>111</v>
      </c>
      <c r="D22" s="6"/>
      <c r="E22" s="6">
        <f>-27320578-14028326</f>
        <v>-41348904</v>
      </c>
      <c r="F22" s="6">
        <f>-31854333-13215192</f>
        <v>-45069525</v>
      </c>
      <c r="G22" s="6">
        <v>-34632427</v>
      </c>
      <c r="H22" s="6">
        <v>-33717711</v>
      </c>
      <c r="I22" s="6"/>
      <c r="K22" t="s">
        <v>110</v>
      </c>
    </row>
    <row r="23" spans="3:17" x14ac:dyDescent="0.25">
      <c r="C23" s="27" t="s">
        <v>109</v>
      </c>
      <c r="D23" s="2">
        <f>SUM(D21:D22)</f>
        <v>0</v>
      </c>
      <c r="E23" s="2">
        <f>SUM(E21:E22)</f>
        <v>140547977</v>
      </c>
      <c r="F23" s="2">
        <f>SUM(F21:F22)</f>
        <v>147839628</v>
      </c>
      <c r="G23" s="2">
        <f>SUM(G21:G22)</f>
        <v>165596549</v>
      </c>
      <c r="H23" s="2">
        <f>SUM(H21:H22)</f>
        <v>184263514</v>
      </c>
      <c r="I23" s="2"/>
      <c r="K23" s="36" t="s">
        <v>108</v>
      </c>
    </row>
    <row r="24" spans="3:17" x14ac:dyDescent="0.25">
      <c r="C24" t="s">
        <v>107</v>
      </c>
      <c r="D24" s="6"/>
      <c r="E24" s="6">
        <v>-52507378</v>
      </c>
      <c r="F24" s="6">
        <v>-50833605</v>
      </c>
      <c r="G24" s="6">
        <f>-17913497-15717638</f>
        <v>-33631135</v>
      </c>
      <c r="H24" s="6">
        <f>-18123350-16486247</f>
        <v>-34609597</v>
      </c>
      <c r="I24" s="6"/>
      <c r="K24" s="36" t="s">
        <v>106</v>
      </c>
    </row>
    <row r="25" spans="3:17" x14ac:dyDescent="0.25">
      <c r="C25" t="s">
        <v>105</v>
      </c>
      <c r="D25" s="6"/>
      <c r="E25" s="6">
        <f>-9010002-19360434-16355259</f>
        <v>-44725695</v>
      </c>
      <c r="F25" s="6">
        <f>-23568998-19030179-11685450</f>
        <v>-54284627</v>
      </c>
      <c r="G25" s="6">
        <f>-31864811-17710156-15066152-9539762</f>
        <v>-74180881</v>
      </c>
      <c r="H25" s="6">
        <f>-28029736-18364488-16347494-11498146</f>
        <v>-74239864</v>
      </c>
      <c r="I25" s="6"/>
      <c r="K25" s="36" t="s">
        <v>104</v>
      </c>
    </row>
    <row r="26" spans="3:17" x14ac:dyDescent="0.25">
      <c r="C26" t="s">
        <v>129</v>
      </c>
      <c r="D26" s="6"/>
      <c r="E26" s="6"/>
      <c r="F26" s="6">
        <v>876453</v>
      </c>
      <c r="G26" s="6">
        <v>363085</v>
      </c>
      <c r="H26" s="6">
        <v>-116978</v>
      </c>
      <c r="I26" s="6"/>
      <c r="K26" s="36"/>
    </row>
    <row r="27" spans="3:17" x14ac:dyDescent="0.25">
      <c r="C27" t="s">
        <v>132</v>
      </c>
      <c r="D27" s="6"/>
      <c r="E27" s="6">
        <v>-1568099</v>
      </c>
      <c r="F27" s="6">
        <v>-2554745</v>
      </c>
      <c r="G27" s="6">
        <v>356390</v>
      </c>
      <c r="H27" s="6">
        <v>0</v>
      </c>
      <c r="I27" s="6"/>
      <c r="K27" s="36"/>
    </row>
    <row r="28" spans="3:17" x14ac:dyDescent="0.25">
      <c r="C28" t="s">
        <v>130</v>
      </c>
      <c r="D28" s="6"/>
      <c r="E28" s="6">
        <v>-3156031</v>
      </c>
      <c r="F28" s="6">
        <v>-7570900</v>
      </c>
      <c r="G28" s="6">
        <v>-4379472</v>
      </c>
      <c r="H28" s="6">
        <v>-348493</v>
      </c>
      <c r="I28" s="6"/>
      <c r="K28" s="36"/>
    </row>
    <row r="29" spans="3:17" x14ac:dyDescent="0.25">
      <c r="C29" s="27" t="s">
        <v>103</v>
      </c>
      <c r="D29" s="2">
        <f>SUM(D23:D28)-D38</f>
        <v>0</v>
      </c>
      <c r="E29" s="2">
        <f t="shared" ref="E29:F29" si="0">SUM(E23:E28)-E38</f>
        <v>-5796649</v>
      </c>
      <c r="F29" s="2">
        <f t="shared" si="0"/>
        <v>-14463228</v>
      </c>
      <c r="G29" s="2">
        <f>SUM(G23:G28)-G38</f>
        <v>5703012</v>
      </c>
      <c r="H29" s="2">
        <f>SUM(H23:H28)-H38</f>
        <v>13287379</v>
      </c>
      <c r="I29" s="2"/>
      <c r="K29" s="27" t="s">
        <v>102</v>
      </c>
    </row>
    <row r="30" spans="3:17" x14ac:dyDescent="0.25">
      <c r="C30" t="s">
        <v>101</v>
      </c>
      <c r="D30" s="6"/>
      <c r="E30" s="6"/>
      <c r="F30" s="6"/>
      <c r="G30" s="6">
        <v>234676</v>
      </c>
      <c r="H30" s="6">
        <v>201003</v>
      </c>
      <c r="I30" s="6"/>
      <c r="K30" t="s">
        <v>100</v>
      </c>
    </row>
    <row r="31" spans="3:17" x14ac:dyDescent="0.25">
      <c r="C31" t="s">
        <v>99</v>
      </c>
      <c r="D31" s="6"/>
      <c r="E31" s="6">
        <v>-18003409</v>
      </c>
      <c r="F31" s="6">
        <v>-15861339</v>
      </c>
      <c r="G31" s="6">
        <v>-15089916</v>
      </c>
      <c r="H31" s="6">
        <v>-10739561</v>
      </c>
      <c r="I31" s="6"/>
      <c r="K31" t="s">
        <v>98</v>
      </c>
    </row>
    <row r="32" spans="3:17" x14ac:dyDescent="0.25">
      <c r="C32" t="s">
        <v>131</v>
      </c>
      <c r="D32" s="6"/>
      <c r="E32" s="6"/>
      <c r="F32" s="6"/>
      <c r="G32" s="6">
        <v>0</v>
      </c>
      <c r="H32" s="6">
        <v>3526371</v>
      </c>
      <c r="I32" s="6"/>
    </row>
    <row r="33" spans="3:18" x14ac:dyDescent="0.25">
      <c r="C33" t="s">
        <v>97</v>
      </c>
      <c r="D33" s="6"/>
      <c r="E33" s="6">
        <f>-18848077-1281539</f>
        <v>-20129616</v>
      </c>
      <c r="F33" s="6">
        <f>-20151453+109130311</f>
        <v>88978858</v>
      </c>
      <c r="G33" s="6">
        <f>-18937838</f>
        <v>-18937838</v>
      </c>
      <c r="H33" s="6">
        <f>-17531866</f>
        <v>-17531866</v>
      </c>
      <c r="I33" s="6"/>
      <c r="K33" t="s">
        <v>96</v>
      </c>
    </row>
    <row r="34" spans="3:18" x14ac:dyDescent="0.25">
      <c r="C34" s="27" t="s">
        <v>95</v>
      </c>
      <c r="D34" s="2">
        <f>SUM(D29:D33)</f>
        <v>0</v>
      </c>
      <c r="E34" s="2">
        <f>SUM(E29:E33)</f>
        <v>-43929674</v>
      </c>
      <c r="F34" s="2">
        <f>SUM(F29:F33)</f>
        <v>58654291</v>
      </c>
      <c r="G34" s="2">
        <f>SUM(G29:G33)</f>
        <v>-28090066</v>
      </c>
      <c r="H34" s="2">
        <f>H29+H31</f>
        <v>2547818</v>
      </c>
      <c r="I34" s="2"/>
      <c r="K34" s="27" t="s">
        <v>94</v>
      </c>
      <c r="L34" s="27"/>
    </row>
    <row r="35" spans="3:18" x14ac:dyDescent="0.25">
      <c r="C35" t="s">
        <v>93</v>
      </c>
      <c r="D35" s="6">
        <v>0</v>
      </c>
      <c r="E35" s="6">
        <v>0</v>
      </c>
      <c r="F35" s="6">
        <v>0</v>
      </c>
      <c r="G35" s="6">
        <v>0</v>
      </c>
      <c r="H35" s="6">
        <v>0</v>
      </c>
      <c r="I35" s="6"/>
      <c r="K35" t="s">
        <v>92</v>
      </c>
    </row>
    <row r="36" spans="3:18" x14ac:dyDescent="0.25">
      <c r="C36" s="27" t="s">
        <v>47</v>
      </c>
      <c r="D36" s="2">
        <f>SUM(D34:D35)</f>
        <v>0</v>
      </c>
      <c r="E36" s="2">
        <f>SUM(E34:E35)</f>
        <v>-43929674</v>
      </c>
      <c r="F36" s="2">
        <f>SUM(F34:F35)</f>
        <v>58654291</v>
      </c>
      <c r="G36" s="2">
        <f>SUM(G34:G35)</f>
        <v>-28090066</v>
      </c>
      <c r="H36" s="2">
        <f>SUM(H34:H35)</f>
        <v>2547818</v>
      </c>
      <c r="I36" s="2"/>
      <c r="K36" s="27" t="s">
        <v>91</v>
      </c>
    </row>
    <row r="37" spans="3:18" x14ac:dyDescent="0.25">
      <c r="C37" s="7"/>
      <c r="D37" s="13"/>
      <c r="E37" s="13"/>
      <c r="F37" s="13"/>
      <c r="G37" s="13"/>
      <c r="H37" s="13"/>
      <c r="I37" s="13"/>
    </row>
    <row r="38" spans="3:18" x14ac:dyDescent="0.25">
      <c r="C38" s="9" t="s">
        <v>90</v>
      </c>
      <c r="D38" s="6"/>
      <c r="E38" s="6">
        <v>44387423</v>
      </c>
      <c r="F38" s="6">
        <v>47935432</v>
      </c>
      <c r="G38" s="6">
        <v>48421524</v>
      </c>
      <c r="H38" s="6">
        <v>61661203</v>
      </c>
      <c r="I38" s="6"/>
      <c r="K38" t="s">
        <v>89</v>
      </c>
    </row>
    <row r="39" spans="3:18" x14ac:dyDescent="0.25">
      <c r="C39" s="17" t="s">
        <v>88</v>
      </c>
      <c r="D39" s="2">
        <f>D29+D38</f>
        <v>0</v>
      </c>
      <c r="E39" s="2">
        <f>E29+E38</f>
        <v>38590774</v>
      </c>
      <c r="F39" s="2">
        <f>F29+F38</f>
        <v>33472204</v>
      </c>
      <c r="G39" s="2">
        <f>G29+G38</f>
        <v>54124536</v>
      </c>
      <c r="H39" s="2">
        <f>H29+H38</f>
        <v>74948582</v>
      </c>
      <c r="I39" s="2"/>
      <c r="K39" s="27" t="s">
        <v>87</v>
      </c>
    </row>
    <row r="40" spans="3:18" x14ac:dyDescent="0.25">
      <c r="C40" s="9" t="s">
        <v>45</v>
      </c>
      <c r="D40" s="6"/>
      <c r="E40" s="6"/>
      <c r="F40" s="6"/>
      <c r="G40" s="6"/>
      <c r="H40" s="6"/>
      <c r="I40" s="6"/>
      <c r="K40" t="s">
        <v>86</v>
      </c>
    </row>
    <row r="41" spans="3:18" x14ac:dyDescent="0.25">
      <c r="C41" s="17" t="s">
        <v>85</v>
      </c>
      <c r="D41" s="2">
        <f>SUM(D39:D40)</f>
        <v>0</v>
      </c>
      <c r="E41" s="2">
        <f>SUM(E39:E40)</f>
        <v>38590774</v>
      </c>
      <c r="F41" s="2">
        <f>SUM(F39:F40)</f>
        <v>33472204</v>
      </c>
      <c r="G41" s="2">
        <f>SUM(G39:G40)</f>
        <v>54124536</v>
      </c>
      <c r="H41" s="2">
        <f>SUM(H39:H40)</f>
        <v>74948582</v>
      </c>
      <c r="I41" s="2"/>
      <c r="K41" s="27" t="s">
        <v>84</v>
      </c>
    </row>
    <row r="42" spans="3:18" x14ac:dyDescent="0.25">
      <c r="C42" s="7"/>
    </row>
    <row r="43" spans="3:18" x14ac:dyDescent="0.25">
      <c r="C43" s="24" t="s">
        <v>83</v>
      </c>
    </row>
    <row r="44" spans="3:18" x14ac:dyDescent="0.25">
      <c r="C44" s="7" t="s">
        <v>82</v>
      </c>
      <c r="D44" s="21"/>
      <c r="E44" s="21"/>
      <c r="F44" s="21">
        <f t="shared" ref="F44" si="1">F21/E21-1</f>
        <v>6.0541290974637452E-2</v>
      </c>
      <c r="G44" s="21">
        <f>G21/F21-1</f>
        <v>3.7944404846357971E-2</v>
      </c>
      <c r="H44" s="21">
        <f>H21/G21-1</f>
        <v>8.8659740236597839E-2</v>
      </c>
      <c r="I44" s="21">
        <f>I21/H21-1</f>
        <v>6.0139945538887574E-2</v>
      </c>
      <c r="K44" t="s">
        <v>81</v>
      </c>
      <c r="M44" s="35"/>
      <c r="N44" s="35"/>
      <c r="O44" s="35"/>
      <c r="P44" s="35"/>
      <c r="Q44" s="35"/>
      <c r="R44" s="35"/>
    </row>
    <row r="45" spans="3:18" x14ac:dyDescent="0.25">
      <c r="C45" s="7" t="s">
        <v>80</v>
      </c>
      <c r="D45" s="21"/>
      <c r="E45" s="21">
        <f>E23/E21</f>
        <v>0.77267942268894652</v>
      </c>
      <c r="F45" s="21">
        <f>F23/F21</f>
        <v>0.76636917274733973</v>
      </c>
      <c r="G45" s="21">
        <f>G23/G21</f>
        <v>0.82703588815237217</v>
      </c>
      <c r="H45" s="21">
        <f>H23/H21</f>
        <v>0.84531827913160873</v>
      </c>
      <c r="I45" s="21">
        <f>I23/I21</f>
        <v>0</v>
      </c>
      <c r="K45" t="s">
        <v>79</v>
      </c>
      <c r="M45" s="35"/>
      <c r="N45" s="35"/>
      <c r="O45" s="35"/>
      <c r="P45" s="35"/>
      <c r="Q45" s="35"/>
      <c r="R45" s="35"/>
    </row>
    <row r="46" spans="3:18" x14ac:dyDescent="0.25">
      <c r="C46" s="7" t="s">
        <v>78</v>
      </c>
      <c r="D46" s="21"/>
      <c r="E46" s="21">
        <f>-E24/E21</f>
        <v>0.28866563138045231</v>
      </c>
      <c r="F46" s="21">
        <f>-F24/F21</f>
        <v>0.26351059143367861</v>
      </c>
      <c r="G46" s="21">
        <f>-G24/G21</f>
        <v>0.16796337708883852</v>
      </c>
      <c r="H46" s="21">
        <f>-H24/H21</f>
        <v>0.15877329343387259</v>
      </c>
      <c r="I46" s="21">
        <f>-I24/I21</f>
        <v>0</v>
      </c>
      <c r="K46" t="s">
        <v>75</v>
      </c>
      <c r="M46" s="35"/>
      <c r="N46" s="35"/>
      <c r="O46" s="35"/>
      <c r="P46" s="35"/>
      <c r="Q46" s="35"/>
      <c r="R46" s="35"/>
    </row>
    <row r="47" spans="3:18" x14ac:dyDescent="0.25">
      <c r="C47" s="7" t="s">
        <v>77</v>
      </c>
      <c r="D47" s="21"/>
      <c r="E47" s="21">
        <f>-E25/E21</f>
        <v>0.2458848923308366</v>
      </c>
      <c r="F47" s="21">
        <f>-F25/F21</f>
        <v>0.28139995513846872</v>
      </c>
      <c r="G47" s="21">
        <f>-G25/G21</f>
        <v>0.37048024957187015</v>
      </c>
      <c r="H47" s="21">
        <f>-H25/H21</f>
        <v>0.34057916685255807</v>
      </c>
      <c r="I47" s="21">
        <f>-I25/I21</f>
        <v>0</v>
      </c>
      <c r="K47" t="s">
        <v>75</v>
      </c>
      <c r="M47" s="35"/>
      <c r="N47" s="35"/>
      <c r="O47" s="35"/>
      <c r="P47" s="35"/>
      <c r="Q47" s="35"/>
      <c r="R47" s="35"/>
    </row>
    <row r="48" spans="3:18" x14ac:dyDescent="0.25">
      <c r="C48" s="7" t="s">
        <v>76</v>
      </c>
      <c r="D48" s="21"/>
      <c r="E48" s="21">
        <f>-(E35/E34)</f>
        <v>0</v>
      </c>
      <c r="F48" s="21">
        <f>-(F35/F34)</f>
        <v>0</v>
      </c>
      <c r="G48" s="21">
        <f>-(G35/G34)</f>
        <v>0</v>
      </c>
      <c r="H48" s="21">
        <f>-(H35/H34)</f>
        <v>0</v>
      </c>
      <c r="I48" s="21" t="e">
        <f>-(I35/I34)</f>
        <v>#DIV/0!</v>
      </c>
      <c r="K48" t="s">
        <v>75</v>
      </c>
      <c r="M48" s="35"/>
      <c r="N48" s="35"/>
      <c r="O48" s="35"/>
      <c r="P48" s="35"/>
      <c r="Q48" s="35"/>
      <c r="R48" s="35"/>
    </row>
    <row r="49" spans="3:18" x14ac:dyDescent="0.25">
      <c r="C49" s="7" t="s">
        <v>128</v>
      </c>
      <c r="D49" s="21"/>
      <c r="E49" s="21"/>
      <c r="F49" s="21">
        <f t="shared" ref="F49:G49" si="2">F39/E39-1</f>
        <v>-0.13263714275334304</v>
      </c>
      <c r="G49" s="21">
        <f t="shared" si="2"/>
        <v>0.61699946618394175</v>
      </c>
      <c r="H49" s="21">
        <f>H39/G39-1</f>
        <v>0.38474317821403581</v>
      </c>
      <c r="I49" s="21">
        <f>I39/H39-1</f>
        <v>-1</v>
      </c>
      <c r="M49" s="35"/>
      <c r="N49" s="35"/>
      <c r="O49" s="35"/>
      <c r="P49" s="35"/>
      <c r="Q49" s="35"/>
      <c r="R49" s="35"/>
    </row>
    <row r="50" spans="3:18" x14ac:dyDescent="0.25">
      <c r="C50" s="7" t="s">
        <v>133</v>
      </c>
      <c r="D50" s="21"/>
      <c r="E50" s="21"/>
      <c r="F50" s="21">
        <f t="shared" ref="F50:G50" si="3">F29/E29-1</f>
        <v>1.4951015664395069</v>
      </c>
      <c r="G50" s="21">
        <f t="shared" si="3"/>
        <v>-1.3943111454787271</v>
      </c>
      <c r="H50" s="21">
        <f>H29/G29-1</f>
        <v>1.3298879609581742</v>
      </c>
      <c r="I50" s="21">
        <f>I29/H29-1</f>
        <v>-1</v>
      </c>
      <c r="M50" s="35"/>
      <c r="N50" s="35"/>
      <c r="O50" s="35"/>
      <c r="P50" s="35"/>
      <c r="Q50" s="35"/>
      <c r="R50" s="35"/>
    </row>
    <row r="51" spans="3:18" x14ac:dyDescent="0.25">
      <c r="C51" s="7"/>
    </row>
    <row r="52" spans="3:18" x14ac:dyDescent="0.25">
      <c r="C52" s="31" t="s">
        <v>74</v>
      </c>
      <c r="D52" s="32"/>
      <c r="E52" s="32"/>
      <c r="F52" s="32"/>
      <c r="G52" s="32"/>
      <c r="H52" s="32"/>
      <c r="I52" s="32"/>
    </row>
    <row r="53" spans="3:18" x14ac:dyDescent="0.25">
      <c r="C53" s="30" t="str">
        <f>C18</f>
        <v xml:space="preserve">Fiscal year  </v>
      </c>
      <c r="D53" s="29">
        <f>D18</f>
        <v>2018</v>
      </c>
      <c r="E53" s="29">
        <f t="shared" ref="E53:F53" si="4">E18</f>
        <v>2019</v>
      </c>
      <c r="F53" s="29">
        <f t="shared" si="4"/>
        <v>2020</v>
      </c>
      <c r="G53" s="29">
        <f t="shared" ref="G53:H54" si="5">G18</f>
        <v>2021</v>
      </c>
      <c r="H53" s="29">
        <f t="shared" si="5"/>
        <v>2022</v>
      </c>
      <c r="I53" s="29">
        <f>H53+1</f>
        <v>2023</v>
      </c>
    </row>
    <row r="54" spans="3:18" x14ac:dyDescent="0.25">
      <c r="C54" s="10" t="str">
        <f>C19</f>
        <v>Fiscal year end date</v>
      </c>
      <c r="D54" s="28">
        <f>D19</f>
        <v>43281</v>
      </c>
      <c r="E54" s="28">
        <f t="shared" ref="E54:F54" si="6">E19</f>
        <v>43646</v>
      </c>
      <c r="F54" s="28">
        <f t="shared" si="6"/>
        <v>44012</v>
      </c>
      <c r="G54" s="28">
        <f t="shared" si="5"/>
        <v>44377</v>
      </c>
      <c r="H54" s="28">
        <f t="shared" si="5"/>
        <v>44742</v>
      </c>
      <c r="I54" s="28">
        <v>45107</v>
      </c>
    </row>
    <row r="55" spans="3:18" x14ac:dyDescent="0.25">
      <c r="C55" t="s">
        <v>73</v>
      </c>
      <c r="D55" s="6"/>
      <c r="E55" s="6">
        <v>28326808</v>
      </c>
      <c r="F55" s="6">
        <v>174902357</v>
      </c>
      <c r="G55" s="6">
        <f>57833861+44990600</f>
        <v>102824461</v>
      </c>
      <c r="H55" s="6">
        <f>73688646+30501198</f>
        <v>104189844</v>
      </c>
      <c r="I55" s="6">
        <f>53568039+41705041</f>
        <v>95273080</v>
      </c>
      <c r="K55" t="s">
        <v>72</v>
      </c>
    </row>
    <row r="56" spans="3:18" x14ac:dyDescent="0.25">
      <c r="C56" t="s">
        <v>71</v>
      </c>
      <c r="D56" s="6"/>
      <c r="E56" s="6">
        <v>15757739</v>
      </c>
      <c r="F56" s="6">
        <v>19158222</v>
      </c>
      <c r="G56" s="6">
        <v>16399980</v>
      </c>
      <c r="H56" s="6">
        <v>59974225</v>
      </c>
      <c r="I56" s="6">
        <v>17439434</v>
      </c>
      <c r="K56" t="s">
        <v>58</v>
      </c>
    </row>
    <row r="57" spans="3:18" x14ac:dyDescent="0.25">
      <c r="C57" t="s">
        <v>70</v>
      </c>
      <c r="D57" s="6"/>
      <c r="E57" s="6">
        <v>8121937</v>
      </c>
      <c r="F57" s="6">
        <v>7293042</v>
      </c>
      <c r="G57" s="6">
        <v>9554090</v>
      </c>
      <c r="H57" s="6">
        <v>4031426</v>
      </c>
      <c r="I57" s="6">
        <v>3398174</v>
      </c>
      <c r="K57" t="s">
        <v>64</v>
      </c>
    </row>
    <row r="58" spans="3:18" x14ac:dyDescent="0.25">
      <c r="C58" t="s">
        <v>69</v>
      </c>
      <c r="D58" s="6"/>
      <c r="E58" s="6">
        <f>3398209+5866702+618202+207732098</f>
        <v>217615211</v>
      </c>
      <c r="F58" s="6">
        <f>5618667+6209684+4482403</f>
        <v>16310754</v>
      </c>
      <c r="G58" s="6">
        <f>6596996+6476559+916204</f>
        <v>13989759</v>
      </c>
      <c r="H58" s="6">
        <f>422439+6425687+1622254</f>
        <v>8470380</v>
      </c>
      <c r="I58" s="6">
        <f>11689957+11037130+303579</f>
        <v>23030666</v>
      </c>
      <c r="K58" t="s">
        <v>58</v>
      </c>
    </row>
    <row r="59" spans="3:18" x14ac:dyDescent="0.25">
      <c r="C59" t="s">
        <v>68</v>
      </c>
      <c r="D59" s="6"/>
      <c r="E59" s="6">
        <v>343761191</v>
      </c>
      <c r="F59" s="6">
        <v>329942312</v>
      </c>
      <c r="G59" s="6">
        <v>319241510</v>
      </c>
      <c r="H59" s="6">
        <v>307222634</v>
      </c>
      <c r="I59" s="6">
        <v>302240247</v>
      </c>
      <c r="K59" t="s">
        <v>67</v>
      </c>
    </row>
    <row r="60" spans="3:18" x14ac:dyDescent="0.25">
      <c r="C60" t="s">
        <v>43</v>
      </c>
      <c r="D60" s="6"/>
      <c r="E60" s="6">
        <f>74212275+2756320</f>
        <v>76968595</v>
      </c>
      <c r="F60" s="6">
        <v>68638225</v>
      </c>
      <c r="G60" s="6">
        <f>62932741+681479</f>
        <v>63614220</v>
      </c>
      <c r="H60" s="6">
        <f>56554403+1312900</f>
        <v>57867303</v>
      </c>
      <c r="I60" s="6">
        <f>52203981+668825</f>
        <v>52872806</v>
      </c>
      <c r="K60" t="s">
        <v>58</v>
      </c>
    </row>
    <row r="61" spans="3:18" x14ac:dyDescent="0.25">
      <c r="C61" s="17" t="s">
        <v>66</v>
      </c>
      <c r="D61" s="2"/>
      <c r="E61" s="2">
        <f>SUM(E55:E60)</f>
        <v>690551481</v>
      </c>
      <c r="F61" s="2">
        <f>SUM(F55:F60)</f>
        <v>616244912</v>
      </c>
      <c r="G61" s="2">
        <f>SUM(G55:G60)</f>
        <v>525624020</v>
      </c>
      <c r="H61" s="2">
        <f>SUM(H55:H60)</f>
        <v>541755812</v>
      </c>
      <c r="I61" s="2">
        <f>SUM(I55:I60)</f>
        <v>494254407</v>
      </c>
    </row>
    <row r="62" spans="3:18" x14ac:dyDescent="0.25">
      <c r="C62" s="9"/>
      <c r="D62" s="13"/>
      <c r="E62" s="6"/>
      <c r="F62" s="13"/>
      <c r="G62" s="13"/>
      <c r="H62" s="13"/>
      <c r="I62" s="13"/>
    </row>
    <row r="63" spans="3:18" x14ac:dyDescent="0.25">
      <c r="C63" s="9" t="s">
        <v>65</v>
      </c>
      <c r="D63" s="6"/>
      <c r="E63" s="6">
        <v>65710259</v>
      </c>
      <c r="F63" s="6">
        <v>74997860</v>
      </c>
      <c r="G63" s="6">
        <v>59041329</v>
      </c>
      <c r="H63" s="6">
        <v>46025380</v>
      </c>
      <c r="I63" s="6">
        <v>44929640</v>
      </c>
      <c r="K63" t="s">
        <v>64</v>
      </c>
    </row>
    <row r="64" spans="3:18" x14ac:dyDescent="0.25">
      <c r="C64" s="9" t="s">
        <v>63</v>
      </c>
      <c r="D64" s="6"/>
      <c r="E64" s="6">
        <v>15315735</v>
      </c>
      <c r="F64" s="6">
        <v>15284921</v>
      </c>
      <c r="G64" s="6">
        <f>9271611+3574514+2520000</f>
        <v>15366125</v>
      </c>
      <c r="H64" s="6">
        <f>9463960+3089222+4162000</f>
        <v>16715182</v>
      </c>
      <c r="I64" s="6">
        <f>3392819+416200+14935890</f>
        <v>18744909</v>
      </c>
      <c r="K64" t="s">
        <v>58</v>
      </c>
    </row>
    <row r="65" spans="3:11" x14ac:dyDescent="0.25">
      <c r="C65" s="9" t="s">
        <v>62</v>
      </c>
      <c r="D65" s="6"/>
      <c r="E65" s="6">
        <v>3369250</v>
      </c>
      <c r="F65" s="6">
        <v>5444473</v>
      </c>
      <c r="G65" s="6">
        <v>6129895</v>
      </c>
      <c r="H65" s="6">
        <v>4277180</v>
      </c>
      <c r="I65" s="6">
        <v>4694819</v>
      </c>
      <c r="K65" t="s">
        <v>58</v>
      </c>
    </row>
    <row r="66" spans="3:11" x14ac:dyDescent="0.25">
      <c r="C66" s="9" t="s">
        <v>61</v>
      </c>
      <c r="D66" s="6"/>
      <c r="E66" s="6"/>
      <c r="F66" s="6">
        <v>58455397</v>
      </c>
      <c r="G66" s="6">
        <v>58620304</v>
      </c>
      <c r="H66" s="6">
        <v>54623211</v>
      </c>
      <c r="I66" s="6">
        <v>50823680</v>
      </c>
      <c r="K66" t="s">
        <v>60</v>
      </c>
    </row>
    <row r="67" spans="3:11" x14ac:dyDescent="0.25">
      <c r="C67" s="9" t="s">
        <v>59</v>
      </c>
      <c r="D67" s="6"/>
      <c r="E67" s="6">
        <f>6552456+61505134</f>
        <v>68057590</v>
      </c>
      <c r="F67" s="6">
        <v>2520000</v>
      </c>
      <c r="G67" s="6">
        <f>11997844+54745983</f>
        <v>66743827</v>
      </c>
      <c r="H67" s="6">
        <f>54108766+12517989</f>
        <v>66626755</v>
      </c>
      <c r="I67" s="6">
        <f>50823680+13168389</f>
        <v>63992069</v>
      </c>
      <c r="K67" t="s">
        <v>51</v>
      </c>
    </row>
    <row r="68" spans="3:11" ht="15.75" customHeight="1" x14ac:dyDescent="0.25">
      <c r="C68" s="9" t="s">
        <v>41</v>
      </c>
      <c r="D68" s="6"/>
      <c r="E68" s="6">
        <v>521630845</v>
      </c>
      <c r="F68" s="6">
        <v>384577181</v>
      </c>
      <c r="G68" s="6">
        <f>264043047+8851130</f>
        <v>272894177</v>
      </c>
      <c r="H68" s="6">
        <f>8592668+308439650</f>
        <v>317032318</v>
      </c>
      <c r="I68" s="6">
        <f>8270694+270189567</f>
        <v>278460261</v>
      </c>
      <c r="K68" t="s">
        <v>58</v>
      </c>
    </row>
    <row r="69" spans="3:11" x14ac:dyDescent="0.25">
      <c r="C69" s="17" t="s">
        <v>57</v>
      </c>
      <c r="D69" s="2"/>
      <c r="E69" s="2">
        <f>SUM(E63:E68)</f>
        <v>674083679</v>
      </c>
      <c r="F69" s="2">
        <f>SUM(F63:F68)</f>
        <v>541279832</v>
      </c>
      <c r="G69" s="2">
        <f>SUM(G63:G68)</f>
        <v>478795657</v>
      </c>
      <c r="H69" s="2">
        <f>SUM(H63:H68)</f>
        <v>505300026</v>
      </c>
      <c r="I69" s="2">
        <f>SUM(I63:I68)</f>
        <v>461645378</v>
      </c>
    </row>
    <row r="70" spans="3:11" x14ac:dyDescent="0.25">
      <c r="C70" s="17"/>
      <c r="D70" s="2"/>
      <c r="E70" s="2"/>
      <c r="F70" s="2"/>
      <c r="G70" s="2"/>
      <c r="H70" s="2"/>
      <c r="I70" s="2"/>
    </row>
    <row r="71" spans="3:11" x14ac:dyDescent="0.25">
      <c r="C71" s="9" t="s">
        <v>56</v>
      </c>
      <c r="D71" s="6"/>
      <c r="E71" s="6">
        <v>30367307</v>
      </c>
      <c r="F71" s="6">
        <v>30367307</v>
      </c>
      <c r="G71" s="6">
        <v>30367307</v>
      </c>
      <c r="H71" s="6">
        <v>30367307</v>
      </c>
      <c r="I71" s="6">
        <v>30367307</v>
      </c>
      <c r="K71" t="s">
        <v>55</v>
      </c>
    </row>
    <row r="72" spans="3:11" ht="15.75" customHeight="1" x14ac:dyDescent="0.25">
      <c r="C72" s="9" t="s">
        <v>54</v>
      </c>
      <c r="D72" s="8"/>
      <c r="E72" s="6">
        <v>7823460</v>
      </c>
      <c r="F72" s="6">
        <v>92894200</v>
      </c>
      <c r="G72" s="6">
        <v>86864594</v>
      </c>
      <c r="H72" s="6">
        <v>92853610</v>
      </c>
      <c r="I72" s="6">
        <v>92970563</v>
      </c>
      <c r="K72" t="s">
        <v>53</v>
      </c>
    </row>
    <row r="73" spans="3:11" ht="15.75" customHeight="1" x14ac:dyDescent="0.25">
      <c r="C73" s="9" t="s">
        <v>134</v>
      </c>
      <c r="D73" s="8"/>
      <c r="E73" s="6">
        <v>-21722965</v>
      </c>
      <c r="F73" s="6">
        <v>-48296427</v>
      </c>
      <c r="G73" s="6">
        <v>-70403538</v>
      </c>
      <c r="H73" s="6">
        <v>-86765131</v>
      </c>
      <c r="I73" s="6">
        <v>-98399273</v>
      </c>
    </row>
    <row r="74" spans="3:11" ht="15.75" customHeight="1" x14ac:dyDescent="0.25">
      <c r="C74" s="9" t="s">
        <v>52</v>
      </c>
      <c r="D74" s="6"/>
      <c r="E74" s="6"/>
      <c r="F74" s="6"/>
      <c r="G74" s="6"/>
      <c r="H74" s="6"/>
      <c r="I74" s="6"/>
      <c r="K74" t="s">
        <v>51</v>
      </c>
    </row>
    <row r="75" spans="3:11" x14ac:dyDescent="0.25">
      <c r="C75" s="17" t="s">
        <v>50</v>
      </c>
      <c r="D75" s="14"/>
      <c r="E75" s="14">
        <f>SUM(E71:E74)</f>
        <v>16467802</v>
      </c>
      <c r="F75" s="14">
        <f>SUM(F71:F74)</f>
        <v>74965080</v>
      </c>
      <c r="G75" s="14">
        <f>SUM(G71:G74)</f>
        <v>46828363</v>
      </c>
      <c r="H75" s="14">
        <f>SUM(H71:H74)</f>
        <v>36455786</v>
      </c>
      <c r="I75" s="14">
        <f>SUM(I71:I73)</f>
        <v>24938597</v>
      </c>
    </row>
    <row r="76" spans="3:11" x14ac:dyDescent="0.25">
      <c r="D76" s="13"/>
      <c r="E76" s="13"/>
      <c r="F76" s="13"/>
      <c r="G76" s="13"/>
      <c r="H76" s="13"/>
      <c r="I76" s="13"/>
    </row>
    <row r="77" spans="3:11" x14ac:dyDescent="0.25">
      <c r="C77" s="34" t="s">
        <v>49</v>
      </c>
      <c r="D77" s="33">
        <f t="shared" ref="D77:F77" si="7">ROUND(D61-D69-D75,3)</f>
        <v>0</v>
      </c>
      <c r="E77" s="33">
        <f t="shared" si="7"/>
        <v>0</v>
      </c>
      <c r="F77" s="33">
        <f t="shared" si="7"/>
        <v>0</v>
      </c>
      <c r="G77" s="33">
        <f t="shared" ref="G77:I77" si="8">ROUND(G61-G69-G75,3)</f>
        <v>0</v>
      </c>
      <c r="H77" s="33">
        <f t="shared" si="8"/>
        <v>0</v>
      </c>
      <c r="I77" s="65">
        <f t="shared" si="8"/>
        <v>7670432</v>
      </c>
    </row>
    <row r="78" spans="3:11" x14ac:dyDescent="0.25">
      <c r="G78" s="13"/>
      <c r="H78" s="13"/>
      <c r="I78" s="13"/>
    </row>
    <row r="79" spans="3:11" x14ac:dyDescent="0.25">
      <c r="C79" s="31" t="s">
        <v>48</v>
      </c>
      <c r="D79" s="32"/>
      <c r="E79" s="32"/>
      <c r="F79" s="32"/>
      <c r="G79" s="32"/>
      <c r="H79" s="32"/>
      <c r="I79" s="32"/>
    </row>
    <row r="80" spans="3:11" x14ac:dyDescent="0.25">
      <c r="C80" s="30" t="str">
        <f>C18</f>
        <v xml:space="preserve">Fiscal year  </v>
      </c>
      <c r="E80" t="str">
        <f>CONCATENATE(D18," - ", E18)</f>
        <v>2018 - 2019</v>
      </c>
      <c r="F80" t="str">
        <f t="shared" ref="F80:G80" si="9">CONCATENATE(E18," - ", F18)</f>
        <v>2019 - 2020</v>
      </c>
      <c r="G80" t="str">
        <f t="shared" si="9"/>
        <v>2020 - 2021</v>
      </c>
      <c r="H80" t="str">
        <f>CONCATENATE(G18," - ", H18)</f>
        <v>2021 - 2022</v>
      </c>
    </row>
    <row r="81" spans="3:11" x14ac:dyDescent="0.25">
      <c r="C81" s="10" t="str">
        <f>C19</f>
        <v>Fiscal year end date</v>
      </c>
    </row>
    <row r="83" spans="3:11" x14ac:dyDescent="0.25">
      <c r="C83" t="s">
        <v>47</v>
      </c>
      <c r="D83" s="1"/>
      <c r="E83" s="13">
        <f>E36</f>
        <v>-43929674</v>
      </c>
      <c r="F83" s="13">
        <f t="shared" ref="F83:H83" si="10">F36</f>
        <v>58654291</v>
      </c>
      <c r="G83" s="13">
        <f t="shared" si="10"/>
        <v>-28090066</v>
      </c>
      <c r="H83" s="13">
        <f t="shared" si="10"/>
        <v>2547818</v>
      </c>
      <c r="I83" s="13"/>
      <c r="K83" s="27"/>
    </row>
    <row r="84" spans="3:11" x14ac:dyDescent="0.25">
      <c r="C84" t="s">
        <v>46</v>
      </c>
      <c r="D84" s="1"/>
      <c r="E84" s="1">
        <f>E38</f>
        <v>44387423</v>
      </c>
      <c r="F84" s="1">
        <f t="shared" ref="F84:H84" si="11">F38</f>
        <v>47935432</v>
      </c>
      <c r="G84" s="1">
        <f t="shared" si="11"/>
        <v>48421524</v>
      </c>
      <c r="H84" s="1">
        <f t="shared" si="11"/>
        <v>61661203</v>
      </c>
      <c r="I84" s="1"/>
    </row>
    <row r="85" spans="3:11" x14ac:dyDescent="0.25">
      <c r="C85" t="s">
        <v>45</v>
      </c>
      <c r="D85" s="1"/>
      <c r="E85" s="1"/>
      <c r="F85" s="1"/>
      <c r="G85" s="1"/>
      <c r="H85" s="1"/>
      <c r="I85" s="1"/>
    </row>
    <row r="86" spans="3:11" x14ac:dyDescent="0.25">
      <c r="C86" t="s">
        <v>156</v>
      </c>
    </row>
    <row r="87" spans="3:11" x14ac:dyDescent="0.25">
      <c r="C87" t="s">
        <v>157</v>
      </c>
      <c r="D87" s="13"/>
      <c r="E87" s="13"/>
      <c r="F87" s="13">
        <f>F56-E56</f>
        <v>3400483</v>
      </c>
      <c r="G87" s="13">
        <f t="shared" ref="G87" si="12">G56-F56</f>
        <v>-2758242</v>
      </c>
      <c r="H87" s="13">
        <f>H56-G56</f>
        <v>43574245</v>
      </c>
      <c r="I87" s="13"/>
    </row>
    <row r="88" spans="3:11" x14ac:dyDescent="0.25">
      <c r="C88" t="s">
        <v>158</v>
      </c>
      <c r="D88" s="13"/>
      <c r="E88" s="13"/>
      <c r="F88" s="13">
        <f>F57-E57</f>
        <v>-828895</v>
      </c>
      <c r="G88" s="13">
        <f t="shared" ref="G88" si="13">G57-F57</f>
        <v>2261048</v>
      </c>
      <c r="H88" s="13">
        <f>H57-G57</f>
        <v>-5522664</v>
      </c>
      <c r="I88" s="13"/>
    </row>
    <row r="89" spans="3:11" x14ac:dyDescent="0.25">
      <c r="C89" t="s">
        <v>44</v>
      </c>
      <c r="D89" s="13"/>
      <c r="E89" s="13"/>
      <c r="F89" s="13">
        <f>F63-E63</f>
        <v>9287601</v>
      </c>
      <c r="G89" s="13">
        <f t="shared" ref="G89" si="14">G63-F63</f>
        <v>-15956531</v>
      </c>
      <c r="H89" s="13">
        <f>H63-G63</f>
        <v>-13015949</v>
      </c>
      <c r="I89" s="13"/>
    </row>
    <row r="90" spans="3:11" x14ac:dyDescent="0.25">
      <c r="C90" t="s">
        <v>43</v>
      </c>
      <c r="K90" t="s">
        <v>42</v>
      </c>
    </row>
    <row r="91" spans="3:11" x14ac:dyDescent="0.25">
      <c r="C91" t="s">
        <v>41</v>
      </c>
      <c r="K91" s="27"/>
    </row>
    <row r="92" spans="3:11" x14ac:dyDescent="0.25">
      <c r="C92" s="27" t="s">
        <v>40</v>
      </c>
      <c r="E92" s="13">
        <f>SUM(E83:E91)</f>
        <v>457749</v>
      </c>
      <c r="F92" s="13">
        <f>SUM(F83:F91)</f>
        <v>118448912</v>
      </c>
      <c r="G92" s="13">
        <f>SUM(G83:G91)</f>
        <v>3877733</v>
      </c>
      <c r="H92" s="13">
        <f>SUM(H83:H91)</f>
        <v>89244653</v>
      </c>
      <c r="I92" s="13"/>
    </row>
    <row r="94" spans="3:11" x14ac:dyDescent="0.25">
      <c r="C94" t="s">
        <v>39</v>
      </c>
    </row>
    <row r="95" spans="3:11" x14ac:dyDescent="0.25">
      <c r="C95" s="27" t="s">
        <v>38</v>
      </c>
    </row>
    <row r="97" spans="3:11" x14ac:dyDescent="0.25">
      <c r="C97" t="s">
        <v>37</v>
      </c>
    </row>
    <row r="98" spans="3:11" x14ac:dyDescent="0.25">
      <c r="C98" t="s">
        <v>36</v>
      </c>
    </row>
    <row r="99" spans="3:11" x14ac:dyDescent="0.25">
      <c r="C99" t="s">
        <v>35</v>
      </c>
    </row>
    <row r="100" spans="3:11" x14ac:dyDescent="0.25">
      <c r="C100" t="s">
        <v>34</v>
      </c>
    </row>
    <row r="101" spans="3:11" x14ac:dyDescent="0.25">
      <c r="C101" s="27" t="s">
        <v>33</v>
      </c>
    </row>
    <row r="103" spans="3:11" x14ac:dyDescent="0.25">
      <c r="C103" s="27" t="s">
        <v>32</v>
      </c>
    </row>
    <row r="105" spans="3:11" x14ac:dyDescent="0.25">
      <c r="C105" s="31" t="s">
        <v>31</v>
      </c>
      <c r="D105" s="10"/>
      <c r="E105" s="10"/>
      <c r="F105" s="10"/>
      <c r="G105" s="10"/>
      <c r="H105" s="10"/>
      <c r="I105" s="10"/>
    </row>
    <row r="106" spans="3:11" x14ac:dyDescent="0.25">
      <c r="C106" s="30" t="str">
        <f t="shared" ref="C106:H106" si="15">C18</f>
        <v xml:space="preserve">Fiscal year  </v>
      </c>
      <c r="D106" s="29">
        <f t="shared" ref="D106:E106" si="16">D18</f>
        <v>2018</v>
      </c>
      <c r="E106" s="29">
        <f t="shared" si="16"/>
        <v>2019</v>
      </c>
      <c r="F106" s="29">
        <f t="shared" si="15"/>
        <v>2020</v>
      </c>
      <c r="G106" s="29">
        <f t="shared" si="15"/>
        <v>2021</v>
      </c>
      <c r="H106" s="29">
        <f t="shared" si="15"/>
        <v>2022</v>
      </c>
      <c r="I106" s="29"/>
    </row>
    <row r="107" spans="3:11" x14ac:dyDescent="0.25">
      <c r="C107" s="10" t="str">
        <f t="shared" ref="C107:H107" si="17">C19</f>
        <v>Fiscal year end date</v>
      </c>
      <c r="D107" s="28">
        <f t="shared" ref="D107" si="18">D19</f>
        <v>43281</v>
      </c>
      <c r="E107" s="28" t="s">
        <v>159</v>
      </c>
      <c r="F107" s="28">
        <f t="shared" si="17"/>
        <v>44012</v>
      </c>
      <c r="G107" s="28">
        <f t="shared" si="17"/>
        <v>44377</v>
      </c>
      <c r="H107" s="28">
        <f t="shared" si="17"/>
        <v>44742</v>
      </c>
      <c r="I107" s="28"/>
    </row>
    <row r="108" spans="3:11" x14ac:dyDescent="0.25">
      <c r="C108" s="27"/>
    </row>
    <row r="109" spans="3:11" x14ac:dyDescent="0.25">
      <c r="C109" s="9" t="s">
        <v>9</v>
      </c>
      <c r="K109" t="s">
        <v>8</v>
      </c>
    </row>
    <row r="110" spans="3:11" x14ac:dyDescent="0.25">
      <c r="C110" s="26" t="s">
        <v>30</v>
      </c>
      <c r="D110" s="6"/>
      <c r="E110" s="6"/>
      <c r="F110" s="6"/>
      <c r="G110" s="6"/>
      <c r="H110" s="6"/>
      <c r="I110" s="6"/>
      <c r="K110" t="s">
        <v>29</v>
      </c>
    </row>
    <row r="111" spans="3:11" x14ac:dyDescent="0.25">
      <c r="C111" s="25" t="s">
        <v>28</v>
      </c>
      <c r="D111" s="4"/>
      <c r="E111" s="4"/>
      <c r="F111" s="4"/>
      <c r="G111" s="4"/>
      <c r="H111" s="4"/>
      <c r="I111" s="4"/>
      <c r="K111" t="s">
        <v>27</v>
      </c>
    </row>
    <row r="112" spans="3:11" x14ac:dyDescent="0.25">
      <c r="C112" s="3" t="s">
        <v>1</v>
      </c>
      <c r="D112" s="14"/>
      <c r="E112" s="14"/>
      <c r="F112" s="14"/>
      <c r="G112" s="14">
        <f>G59</f>
        <v>319241510</v>
      </c>
      <c r="H112" s="14">
        <f>H59</f>
        <v>307222634</v>
      </c>
      <c r="I112" s="14"/>
      <c r="K112" t="s">
        <v>26</v>
      </c>
    </row>
    <row r="113" spans="3:15" x14ac:dyDescent="0.25">
      <c r="C113" s="9"/>
      <c r="K113" s="24" t="s">
        <v>25</v>
      </c>
    </row>
    <row r="114" spans="3:15" x14ac:dyDescent="0.25">
      <c r="C114" s="9" t="s">
        <v>24</v>
      </c>
      <c r="D114" s="22" t="e">
        <f>-(D111/D110)</f>
        <v>#DIV/0!</v>
      </c>
      <c r="E114" s="22" t="e">
        <f>-(E111/E110)</f>
        <v>#DIV/0!</v>
      </c>
      <c r="F114" s="22" t="e">
        <f>-(F111/F110)</f>
        <v>#DIV/0!</v>
      </c>
      <c r="G114" s="22" t="e">
        <f>-(G111/G110)</f>
        <v>#DIV/0!</v>
      </c>
      <c r="H114" s="22" t="e">
        <f>-(H111/H110)</f>
        <v>#DIV/0!</v>
      </c>
      <c r="I114" s="22"/>
      <c r="K114" s="23">
        <v>0.02</v>
      </c>
    </row>
    <row r="115" spans="3:15" x14ac:dyDescent="0.25">
      <c r="C115" s="9"/>
      <c r="D115" s="22"/>
      <c r="E115" s="22"/>
      <c r="F115" s="22"/>
      <c r="G115" s="22"/>
      <c r="H115" s="22"/>
      <c r="I115" s="22"/>
      <c r="M115" s="16"/>
      <c r="N115" s="16"/>
      <c r="O115" s="16"/>
    </row>
    <row r="116" spans="3:15" x14ac:dyDescent="0.25">
      <c r="C116" s="20" t="s">
        <v>23</v>
      </c>
      <c r="D116" s="19"/>
      <c r="E116" s="19"/>
      <c r="F116" s="19"/>
      <c r="G116" s="19"/>
      <c r="H116" s="19"/>
      <c r="I116" s="19"/>
      <c r="M116" s="16"/>
      <c r="N116" s="16"/>
      <c r="O116" s="16"/>
    </row>
    <row r="117" spans="3:15" x14ac:dyDescent="0.25">
      <c r="C117" s="9" t="s">
        <v>22</v>
      </c>
      <c r="D117" s="13">
        <f>D119+D111</f>
        <v>0</v>
      </c>
      <c r="E117" s="13">
        <f>E119+E111</f>
        <v>44387423</v>
      </c>
      <c r="F117" s="13">
        <f>F119+F111</f>
        <v>47935432</v>
      </c>
      <c r="G117" s="13">
        <f>G119+G111</f>
        <v>48421524</v>
      </c>
      <c r="H117" s="13">
        <f>H119+H111</f>
        <v>61661203</v>
      </c>
      <c r="I117" s="13"/>
      <c r="K117" t="s">
        <v>21</v>
      </c>
      <c r="M117" s="16"/>
      <c r="N117" s="16"/>
      <c r="O117" s="16"/>
    </row>
    <row r="118" spans="3:15" x14ac:dyDescent="0.25">
      <c r="C118" s="7" t="s">
        <v>20</v>
      </c>
      <c r="D118" s="18" t="e">
        <f>D117/D21</f>
        <v>#DIV/0!</v>
      </c>
      <c r="E118" s="18">
        <f>E117/E21</f>
        <v>0.24402520128973515</v>
      </c>
      <c r="F118" s="18">
        <f>F117/F21</f>
        <v>0.2484870793041116</v>
      </c>
      <c r="G118" s="18">
        <f>G117/G21</f>
        <v>0.24183075280772548</v>
      </c>
      <c r="H118" s="18">
        <f>H117/H21</f>
        <v>0.28287391723759697</v>
      </c>
      <c r="I118" s="18"/>
      <c r="K118" t="s">
        <v>19</v>
      </c>
      <c r="M118" s="16"/>
      <c r="N118" s="16"/>
      <c r="O118" s="16"/>
    </row>
    <row r="119" spans="3:15" x14ac:dyDescent="0.25">
      <c r="C119" s="17" t="s">
        <v>18</v>
      </c>
      <c r="D119" s="14">
        <f>D38</f>
        <v>0</v>
      </c>
      <c r="E119" s="14">
        <f>E38</f>
        <v>44387423</v>
      </c>
      <c r="F119" s="14">
        <f>F38</f>
        <v>47935432</v>
      </c>
      <c r="G119" s="14">
        <f>G38</f>
        <v>48421524</v>
      </c>
      <c r="H119" s="14">
        <f>H38</f>
        <v>61661203</v>
      </c>
      <c r="I119" s="14"/>
      <c r="K119" t="s">
        <v>17</v>
      </c>
      <c r="M119" s="16"/>
      <c r="N119" s="16"/>
      <c r="O119" s="16"/>
    </row>
    <row r="121" spans="3:15" x14ac:dyDescent="0.25">
      <c r="C121" s="11" t="s">
        <v>16</v>
      </c>
      <c r="D121" s="10"/>
      <c r="E121" s="10"/>
      <c r="F121" s="10"/>
      <c r="G121" s="10"/>
      <c r="H121" s="10"/>
      <c r="I121" s="64"/>
    </row>
    <row r="122" spans="3:15" ht="15" customHeight="1" x14ac:dyDescent="0.25">
      <c r="C122" s="9" t="s">
        <v>9</v>
      </c>
      <c r="D122" s="13"/>
      <c r="E122" s="13"/>
      <c r="F122" s="13"/>
      <c r="K122" t="s">
        <v>8</v>
      </c>
    </row>
    <row r="123" spans="3:15" x14ac:dyDescent="0.25">
      <c r="C123" s="7" t="s">
        <v>15</v>
      </c>
      <c r="K123" t="s">
        <v>14</v>
      </c>
    </row>
    <row r="124" spans="3:15" ht="15" customHeight="1" x14ac:dyDescent="0.25">
      <c r="C124" s="5" t="s">
        <v>13</v>
      </c>
      <c r="D124" s="15"/>
      <c r="E124" s="15"/>
      <c r="F124" s="15"/>
      <c r="G124" s="15"/>
      <c r="H124" s="15"/>
      <c r="I124" s="15"/>
      <c r="K124" t="s">
        <v>12</v>
      </c>
    </row>
    <row r="125" spans="3:15" x14ac:dyDescent="0.25">
      <c r="C125" s="3" t="s">
        <v>1</v>
      </c>
      <c r="G125" s="14">
        <f t="shared" ref="G125:H125" si="19">G60</f>
        <v>63614220</v>
      </c>
      <c r="H125" s="14">
        <f t="shared" si="19"/>
        <v>57867303</v>
      </c>
      <c r="I125" s="14"/>
      <c r="K125" t="s">
        <v>11</v>
      </c>
    </row>
    <row r="126" spans="3:15" x14ac:dyDescent="0.25">
      <c r="C126" s="7"/>
      <c r="G126" s="13"/>
      <c r="H126" s="13"/>
      <c r="I126" s="13"/>
    </row>
    <row r="127" spans="3:15" x14ac:dyDescent="0.25">
      <c r="C127" s="12" t="s">
        <v>10</v>
      </c>
      <c r="D127" s="11"/>
      <c r="E127" s="11"/>
      <c r="F127" s="11"/>
      <c r="G127" s="11"/>
      <c r="H127" s="11"/>
      <c r="I127" s="11"/>
    </row>
    <row r="128" spans="3:15" x14ac:dyDescent="0.25">
      <c r="C128" s="9" t="s">
        <v>9</v>
      </c>
      <c r="K128" t="s">
        <v>8</v>
      </c>
    </row>
    <row r="129" spans="3:11" x14ac:dyDescent="0.25">
      <c r="C129" s="7" t="s">
        <v>7</v>
      </c>
      <c r="D129" s="8">
        <f>D36</f>
        <v>0</v>
      </c>
      <c r="E129" s="8">
        <f>E36</f>
        <v>-43929674</v>
      </c>
      <c r="F129" s="8">
        <f>F36</f>
        <v>58654291</v>
      </c>
      <c r="G129" s="8">
        <f>G36</f>
        <v>-28090066</v>
      </c>
      <c r="H129" s="8">
        <f>H36</f>
        <v>2547818</v>
      </c>
      <c r="I129" s="8"/>
      <c r="K129" t="s">
        <v>6</v>
      </c>
    </row>
    <row r="130" spans="3:11" x14ac:dyDescent="0.25">
      <c r="C130" s="7" t="s">
        <v>5</v>
      </c>
      <c r="D130" s="6"/>
      <c r="E130" s="6"/>
      <c r="F130" s="6"/>
      <c r="G130" s="6"/>
      <c r="H130" s="6"/>
      <c r="I130" s="6"/>
      <c r="K130" t="s">
        <v>4</v>
      </c>
    </row>
    <row r="131" spans="3:11" x14ac:dyDescent="0.25">
      <c r="C131" s="5" t="s">
        <v>3</v>
      </c>
      <c r="D131" s="4"/>
      <c r="E131" s="4"/>
      <c r="F131" s="4"/>
      <c r="G131" s="4"/>
      <c r="H131" s="4"/>
      <c r="I131" s="4"/>
      <c r="K131" t="s">
        <v>2</v>
      </c>
    </row>
    <row r="132" spans="3:11" x14ac:dyDescent="0.25">
      <c r="C132" s="3" t="s">
        <v>1</v>
      </c>
      <c r="D132" s="2">
        <f>D72</f>
        <v>0</v>
      </c>
      <c r="E132" s="2">
        <f>E72</f>
        <v>7823460</v>
      </c>
      <c r="F132" s="2">
        <f>F72</f>
        <v>92894200</v>
      </c>
      <c r="G132" s="2">
        <f>G72</f>
        <v>86864594</v>
      </c>
      <c r="H132" s="2">
        <f>H72</f>
        <v>92853610</v>
      </c>
      <c r="I132" s="2"/>
      <c r="K132" t="s">
        <v>0</v>
      </c>
    </row>
    <row r="133" spans="3:11" x14ac:dyDescent="0.25">
      <c r="G133" s="1"/>
      <c r="H133" s="1"/>
      <c r="I133" s="1"/>
    </row>
  </sheetData>
  <conditionalFormatting sqref="C47">
    <cfRule type="expression" dxfId="0" priority="1">
      <formula>#REF!=$C47</formula>
    </cfRule>
  </conditionalFormatting>
  <dataValidations count="2">
    <dataValidation type="list" allowBlank="1" showInputMessage="1" showErrorMessage="1" sqref="C3" xr:uid="{FCC6ED00-C6F6-4723-BB61-A6CCA5F6A9E3}">
      <formula1>"$ bns except per share, $ mm except per share,$ in thousands except per share"</formula1>
    </dataValidation>
    <dataValidation type="list" allowBlank="1" showInputMessage="1" showErrorMessage="1" sqref="D9" xr:uid="{A4334518-F1B1-4909-A556-B5CEE49FC183}">
      <formula1>"0,1"</formula1>
    </dataValidation>
  </dataValidations>
  <pageMargins left="0.7" right="0.7" top="0.75" bottom="0.75" header="0.3" footer="0.3"/>
  <pageSetup scale="23"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00C01-48DF-4A94-9916-E1A5D3EC6259}">
  <dimension ref="B3:B21"/>
  <sheetViews>
    <sheetView workbookViewId="0">
      <selection activeCell="B22" sqref="B22"/>
    </sheetView>
  </sheetViews>
  <sheetFormatPr defaultRowHeight="15" x14ac:dyDescent="0.25"/>
  <sheetData>
    <row r="3" spans="2:2" x14ac:dyDescent="0.25">
      <c r="B3" t="s">
        <v>161</v>
      </c>
    </row>
    <row r="4" spans="2:2" x14ac:dyDescent="0.25">
      <c r="B4" t="s">
        <v>162</v>
      </c>
    </row>
    <row r="5" spans="2:2" x14ac:dyDescent="0.25">
      <c r="B5" t="s">
        <v>163</v>
      </c>
    </row>
    <row r="6" spans="2:2" x14ac:dyDescent="0.25">
      <c r="B6" t="s">
        <v>164</v>
      </c>
    </row>
    <row r="7" spans="2:2" x14ac:dyDescent="0.25">
      <c r="B7" t="s">
        <v>165</v>
      </c>
    </row>
    <row r="8" spans="2:2" x14ac:dyDescent="0.25">
      <c r="B8" t="s">
        <v>166</v>
      </c>
    </row>
    <row r="9" spans="2:2" x14ac:dyDescent="0.25">
      <c r="B9" t="s">
        <v>167</v>
      </c>
    </row>
    <row r="12" spans="2:2" x14ac:dyDescent="0.25">
      <c r="B12" t="s">
        <v>171</v>
      </c>
    </row>
    <row r="14" spans="2:2" x14ac:dyDescent="0.25">
      <c r="B14" t="s">
        <v>172</v>
      </c>
    </row>
    <row r="16" spans="2:2" x14ac:dyDescent="0.25">
      <c r="B16" s="40" t="s">
        <v>173</v>
      </c>
    </row>
    <row r="17" spans="2:2" x14ac:dyDescent="0.25">
      <c r="B17" t="s">
        <v>174</v>
      </c>
    </row>
    <row r="18" spans="2:2" x14ac:dyDescent="0.25">
      <c r="B18" t="s">
        <v>175</v>
      </c>
    </row>
    <row r="19" spans="2:2" x14ac:dyDescent="0.25">
      <c r="B19" t="s">
        <v>176</v>
      </c>
    </row>
    <row r="20" spans="2:2" x14ac:dyDescent="0.25">
      <c r="B20" t="s">
        <v>177</v>
      </c>
    </row>
    <row r="21" spans="2:2" x14ac:dyDescent="0.25">
      <c r="B21" t="s">
        <v>178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F03D1-C689-40D7-AF33-66F787D097FF}">
  <dimension ref="B3:Q41"/>
  <sheetViews>
    <sheetView showGridLines="0" workbookViewId="0">
      <selection activeCell="E19" sqref="E19"/>
    </sheetView>
  </sheetViews>
  <sheetFormatPr defaultRowHeight="15" x14ac:dyDescent="0.25"/>
  <cols>
    <col min="4" max="4" width="14.42578125" bestFit="1" customWidth="1"/>
    <col min="5" max="5" width="7.7109375" bestFit="1" customWidth="1"/>
    <col min="6" max="9" width="11.85546875" bestFit="1" customWidth="1"/>
  </cols>
  <sheetData>
    <row r="3" spans="2:17" x14ac:dyDescent="0.25">
      <c r="B3" s="27" t="s">
        <v>136</v>
      </c>
      <c r="D3" s="60" t="s">
        <v>125</v>
      </c>
    </row>
    <row r="5" spans="2:17" x14ac:dyDescent="0.25">
      <c r="B5" s="27" t="s">
        <v>135</v>
      </c>
      <c r="D5" s="60"/>
    </row>
    <row r="7" spans="2:17" x14ac:dyDescent="0.25">
      <c r="B7" s="27" t="s">
        <v>155</v>
      </c>
      <c r="D7" s="60"/>
    </row>
    <row r="8" spans="2:17" x14ac:dyDescent="0.25">
      <c r="B8" s="27"/>
    </row>
    <row r="9" spans="2:17" x14ac:dyDescent="0.25">
      <c r="B9" s="27" t="s">
        <v>154</v>
      </c>
      <c r="D9" s="61">
        <v>44742</v>
      </c>
    </row>
    <row r="12" spans="2:17" x14ac:dyDescent="0.25">
      <c r="B12" s="56" t="s">
        <v>137</v>
      </c>
      <c r="C12" s="55"/>
      <c r="D12" s="55"/>
      <c r="E12" s="56">
        <f t="shared" ref="E12:G12" si="0">F12-1</f>
        <v>2018</v>
      </c>
      <c r="F12" s="56">
        <f t="shared" si="0"/>
        <v>2019</v>
      </c>
      <c r="G12" s="56">
        <f t="shared" si="0"/>
        <v>2020</v>
      </c>
      <c r="H12" s="56">
        <f>I12-1</f>
        <v>2021</v>
      </c>
      <c r="I12" s="56">
        <f>YEAR($D$9)</f>
        <v>2022</v>
      </c>
      <c r="J12" s="56">
        <f>I12+1</f>
        <v>2023</v>
      </c>
      <c r="K12" s="56">
        <f t="shared" ref="K12:P12" si="1">J12+1</f>
        <v>2024</v>
      </c>
      <c r="L12" s="56">
        <f t="shared" si="1"/>
        <v>2025</v>
      </c>
      <c r="M12" s="56">
        <f t="shared" si="1"/>
        <v>2026</v>
      </c>
      <c r="N12" s="56">
        <f t="shared" si="1"/>
        <v>2027</v>
      </c>
      <c r="O12" s="56">
        <f t="shared" si="1"/>
        <v>2028</v>
      </c>
      <c r="P12" s="56">
        <f t="shared" si="1"/>
        <v>2029</v>
      </c>
      <c r="Q12" s="56"/>
    </row>
    <row r="13" spans="2:17" x14ac:dyDescent="0.25">
      <c r="B13" t="s">
        <v>113</v>
      </c>
      <c r="E13" s="57">
        <f>cablebahamas!D21</f>
        <v>0</v>
      </c>
      <c r="F13" s="57">
        <f>cablebahamas!E21</f>
        <v>181896881</v>
      </c>
      <c r="G13" s="57">
        <f>cablebahamas!F21</f>
        <v>192909153</v>
      </c>
      <c r="H13" s="57">
        <f>cablebahamas!G21</f>
        <v>200228976</v>
      </c>
      <c r="I13" s="57">
        <f>cablebahamas!H21</f>
        <v>217981225</v>
      </c>
      <c r="J13" s="63"/>
      <c r="K13" s="63"/>
      <c r="L13" s="63"/>
      <c r="M13" s="63"/>
      <c r="N13" s="63"/>
      <c r="O13" s="63"/>
      <c r="P13" s="63"/>
      <c r="Q13" s="63"/>
    </row>
    <row r="14" spans="2:17" x14ac:dyDescent="0.25">
      <c r="B14" s="58" t="s">
        <v>138</v>
      </c>
      <c r="C14" s="27"/>
      <c r="D14" s="27"/>
      <c r="E14" s="27"/>
      <c r="F14" s="59" t="e">
        <f>(F13-E13)/E13</f>
        <v>#DIV/0!</v>
      </c>
      <c r="G14" s="59">
        <f t="shared" ref="G14:I14" si="2">(G13-F13)/F13</f>
        <v>6.0541290974637438E-2</v>
      </c>
      <c r="H14" s="59">
        <f t="shared" si="2"/>
        <v>3.7944404846357915E-2</v>
      </c>
      <c r="I14" s="59">
        <f t="shared" si="2"/>
        <v>8.8659740236597923E-2</v>
      </c>
      <c r="J14" s="63"/>
      <c r="K14" s="63"/>
      <c r="L14" s="63"/>
      <c r="M14" s="63"/>
      <c r="N14" s="63"/>
      <c r="O14" s="63"/>
      <c r="P14" s="63"/>
      <c r="Q14" s="63"/>
    </row>
    <row r="16" spans="2:17" x14ac:dyDescent="0.25">
      <c r="B16" t="s">
        <v>139</v>
      </c>
      <c r="E16" s="57">
        <f>cablebahamas!D29</f>
        <v>0</v>
      </c>
      <c r="F16" s="57">
        <f>cablebahamas!E29</f>
        <v>-5796649</v>
      </c>
      <c r="G16" s="57">
        <f>cablebahamas!F29</f>
        <v>-14463228</v>
      </c>
      <c r="H16" s="57">
        <f>cablebahamas!G29</f>
        <v>5703012</v>
      </c>
      <c r="I16" s="57">
        <f>cablebahamas!H29</f>
        <v>13287379</v>
      </c>
      <c r="J16" s="63"/>
      <c r="K16" s="63"/>
      <c r="L16" s="63"/>
      <c r="M16" s="63"/>
      <c r="N16" s="63"/>
      <c r="O16" s="63"/>
      <c r="P16" s="63"/>
      <c r="Q16" s="63"/>
    </row>
    <row r="17" spans="2:17" x14ac:dyDescent="0.25">
      <c r="B17" s="58" t="s">
        <v>142</v>
      </c>
      <c r="C17" s="27"/>
      <c r="D17" s="27"/>
      <c r="E17" s="59" t="e">
        <f>E16/E13</f>
        <v>#DIV/0!</v>
      </c>
      <c r="F17" s="59">
        <f t="shared" ref="F17:I17" si="3">F16/F13</f>
        <v>-3.1867775676703326E-2</v>
      </c>
      <c r="G17" s="59">
        <f t="shared" si="3"/>
        <v>-7.4974296320714243E-2</v>
      </c>
      <c r="H17" s="59">
        <f t="shared" si="3"/>
        <v>2.8482451011485971E-2</v>
      </c>
      <c r="I17" s="59">
        <f t="shared" si="3"/>
        <v>6.0956529627723674E-2</v>
      </c>
      <c r="J17" s="63"/>
      <c r="K17" s="63"/>
      <c r="L17" s="63"/>
      <c r="M17" s="63"/>
      <c r="N17" s="63"/>
      <c r="O17" s="63"/>
      <c r="P17" s="63"/>
      <c r="Q17" s="63"/>
    </row>
    <row r="19" spans="2:17" x14ac:dyDescent="0.25">
      <c r="B19" t="s">
        <v>140</v>
      </c>
      <c r="E19" s="13">
        <f>cablebahamas!D35</f>
        <v>0</v>
      </c>
      <c r="F19" s="13">
        <f>cablebahamas!E35</f>
        <v>0</v>
      </c>
      <c r="G19" s="13">
        <f>cablebahamas!F35</f>
        <v>0</v>
      </c>
      <c r="H19" s="13">
        <f>cablebahamas!G35</f>
        <v>0</v>
      </c>
      <c r="I19" s="13">
        <f>cablebahamas!H35</f>
        <v>0</v>
      </c>
      <c r="J19" s="63">
        <v>0</v>
      </c>
      <c r="K19" s="63">
        <v>0</v>
      </c>
      <c r="L19" s="63">
        <v>0</v>
      </c>
      <c r="M19" s="63">
        <v>0</v>
      </c>
      <c r="N19" s="63">
        <v>0</v>
      </c>
      <c r="O19" s="63">
        <v>0</v>
      </c>
      <c r="P19" s="63">
        <v>0</v>
      </c>
      <c r="Q19" s="63"/>
    </row>
    <row r="20" spans="2:17" x14ac:dyDescent="0.25">
      <c r="B20" s="58" t="s">
        <v>141</v>
      </c>
      <c r="C20" s="27"/>
      <c r="D20" s="27"/>
      <c r="E20" s="27"/>
      <c r="F20" s="59"/>
      <c r="G20" s="59"/>
      <c r="H20" s="59"/>
      <c r="I20" s="59"/>
      <c r="J20" s="63"/>
      <c r="K20" s="63"/>
      <c r="L20" s="63"/>
      <c r="M20" s="63"/>
      <c r="N20" s="63"/>
      <c r="O20" s="63"/>
      <c r="P20" s="63"/>
      <c r="Q20" s="63"/>
    </row>
    <row r="23" spans="2:17" x14ac:dyDescent="0.25">
      <c r="B23" s="56" t="s">
        <v>143</v>
      </c>
      <c r="C23" s="55"/>
      <c r="D23" s="55"/>
      <c r="E23" s="56">
        <f>E12</f>
        <v>2018</v>
      </c>
      <c r="F23" s="56">
        <f t="shared" ref="F23:I23" si="4">F12</f>
        <v>2019</v>
      </c>
      <c r="G23" s="56">
        <f t="shared" si="4"/>
        <v>2020</v>
      </c>
      <c r="H23" s="56">
        <f t="shared" si="4"/>
        <v>2021</v>
      </c>
      <c r="I23" s="56">
        <f t="shared" si="4"/>
        <v>2022</v>
      </c>
      <c r="J23" s="55"/>
      <c r="K23" s="55"/>
      <c r="L23" s="55"/>
      <c r="M23" s="55"/>
      <c r="N23" s="55"/>
      <c r="O23" s="55"/>
      <c r="P23" s="55"/>
      <c r="Q23" s="55"/>
    </row>
    <row r="24" spans="2:17" x14ac:dyDescent="0.25">
      <c r="B24" t="s">
        <v>144</v>
      </c>
    </row>
    <row r="25" spans="2:17" x14ac:dyDescent="0.25">
      <c r="B25" s="58" t="s">
        <v>142</v>
      </c>
    </row>
    <row r="26" spans="2:17" x14ac:dyDescent="0.25">
      <c r="B26" s="58" t="s">
        <v>145</v>
      </c>
    </row>
    <row r="28" spans="2:17" x14ac:dyDescent="0.25">
      <c r="B28" t="s">
        <v>146</v>
      </c>
    </row>
    <row r="29" spans="2:17" x14ac:dyDescent="0.25">
      <c r="B29" s="58" t="s">
        <v>142</v>
      </c>
      <c r="C29" s="27"/>
      <c r="D29" s="27"/>
      <c r="E29" s="27"/>
      <c r="F29" s="59"/>
      <c r="G29" s="59"/>
      <c r="H29" s="59"/>
      <c r="I29" s="59"/>
    </row>
    <row r="31" spans="2:17" x14ac:dyDescent="0.25">
      <c r="B31" t="s">
        <v>147</v>
      </c>
    </row>
    <row r="32" spans="2:17" x14ac:dyDescent="0.25">
      <c r="B32" s="34" t="s">
        <v>142</v>
      </c>
    </row>
    <row r="33" spans="2:17" x14ac:dyDescent="0.25">
      <c r="B33" s="34" t="s">
        <v>148</v>
      </c>
    </row>
    <row r="36" spans="2:17" x14ac:dyDescent="0.25">
      <c r="B36" s="56" t="s">
        <v>149</v>
      </c>
      <c r="C36" s="55"/>
      <c r="D36" s="55"/>
      <c r="E36" s="55">
        <v>2018</v>
      </c>
      <c r="F36" s="55"/>
      <c r="G36" s="55"/>
      <c r="H36" s="55"/>
      <c r="I36" s="55"/>
      <c r="J36" s="55"/>
      <c r="K36" s="55"/>
      <c r="L36" s="55"/>
      <c r="M36" s="55"/>
      <c r="N36" s="55"/>
      <c r="O36" s="55"/>
      <c r="P36" s="55"/>
      <c r="Q36" s="55"/>
    </row>
    <row r="37" spans="2:17" x14ac:dyDescent="0.25">
      <c r="B37" t="s">
        <v>150</v>
      </c>
    </row>
    <row r="38" spans="2:17" x14ac:dyDescent="0.25">
      <c r="B38" t="s">
        <v>138</v>
      </c>
    </row>
    <row r="39" spans="2:17" x14ac:dyDescent="0.25">
      <c r="B39" t="s">
        <v>151</v>
      </c>
    </row>
    <row r="40" spans="2:17" x14ac:dyDescent="0.25">
      <c r="B40" t="s">
        <v>152</v>
      </c>
    </row>
    <row r="41" spans="2:17" x14ac:dyDescent="0.25">
      <c r="B41"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cablebahamas</vt:lpstr>
      <vt:lpstr>notes</vt:lpstr>
      <vt:lpstr>dcf</vt:lpstr>
      <vt:lpstr>cablebahamas!Print_Area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jacharles</dc:creator>
  <cp:lastModifiedBy>Jacob Charles</cp:lastModifiedBy>
  <dcterms:created xsi:type="dcterms:W3CDTF">2023-05-02T15:00:24Z</dcterms:created>
  <dcterms:modified xsi:type="dcterms:W3CDTF">2024-08-10T23:09:06Z</dcterms:modified>
</cp:coreProperties>
</file>