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harles\Desktop\work\models\financial_models\"/>
    </mc:Choice>
  </mc:AlternateContent>
  <xr:revisionPtr revIDLastSave="0" documentId="13_ncr:1_{63433E55-3B4E-4CC3-B434-A90F4504B8FC}" xr6:coauthVersionLast="47" xr6:coauthVersionMax="47" xr10:uidLastSave="{00000000-0000-0000-0000-000000000000}"/>
  <bookViews>
    <workbookView xWindow="-105" yWindow="0" windowWidth="14610" windowHeight="15585" activeTab="1" xr2:uid="{04531393-7255-49FD-856D-256B5A7F789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42" i="2" l="1"/>
  <c r="AN42" i="2"/>
  <c r="T12" i="2" l="1"/>
  <c r="AG20" i="2" l="1"/>
  <c r="AH17" i="2"/>
  <c r="AI17" i="2"/>
  <c r="AJ17" i="2"/>
  <c r="AK17" i="2"/>
  <c r="AL17" i="2"/>
  <c r="AM17" i="2"/>
  <c r="AG17" i="2"/>
  <c r="AM28" i="2"/>
  <c r="AN28" i="2"/>
  <c r="AN104" i="2" l="1"/>
  <c r="AN101" i="2"/>
  <c r="K97" i="2"/>
  <c r="S96" i="2"/>
  <c r="R96" i="2"/>
  <c r="Q96" i="2"/>
  <c r="P96" i="2"/>
  <c r="O96" i="2"/>
  <c r="S92" i="2"/>
  <c r="M92" i="2"/>
  <c r="J92" i="2"/>
  <c r="R86" i="2"/>
  <c r="R88" i="2" s="1"/>
  <c r="P86" i="2"/>
  <c r="P88" i="2" s="1"/>
  <c r="O86" i="2"/>
  <c r="O88" i="2" s="1"/>
  <c r="G86" i="2"/>
  <c r="G88" i="2" s="1"/>
  <c r="C86" i="2"/>
  <c r="C88" i="2" s="1"/>
  <c r="R78" i="2"/>
  <c r="R81" i="2" s="1"/>
  <c r="P78" i="2"/>
  <c r="P81" i="2" s="1"/>
  <c r="O78" i="2"/>
  <c r="O81" i="2" s="1"/>
  <c r="G78" i="2"/>
  <c r="G81" i="2" s="1"/>
  <c r="C78" i="2"/>
  <c r="C81" i="2" s="1"/>
  <c r="N75" i="2"/>
  <c r="N92" i="2" s="1"/>
  <c r="R74" i="2"/>
  <c r="R75" i="2" s="1"/>
  <c r="R92" i="2" s="1"/>
  <c r="Q74" i="2"/>
  <c r="Q75" i="2" s="1"/>
  <c r="Q92" i="2" s="1"/>
  <c r="P74" i="2"/>
  <c r="P75" i="2" s="1"/>
  <c r="P92" i="2" s="1"/>
  <c r="O74" i="2"/>
  <c r="O75" i="2" s="1"/>
  <c r="O92" i="2" s="1"/>
  <c r="K74" i="2"/>
  <c r="K75" i="2" s="1"/>
  <c r="K92" i="2" s="1"/>
  <c r="G74" i="2"/>
  <c r="G75" i="2" s="1"/>
  <c r="C74" i="2"/>
  <c r="C75" i="2" s="1"/>
  <c r="R59" i="2"/>
  <c r="Q59" i="2"/>
  <c r="P59" i="2"/>
  <c r="O59" i="2"/>
  <c r="N59" i="2"/>
  <c r="G59" i="2"/>
  <c r="R58" i="2"/>
  <c r="Q58" i="2"/>
  <c r="P58" i="2"/>
  <c r="O58" i="2"/>
  <c r="O64" i="2" s="1"/>
  <c r="N58" i="2"/>
  <c r="G58" i="2"/>
  <c r="R50" i="2"/>
  <c r="Q50" i="2"/>
  <c r="P50" i="2"/>
  <c r="O50" i="2"/>
  <c r="N50" i="2"/>
  <c r="G50" i="2"/>
  <c r="R42" i="2"/>
  <c r="Q42" i="2"/>
  <c r="P42" i="2"/>
  <c r="O42" i="2"/>
  <c r="O41" i="2" s="1"/>
  <c r="N42" i="2"/>
  <c r="N41" i="2" s="1"/>
  <c r="G42" i="2"/>
  <c r="G41" i="2" s="1"/>
  <c r="K39" i="2"/>
  <c r="K38" i="2"/>
  <c r="AK35" i="2"/>
  <c r="AJ35" i="2"/>
  <c r="S35" i="2"/>
  <c r="R35" i="2"/>
  <c r="Q35" i="2"/>
  <c r="P35" i="2"/>
  <c r="O35" i="2"/>
  <c r="N35" i="2"/>
  <c r="M35" i="2"/>
  <c r="L35" i="2"/>
  <c r="K35" i="2"/>
  <c r="AK33" i="2"/>
  <c r="AJ33" i="2"/>
  <c r="S33" i="2"/>
  <c r="R33" i="2"/>
  <c r="Q33" i="2"/>
  <c r="P33" i="2"/>
  <c r="O33" i="2"/>
  <c r="N33" i="2"/>
  <c r="M33" i="2"/>
  <c r="L33" i="2"/>
  <c r="K33" i="2"/>
  <c r="AK32" i="2"/>
  <c r="AJ32" i="2"/>
  <c r="S32" i="2"/>
  <c r="R32" i="2"/>
  <c r="Q32" i="2"/>
  <c r="P32" i="2"/>
  <c r="O32" i="2"/>
  <c r="N32" i="2"/>
  <c r="M32" i="2"/>
  <c r="L32" i="2"/>
  <c r="K32" i="2"/>
  <c r="AH30" i="2"/>
  <c r="AG30" i="2"/>
  <c r="AF30" i="2"/>
  <c r="AE30" i="2"/>
  <c r="AO28" i="2"/>
  <c r="AP28" i="2" s="1"/>
  <c r="AQ28" i="2" s="1"/>
  <c r="AR28" i="2" s="1"/>
  <c r="AS28" i="2" s="1"/>
  <c r="AT28" i="2" s="1"/>
  <c r="AU28" i="2" s="1"/>
  <c r="AV28" i="2" s="1"/>
  <c r="X28" i="2"/>
  <c r="Y28" i="2" s="1"/>
  <c r="Z28" i="2" s="1"/>
  <c r="AN25" i="2"/>
  <c r="AN23" i="2"/>
  <c r="X23" i="2"/>
  <c r="AM20" i="2"/>
  <c r="AL20" i="2"/>
  <c r="AK20" i="2"/>
  <c r="AJ20" i="2"/>
  <c r="AI20" i="2"/>
  <c r="AH20" i="2"/>
  <c r="AH21" i="2" s="1"/>
  <c r="AF20" i="2"/>
  <c r="AG21" i="2" s="1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C20" i="2"/>
  <c r="AN19" i="2"/>
  <c r="AO19" i="2" s="1"/>
  <c r="AP19" i="2" s="1"/>
  <c r="AQ19" i="2" s="1"/>
  <c r="AR19" i="2" s="1"/>
  <c r="AS19" i="2" s="1"/>
  <c r="AT19" i="2" s="1"/>
  <c r="AU19" i="2" s="1"/>
  <c r="AV19" i="2" s="1"/>
  <c r="Z19" i="2"/>
  <c r="Y19" i="2"/>
  <c r="X19" i="2"/>
  <c r="AN18" i="2"/>
  <c r="AO18" i="2" s="1"/>
  <c r="AP18" i="2" s="1"/>
  <c r="AQ18" i="2" s="1"/>
  <c r="AR18" i="2" s="1"/>
  <c r="AS18" i="2" s="1"/>
  <c r="AT18" i="2" s="1"/>
  <c r="AU18" i="2" s="1"/>
  <c r="AV18" i="2" s="1"/>
  <c r="Z18" i="2"/>
  <c r="Y18" i="2"/>
  <c r="X18" i="2"/>
  <c r="AN16" i="2"/>
  <c r="Z16" i="2"/>
  <c r="Y16" i="2"/>
  <c r="X16" i="2"/>
  <c r="AH15" i="2"/>
  <c r="AG15" i="2"/>
  <c r="AF15" i="2"/>
  <c r="K15" i="2"/>
  <c r="AN13" i="2"/>
  <c r="AK11" i="2"/>
  <c r="AJ11" i="2"/>
  <c r="AI11" i="2"/>
  <c r="AI12" i="2" s="1"/>
  <c r="S11" i="2"/>
  <c r="R11" i="2"/>
  <c r="R12" i="2" s="1"/>
  <c r="Q11" i="2"/>
  <c r="Q12" i="2" s="1"/>
  <c r="P11" i="2"/>
  <c r="P12" i="2" s="1"/>
  <c r="P38" i="2" s="1"/>
  <c r="O11" i="2"/>
  <c r="O12" i="2" s="1"/>
  <c r="N11" i="2"/>
  <c r="N12" i="2" s="1"/>
  <c r="M11" i="2"/>
  <c r="M12" i="2" s="1"/>
  <c r="L11" i="2"/>
  <c r="L12" i="2" s="1"/>
  <c r="J11" i="2"/>
  <c r="J12" i="2" s="1"/>
  <c r="I11" i="2"/>
  <c r="I12" i="2" s="1"/>
  <c r="H11" i="2"/>
  <c r="H12" i="2" s="1"/>
  <c r="G11" i="2"/>
  <c r="K34" i="2" s="1"/>
  <c r="F11" i="2"/>
  <c r="F12" i="2" s="1"/>
  <c r="E11" i="2"/>
  <c r="E12" i="2" s="1"/>
  <c r="D11" i="2"/>
  <c r="D12" i="2" s="1"/>
  <c r="C11" i="2"/>
  <c r="C12" i="2" s="1"/>
  <c r="C15" i="2" s="1"/>
  <c r="AN10" i="2"/>
  <c r="AM10" i="2"/>
  <c r="AL10" i="2"/>
  <c r="AL32" i="2" s="1"/>
  <c r="Z10" i="2"/>
  <c r="Y10" i="2"/>
  <c r="X10" i="2"/>
  <c r="AN9" i="2"/>
  <c r="AO9" i="2" s="1"/>
  <c r="AM9" i="2"/>
  <c r="AL9" i="2"/>
  <c r="AL33" i="2" s="1"/>
  <c r="Z9" i="2"/>
  <c r="Z33" i="2" s="1"/>
  <c r="Y9" i="2"/>
  <c r="Y33" i="2" s="1"/>
  <c r="X9" i="2"/>
  <c r="X33" i="2" s="1"/>
  <c r="AN8" i="2"/>
  <c r="AO8" i="2" s="1"/>
  <c r="AP8" i="2" s="1"/>
  <c r="AQ8" i="2" s="1"/>
  <c r="AR8" i="2" s="1"/>
  <c r="AS8" i="2" s="1"/>
  <c r="AT8" i="2" s="1"/>
  <c r="AU8" i="2" s="1"/>
  <c r="AV8" i="2" s="1"/>
  <c r="AM8" i="2"/>
  <c r="AL8" i="2"/>
  <c r="Z8" i="2"/>
  <c r="Y8" i="2"/>
  <c r="X8" i="2"/>
  <c r="AN7" i="2"/>
  <c r="AM7" i="2"/>
  <c r="AL7" i="2"/>
  <c r="Z7" i="2"/>
  <c r="Y7" i="2"/>
  <c r="X7" i="2"/>
  <c r="AN6" i="2"/>
  <c r="AM6" i="2"/>
  <c r="AL6" i="2"/>
  <c r="AL35" i="2" s="1"/>
  <c r="Z6" i="2"/>
  <c r="Z35" i="2" s="1"/>
  <c r="Y6" i="2"/>
  <c r="Y35" i="2" s="1"/>
  <c r="X6" i="2"/>
  <c r="X35" i="2" s="1"/>
  <c r="AN5" i="2"/>
  <c r="AO5" i="2" s="1"/>
  <c r="AP5" i="2" s="1"/>
  <c r="AQ5" i="2" s="1"/>
  <c r="AR5" i="2" s="1"/>
  <c r="AS5" i="2" s="1"/>
  <c r="AT5" i="2" s="1"/>
  <c r="AU5" i="2" s="1"/>
  <c r="AV5" i="2" s="1"/>
  <c r="AM5" i="2"/>
  <c r="AL5" i="2"/>
  <c r="Z5" i="2"/>
  <c r="Y5" i="2"/>
  <c r="X5" i="2"/>
  <c r="AN4" i="2"/>
  <c r="AM4" i="2"/>
  <c r="AL4" i="2"/>
  <c r="AN3" i="2"/>
  <c r="AO3" i="2" s="1"/>
  <c r="AP3" i="2" s="1"/>
  <c r="AQ3" i="2" s="1"/>
  <c r="AR3" i="2" s="1"/>
  <c r="AS3" i="2" s="1"/>
  <c r="AT3" i="2" s="1"/>
  <c r="AU3" i="2" s="1"/>
  <c r="AV3" i="2" s="1"/>
  <c r="L5" i="1"/>
  <c r="L8" i="1" s="1"/>
  <c r="AK21" i="2" l="1"/>
  <c r="AJ21" i="2"/>
  <c r="AI21" i="2"/>
  <c r="AM21" i="2"/>
  <c r="AL21" i="2"/>
  <c r="AJ34" i="2"/>
  <c r="AM35" i="2"/>
  <c r="AO16" i="2"/>
  <c r="AO17" i="2" s="1"/>
  <c r="AN17" i="2"/>
  <c r="R64" i="2"/>
  <c r="Z11" i="2"/>
  <c r="Z12" i="2" s="1"/>
  <c r="Z38" i="2" s="1"/>
  <c r="AM33" i="2"/>
  <c r="P64" i="2"/>
  <c r="Y11" i="2"/>
  <c r="Y34" i="2" s="1"/>
  <c r="Q64" i="2"/>
  <c r="Z34" i="2"/>
  <c r="P52" i="2"/>
  <c r="Q52" i="2"/>
  <c r="AJ12" i="2"/>
  <c r="AJ15" i="2" s="1"/>
  <c r="AJ22" i="2" s="1"/>
  <c r="AJ24" i="2" s="1"/>
  <c r="K22" i="2"/>
  <c r="K24" i="2" s="1"/>
  <c r="K26" i="2" s="1"/>
  <c r="AN35" i="2"/>
  <c r="N64" i="2"/>
  <c r="R52" i="2"/>
  <c r="AK34" i="2"/>
  <c r="J38" i="2"/>
  <c r="J39" i="2"/>
  <c r="J15" i="2"/>
  <c r="J22" i="2" s="1"/>
  <c r="J24" i="2" s="1"/>
  <c r="J26" i="2" s="1"/>
  <c r="P34" i="2"/>
  <c r="AN32" i="2"/>
  <c r="AG22" i="2"/>
  <c r="AG24" i="2" s="1"/>
  <c r="AG26" i="2" s="1"/>
  <c r="AL11" i="2"/>
  <c r="AL34" i="2" s="1"/>
  <c r="X20" i="2"/>
  <c r="G90" i="2"/>
  <c r="G64" i="2"/>
  <c r="Y20" i="2"/>
  <c r="G52" i="2"/>
  <c r="AM11" i="2"/>
  <c r="AM12" i="2" s="1"/>
  <c r="AN11" i="2"/>
  <c r="AN12" i="2" s="1"/>
  <c r="AN38" i="2" s="1"/>
  <c r="S34" i="2"/>
  <c r="Z20" i="2"/>
  <c r="AN20" i="2"/>
  <c r="AN21" i="2" s="1"/>
  <c r="N52" i="2"/>
  <c r="O52" i="2"/>
  <c r="AF22" i="2"/>
  <c r="AF24" i="2" s="1"/>
  <c r="AF37" i="2" s="1"/>
  <c r="AH22" i="2"/>
  <c r="AH24" i="2" s="1"/>
  <c r="AH26" i="2" s="1"/>
  <c r="L34" i="2"/>
  <c r="AF36" i="2"/>
  <c r="AM32" i="2"/>
  <c r="C22" i="2"/>
  <c r="C24" i="2" s="1"/>
  <c r="C26" i="2" s="1"/>
  <c r="C27" i="2" s="1"/>
  <c r="G12" i="2"/>
  <c r="G38" i="2" s="1"/>
  <c r="M34" i="2"/>
  <c r="AO10" i="2"/>
  <c r="AO32" i="2" s="1"/>
  <c r="N34" i="2"/>
  <c r="C90" i="2"/>
  <c r="R90" i="2"/>
  <c r="L38" i="2"/>
  <c r="L15" i="2"/>
  <c r="L97" i="2"/>
  <c r="L39" i="2"/>
  <c r="L30" i="2"/>
  <c r="M38" i="2"/>
  <c r="M15" i="2"/>
  <c r="M30" i="2"/>
  <c r="M97" i="2"/>
  <c r="M39" i="2"/>
  <c r="Q38" i="2"/>
  <c r="Q15" i="2"/>
  <c r="Q97" i="2"/>
  <c r="Q39" i="2"/>
  <c r="Q30" i="2"/>
  <c r="R38" i="2"/>
  <c r="R15" i="2"/>
  <c r="R97" i="2"/>
  <c r="R39" i="2"/>
  <c r="R30" i="2"/>
  <c r="O38" i="2"/>
  <c r="O15" i="2"/>
  <c r="O97" i="2"/>
  <c r="O39" i="2"/>
  <c r="O30" i="2"/>
  <c r="AI30" i="2"/>
  <c r="AI15" i="2"/>
  <c r="AP9" i="2"/>
  <c r="AO33" i="2"/>
  <c r="N38" i="2"/>
  <c r="N15" i="2"/>
  <c r="N97" i="2"/>
  <c r="N39" i="2"/>
  <c r="N30" i="2"/>
  <c r="AP16" i="2"/>
  <c r="AO20" i="2"/>
  <c r="AO21" i="2" s="1"/>
  <c r="O90" i="2"/>
  <c r="H39" i="2"/>
  <c r="H38" i="2"/>
  <c r="H15" i="2"/>
  <c r="P90" i="2"/>
  <c r="I39" i="2"/>
  <c r="I38" i="2"/>
  <c r="I15" i="2"/>
  <c r="AG36" i="2"/>
  <c r="Q41" i="2"/>
  <c r="X11" i="2"/>
  <c r="S12" i="2"/>
  <c r="O34" i="2"/>
  <c r="AH36" i="2"/>
  <c r="R41" i="2"/>
  <c r="AN41" i="2" s="1"/>
  <c r="AO7" i="2"/>
  <c r="AO6" i="2"/>
  <c r="P30" i="2"/>
  <c r="Q34" i="2"/>
  <c r="K36" i="2"/>
  <c r="P41" i="2"/>
  <c r="X32" i="2"/>
  <c r="AN33" i="2"/>
  <c r="R34" i="2"/>
  <c r="Y32" i="2"/>
  <c r="P39" i="2"/>
  <c r="Z32" i="2"/>
  <c r="AK12" i="2"/>
  <c r="P97" i="2"/>
  <c r="P15" i="2"/>
  <c r="Y23" i="2"/>
  <c r="Z23" i="2" s="1"/>
  <c r="AF26" i="2" l="1"/>
  <c r="AJ30" i="2"/>
  <c r="AJ36" i="2"/>
  <c r="AP10" i="2"/>
  <c r="AG37" i="2"/>
  <c r="J36" i="2"/>
  <c r="K37" i="2"/>
  <c r="J37" i="2"/>
  <c r="Y12" i="2"/>
  <c r="Y39" i="2" s="1"/>
  <c r="C66" i="2"/>
  <c r="AH37" i="2"/>
  <c r="K30" i="2"/>
  <c r="G15" i="2"/>
  <c r="AN34" i="2"/>
  <c r="AM34" i="2"/>
  <c r="AL12" i="2"/>
  <c r="AL15" i="2" s="1"/>
  <c r="G39" i="2"/>
  <c r="G97" i="2"/>
  <c r="Q36" i="2"/>
  <c r="Q22" i="2"/>
  <c r="Q24" i="2" s="1"/>
  <c r="I22" i="2"/>
  <c r="I24" i="2" s="1"/>
  <c r="I36" i="2"/>
  <c r="AN15" i="2"/>
  <c r="AN30" i="2"/>
  <c r="AM15" i="2"/>
  <c r="AQ9" i="2"/>
  <c r="AP33" i="2"/>
  <c r="AQ16" i="2"/>
  <c r="AP20" i="2"/>
  <c r="AI22" i="2"/>
  <c r="AI24" i="2" s="1"/>
  <c r="AI36" i="2"/>
  <c r="M22" i="2"/>
  <c r="M24" i="2" s="1"/>
  <c r="M36" i="2"/>
  <c r="N22" i="2"/>
  <c r="N24" i="2" s="1"/>
  <c r="N36" i="2"/>
  <c r="P36" i="2"/>
  <c r="P22" i="2"/>
  <c r="P24" i="2" s="1"/>
  <c r="AO35" i="2"/>
  <c r="AP6" i="2"/>
  <c r="K27" i="2"/>
  <c r="K66" i="2"/>
  <c r="AO23" i="2"/>
  <c r="Z30" i="2"/>
  <c r="Z13" i="2"/>
  <c r="Z15" i="2" s="1"/>
  <c r="X34" i="2"/>
  <c r="X12" i="2"/>
  <c r="AP32" i="2"/>
  <c r="AQ10" i="2"/>
  <c r="AK30" i="2"/>
  <c r="AK15" i="2"/>
  <c r="AO11" i="2"/>
  <c r="AP7" i="2"/>
  <c r="AJ26" i="2"/>
  <c r="AJ37" i="2"/>
  <c r="L22" i="2"/>
  <c r="L24" i="2" s="1"/>
  <c r="L36" i="2"/>
  <c r="S38" i="2"/>
  <c r="S15" i="2"/>
  <c r="S97" i="2"/>
  <c r="S39" i="2"/>
  <c r="S30" i="2"/>
  <c r="Z39" i="2"/>
  <c r="J27" i="2"/>
  <c r="J66" i="2"/>
  <c r="R36" i="2"/>
  <c r="R22" i="2"/>
  <c r="R24" i="2" s="1"/>
  <c r="AM38" i="2"/>
  <c r="H22" i="2"/>
  <c r="H24" i="2" s="1"/>
  <c r="H36" i="2"/>
  <c r="O36" i="2"/>
  <c r="O22" i="2"/>
  <c r="O24" i="2" s="1"/>
  <c r="Y13" i="2" l="1"/>
  <c r="Y15" i="2" s="1"/>
  <c r="Y30" i="2"/>
  <c r="Y38" i="2"/>
  <c r="AL38" i="2"/>
  <c r="AM30" i="2"/>
  <c r="AL30" i="2"/>
  <c r="G22" i="2"/>
  <c r="G24" i="2" s="1"/>
  <c r="G36" i="2"/>
  <c r="Y36" i="2"/>
  <c r="Y22" i="2"/>
  <c r="Y24" i="2" s="1"/>
  <c r="AR9" i="2"/>
  <c r="AQ33" i="2"/>
  <c r="AI26" i="2"/>
  <c r="AI37" i="2"/>
  <c r="AQ6" i="2"/>
  <c r="AP35" i="2"/>
  <c r="AM36" i="2"/>
  <c r="AM22" i="2"/>
  <c r="AM24" i="2" s="1"/>
  <c r="AR16" i="2"/>
  <c r="AQ20" i="2"/>
  <c r="AK22" i="2"/>
  <c r="AK24" i="2" s="1"/>
  <c r="AK36" i="2"/>
  <c r="AQ32" i="2"/>
  <c r="AR10" i="2"/>
  <c r="AN36" i="2"/>
  <c r="AN22" i="2"/>
  <c r="AN24" i="2" s="1"/>
  <c r="H26" i="2"/>
  <c r="H37" i="2"/>
  <c r="AL36" i="2"/>
  <c r="AL22" i="2"/>
  <c r="AL24" i="2" s="1"/>
  <c r="R37" i="2"/>
  <c r="R26" i="2"/>
  <c r="N26" i="2"/>
  <c r="N37" i="2"/>
  <c r="I26" i="2"/>
  <c r="I37" i="2"/>
  <c r="AO12" i="2"/>
  <c r="AO34" i="2"/>
  <c r="P26" i="2"/>
  <c r="P37" i="2"/>
  <c r="X38" i="2"/>
  <c r="X30" i="2"/>
  <c r="X13" i="2"/>
  <c r="X15" i="2" s="1"/>
  <c r="X39" i="2"/>
  <c r="Z22" i="2"/>
  <c r="Z24" i="2" s="1"/>
  <c r="Z36" i="2"/>
  <c r="Q37" i="2"/>
  <c r="Q26" i="2"/>
  <c r="L26" i="2"/>
  <c r="L37" i="2"/>
  <c r="AP11" i="2"/>
  <c r="AQ7" i="2"/>
  <c r="O26" i="2"/>
  <c r="O37" i="2"/>
  <c r="S36" i="2"/>
  <c r="S22" i="2"/>
  <c r="S24" i="2" s="1"/>
  <c r="M26" i="2"/>
  <c r="M37" i="2"/>
  <c r="G26" i="2" l="1"/>
  <c r="G37" i="2"/>
  <c r="X36" i="2"/>
  <c r="X22" i="2"/>
  <c r="X24" i="2" s="1"/>
  <c r="R66" i="2"/>
  <c r="R27" i="2"/>
  <c r="I27" i="2"/>
  <c r="I66" i="2"/>
  <c r="AO15" i="2"/>
  <c r="AO13" i="2" s="1"/>
  <c r="AO30" i="2"/>
  <c r="AO38" i="2"/>
  <c r="N27" i="2"/>
  <c r="N66" i="2"/>
  <c r="P66" i="2"/>
  <c r="P27" i="2"/>
  <c r="AK26" i="2"/>
  <c r="AK37" i="2"/>
  <c r="AS16" i="2"/>
  <c r="AR20" i="2"/>
  <c r="L27" i="2"/>
  <c r="L66" i="2"/>
  <c r="Q66" i="2"/>
  <c r="Q27" i="2"/>
  <c r="AL26" i="2"/>
  <c r="AL27" i="2" s="1"/>
  <c r="AL37" i="2"/>
  <c r="M27" i="2"/>
  <c r="M66" i="2"/>
  <c r="AN26" i="2"/>
  <c r="AN27" i="2" s="1"/>
  <c r="AN37" i="2"/>
  <c r="AR33" i="2"/>
  <c r="AS9" i="2"/>
  <c r="AS10" i="2"/>
  <c r="AR32" i="2"/>
  <c r="AQ11" i="2"/>
  <c r="AR7" i="2"/>
  <c r="AM26" i="2"/>
  <c r="AM27" i="2" s="1"/>
  <c r="AM37" i="2"/>
  <c r="Z25" i="2"/>
  <c r="Z37" i="2" s="1"/>
  <c r="H27" i="2"/>
  <c r="H66" i="2"/>
  <c r="Y25" i="2"/>
  <c r="Y37" i="2" s="1"/>
  <c r="O27" i="2"/>
  <c r="O66" i="2"/>
  <c r="AP34" i="2"/>
  <c r="AP12" i="2"/>
  <c r="AQ35" i="2"/>
  <c r="AR6" i="2"/>
  <c r="S37" i="2"/>
  <c r="S26" i="2"/>
  <c r="S27" i="2" s="1"/>
  <c r="Y26" i="2" l="1"/>
  <c r="Y27" i="2" s="1"/>
  <c r="Z26" i="2"/>
  <c r="Z27" i="2" s="1"/>
  <c r="G27" i="2"/>
  <c r="G66" i="2"/>
  <c r="AP15" i="2"/>
  <c r="AP13" i="2"/>
  <c r="AP30" i="2"/>
  <c r="AP38" i="2"/>
  <c r="AO36" i="2"/>
  <c r="AO22" i="2"/>
  <c r="AO24" i="2" s="1"/>
  <c r="AS33" i="2"/>
  <c r="AT9" i="2"/>
  <c r="AR11" i="2"/>
  <c r="AS7" i="2"/>
  <c r="AT10" i="2"/>
  <c r="AS32" i="2"/>
  <c r="AQ12" i="2"/>
  <c r="AQ34" i="2"/>
  <c r="X25" i="2"/>
  <c r="X37" i="2" s="1"/>
  <c r="AR35" i="2"/>
  <c r="AS6" i="2"/>
  <c r="AT16" i="2"/>
  <c r="AS20" i="2"/>
  <c r="AO25" i="2" l="1"/>
  <c r="AO37" i="2" s="1"/>
  <c r="AS11" i="2"/>
  <c r="AT7" i="2"/>
  <c r="AU16" i="2"/>
  <c r="AT20" i="2"/>
  <c r="AQ15" i="2"/>
  <c r="AQ13" i="2" s="1"/>
  <c r="AQ30" i="2"/>
  <c r="AQ38" i="2"/>
  <c r="AT33" i="2"/>
  <c r="AU9" i="2"/>
  <c r="AT6" i="2"/>
  <c r="AS35" i="2"/>
  <c r="AR12" i="2"/>
  <c r="AR34" i="2"/>
  <c r="AU10" i="2"/>
  <c r="AT32" i="2"/>
  <c r="X26" i="2"/>
  <c r="X27" i="2" s="1"/>
  <c r="AP36" i="2"/>
  <c r="AP22" i="2"/>
  <c r="AT35" i="2" l="1"/>
  <c r="AU6" i="2"/>
  <c r="AU7" i="2"/>
  <c r="AT11" i="2"/>
  <c r="AR15" i="2"/>
  <c r="AR13" i="2" s="1"/>
  <c r="AR30" i="2"/>
  <c r="AR38" i="2"/>
  <c r="AU33" i="2"/>
  <c r="AV9" i="2"/>
  <c r="AV33" i="2" s="1"/>
  <c r="AS12" i="2"/>
  <c r="AS34" i="2"/>
  <c r="AQ36" i="2"/>
  <c r="AQ22" i="2"/>
  <c r="AV16" i="2"/>
  <c r="AV20" i="2" s="1"/>
  <c r="AU20" i="2"/>
  <c r="AV10" i="2"/>
  <c r="AU32" i="2"/>
  <c r="AO26" i="2"/>
  <c r="AS15" i="2" l="1"/>
  <c r="AS13" i="2"/>
  <c r="AS30" i="2"/>
  <c r="AS38" i="2"/>
  <c r="AO27" i="2"/>
  <c r="AO41" i="2"/>
  <c r="AT12" i="2"/>
  <c r="AT34" i="2"/>
  <c r="AV7" i="2"/>
  <c r="AV11" i="2" s="1"/>
  <c r="AU11" i="2"/>
  <c r="AV32" i="2"/>
  <c r="AU35" i="2"/>
  <c r="AV6" i="2"/>
  <c r="AV35" i="2" s="1"/>
  <c r="AR36" i="2"/>
  <c r="AR22" i="2"/>
  <c r="AU34" i="2" l="1"/>
  <c r="AU12" i="2"/>
  <c r="AV34" i="2"/>
  <c r="AV12" i="2"/>
  <c r="AP23" i="2"/>
  <c r="AP24" i="2" s="1"/>
  <c r="AT30" i="2"/>
  <c r="AT15" i="2"/>
  <c r="AT38" i="2"/>
  <c r="AS36" i="2"/>
  <c r="AS22" i="2"/>
  <c r="AT36" i="2" l="1"/>
  <c r="AT22" i="2"/>
  <c r="AP25" i="2"/>
  <c r="AP37" i="2" s="1"/>
  <c r="AU30" i="2"/>
  <c r="AU15" i="2"/>
  <c r="AU38" i="2"/>
  <c r="AT13" i="2"/>
  <c r="AV15" i="2"/>
  <c r="AV13" i="2" s="1"/>
  <c r="AV30" i="2"/>
  <c r="AV38" i="2"/>
  <c r="AP26" i="2" l="1"/>
  <c r="AU36" i="2"/>
  <c r="AU22" i="2"/>
  <c r="AU13" i="2"/>
  <c r="AV22" i="2"/>
  <c r="AV36" i="2"/>
  <c r="AP27" i="2"/>
  <c r="AP41" i="2"/>
  <c r="AQ23" i="2" l="1"/>
  <c r="AQ24" i="2" s="1"/>
  <c r="AQ25" i="2" l="1"/>
  <c r="AQ37" i="2" s="1"/>
  <c r="AQ26" i="2" l="1"/>
  <c r="AQ27" i="2" l="1"/>
  <c r="AQ41" i="2"/>
  <c r="AR23" i="2" l="1"/>
  <c r="AR24" i="2" s="1"/>
  <c r="AR25" i="2" l="1"/>
  <c r="AR37" i="2" s="1"/>
  <c r="AR26" i="2" l="1"/>
  <c r="AR27" i="2" l="1"/>
  <c r="AR41" i="2"/>
  <c r="AS23" i="2" l="1"/>
  <c r="AS24" i="2" s="1"/>
  <c r="AS25" i="2" l="1"/>
  <c r="AS37" i="2" s="1"/>
  <c r="AS26" i="2" l="1"/>
  <c r="AS27" i="2" s="1"/>
  <c r="AS41" i="2" l="1"/>
  <c r="AT23" i="2"/>
  <c r="AT24" i="2" s="1"/>
  <c r="AT25" i="2" l="1"/>
  <c r="AT37" i="2" s="1"/>
  <c r="AT26" i="2" l="1"/>
  <c r="AT27" i="2" l="1"/>
  <c r="AT41" i="2"/>
  <c r="AU23" i="2" l="1"/>
  <c r="AU24" i="2" s="1"/>
  <c r="AU25" i="2" l="1"/>
  <c r="AU37" i="2" s="1"/>
  <c r="AU26" i="2" l="1"/>
  <c r="AU27" i="2" l="1"/>
  <c r="AU41" i="2"/>
  <c r="AV23" i="2" l="1"/>
  <c r="AV24" i="2" s="1"/>
  <c r="AV25" i="2" l="1"/>
  <c r="AV37" i="2" s="1"/>
  <c r="AV26" i="2" l="1"/>
  <c r="AV27" i="2" l="1"/>
  <c r="AV4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tc={D0CCDB3C-FE0C-46F8-9D9A-74EB47E38031}</author>
    <author>tc={30BAF225-7F14-43B9-83EA-14C16211DBDC}</author>
    <author>tc={6B5536C2-5243-4375-9696-0F591BAE0E8F}</author>
    <author>tc={995797EA-963A-4635-A88C-F6E8206AED44}</author>
  </authors>
  <commentList>
    <comment ref="R7" authorId="0" shapeId="0" xr:uid="{D0CCDB3C-FE0C-46F8-9D9A-74EB47E38031}">
      <text>
        <t>[Threaded comment]
Your version of Excel allows you to read this threaded comment; however, any edits to it will get removed if the file is opened in a newer version of Excel. Learn more: https://go.microsoft.com/fwlink/?linkid=870924
Comment:
    YouTube subscription</t>
      </text>
    </comment>
    <comment ref="R10" authorId="1" shapeId="0" xr:uid="{30BAF225-7F14-43B9-83EA-14C16211DBDC}">
      <text>
        <t>[Threaded comment]
Your version of Excel allows you to read this threaded comment; however, any edits to it will get removed if the file is opened in a newer version of Excel. Learn more: https://go.microsoft.com/fwlink/?linkid=870924
Comment:
    Grew ex-FX, finance decline, travel growth</t>
      </text>
    </comment>
    <comment ref="S12" authorId="2" shapeId="0" xr:uid="{6B5536C2-5243-4375-9696-0F591BAE0E8F}">
      <text>
        <t>[Threaded comment]
Your version of Excel allows you to read this threaded comment; however, any edits to it will get removed if the file is opened in a newer version of Excel. Learn more: https://go.microsoft.com/fwlink/?linkid=870924
Comment:
    4/25/23 Consensus 68.88B</t>
      </text>
    </comment>
    <comment ref="X12" authorId="3" shapeId="0" xr:uid="{995797EA-963A-4635-A88C-F6E8206AED44}">
      <text>
        <t>[Threaded comment]
Your version of Excel allows you to read this threaded comment; however, any edits to it will get removed if the file is opened in a newer version of Excel. Learn more: https://go.microsoft.com/fwlink/?linkid=870924
Comment:
    4/25/23 consensus 72.28B</t>
      </text>
    </comment>
  </commentList>
</comments>
</file>

<file path=xl/sharedStrings.xml><?xml version="1.0" encoding="utf-8"?>
<sst xmlns="http://schemas.openxmlformats.org/spreadsheetml/2006/main" count="189" uniqueCount="167">
  <si>
    <t>Our Mission: to organize the world's informaytino and make it universally accessible &amp; useful</t>
  </si>
  <si>
    <t>Price</t>
  </si>
  <si>
    <t>Shares</t>
  </si>
  <si>
    <t>Q422</t>
  </si>
  <si>
    <t>HQ</t>
  </si>
  <si>
    <t>Mountain View, Cali</t>
  </si>
  <si>
    <t>MC</t>
  </si>
  <si>
    <t>Cash</t>
  </si>
  <si>
    <t>Performance Advertising</t>
  </si>
  <si>
    <t>Debt</t>
  </si>
  <si>
    <t>Brand Advertising</t>
  </si>
  <si>
    <t>EV</t>
  </si>
  <si>
    <t>Business</t>
  </si>
  <si>
    <t>Founded</t>
  </si>
  <si>
    <t>Google: Services, Cloud</t>
  </si>
  <si>
    <t>Other Bets</t>
  </si>
  <si>
    <t>CEO (for now)</t>
  </si>
  <si>
    <t>Sundar Pichai</t>
  </si>
  <si>
    <t>Google Services</t>
  </si>
  <si>
    <t>CFO</t>
  </si>
  <si>
    <t>Ruth Porat</t>
  </si>
  <si>
    <t>ads</t>
  </si>
  <si>
    <t>CBO</t>
  </si>
  <si>
    <t>Philipp Schindler</t>
  </si>
  <si>
    <t>fitbit, google nest, pixel devices</t>
  </si>
  <si>
    <t>SVP Devices, Services</t>
  </si>
  <si>
    <t>Rick Osterloh</t>
  </si>
  <si>
    <t>Chrome</t>
  </si>
  <si>
    <t>Cloud</t>
  </si>
  <si>
    <t>Thomas Kurian</t>
  </si>
  <si>
    <t>hardware</t>
  </si>
  <si>
    <t>CMO</t>
  </si>
  <si>
    <t>Lorraine Twohill</t>
  </si>
  <si>
    <t>Gooogle Drive</t>
  </si>
  <si>
    <t>sales of apps &amp; in-app purchases</t>
  </si>
  <si>
    <t>SVP Android, Chrome</t>
  </si>
  <si>
    <t>Hiroshi Lockheimer</t>
  </si>
  <si>
    <t>Google Maps</t>
  </si>
  <si>
    <t>SVP Engineering</t>
  </si>
  <si>
    <t>Urs Holzle</t>
  </si>
  <si>
    <t>Google Play</t>
  </si>
  <si>
    <t>premium &amp; tv</t>
  </si>
  <si>
    <t>SVP Core Systems</t>
  </si>
  <si>
    <t>Jen Fitzpatrick</t>
  </si>
  <si>
    <t>Search</t>
  </si>
  <si>
    <t>SVP PM</t>
  </si>
  <si>
    <t>Gerald Wight</t>
  </si>
  <si>
    <t>Youtube</t>
  </si>
  <si>
    <t>SVP Tech &amp; Society</t>
  </si>
  <si>
    <t>leading tech in cybersecurity, data, analytics, AI, ML, infrastructure</t>
  </si>
  <si>
    <t>Google Cloud</t>
  </si>
  <si>
    <t>Gmail, Docs, Calendar, Meet, etc</t>
  </si>
  <si>
    <t>Cloud Platform</t>
  </si>
  <si>
    <t>Google Workspace</t>
  </si>
  <si>
    <t>transportation</t>
  </si>
  <si>
    <t>health technbology</t>
  </si>
  <si>
    <t>climat change</t>
  </si>
  <si>
    <t>risks</t>
  </si>
  <si>
    <t>ad revenue make up 80% of total</t>
  </si>
  <si>
    <t>not continuing to innovate: intense competition</t>
  </si>
  <si>
    <t>anticipate future downard pressure on operating margin</t>
  </si>
  <si>
    <t>raw material, component availability, manufacturing capacity, labor shortages, industry allocations, logistics capacity, inflasion, FOREX, tarifs, sanctions, export controls, trade disputes&amp;barriers, geopolitical tentions, armed conflics, natural disasters or pandemics, climate change</t>
  </si>
  <si>
    <t>inability to protect IP</t>
  </si>
  <si>
    <t xml:space="preserve">manufacturing &amp; supply chain </t>
  </si>
  <si>
    <t>international revenues 51% of 2022rev</t>
  </si>
  <si>
    <t>data privacy &amp; security concerns</t>
  </si>
  <si>
    <t>inability to monitor and remove 'content' posts from platforms</t>
  </si>
  <si>
    <t>changes in access to internet for users</t>
  </si>
  <si>
    <t>laws: compteition &amp; technology business practrives, data privacy collection &amp; processing, copyright, content moderation, consu mer protection</t>
  </si>
  <si>
    <t>FX</t>
  </si>
  <si>
    <t>Other</t>
  </si>
  <si>
    <t>Network</t>
  </si>
  <si>
    <t>YouTube</t>
  </si>
  <si>
    <t>Google Search</t>
  </si>
  <si>
    <t>Services</t>
  </si>
  <si>
    <t>Revenue</t>
  </si>
  <si>
    <t>COGS</t>
  </si>
  <si>
    <t>TAC</t>
  </si>
  <si>
    <t>Gross Profit</t>
  </si>
  <si>
    <t>R&amp;D</t>
  </si>
  <si>
    <t>S&amp;M</t>
  </si>
  <si>
    <t>G&amp;A</t>
  </si>
  <si>
    <t>OpEx</t>
  </si>
  <si>
    <t>OpInc</t>
  </si>
  <si>
    <t>Pretax</t>
  </si>
  <si>
    <t>Taxes</t>
  </si>
  <si>
    <t>Net Income</t>
  </si>
  <si>
    <t>EPS</t>
  </si>
  <si>
    <t>Revenue Growth</t>
  </si>
  <si>
    <t>Revenue CC%</t>
  </si>
  <si>
    <t>Search Growth</t>
  </si>
  <si>
    <t>YouTube Growth</t>
  </si>
  <si>
    <t>Services Growth</t>
  </si>
  <si>
    <t>Cloud Growth</t>
  </si>
  <si>
    <t>Gross Margin</t>
  </si>
  <si>
    <t>Tax Rate</t>
  </si>
  <si>
    <t>Search % of Rev</t>
  </si>
  <si>
    <t>Advertising %</t>
  </si>
  <si>
    <t>Net Cash</t>
  </si>
  <si>
    <t>AR</t>
  </si>
  <si>
    <t>Inventory</t>
  </si>
  <si>
    <t>OCA</t>
  </si>
  <si>
    <t>DT</t>
  </si>
  <si>
    <t>PP&amp;E</t>
  </si>
  <si>
    <t>Lease</t>
  </si>
  <si>
    <t>Goodwill</t>
  </si>
  <si>
    <t>ONCA</t>
  </si>
  <si>
    <t>Assets</t>
  </si>
  <si>
    <t>AP</t>
  </si>
  <si>
    <t>Compensation</t>
  </si>
  <si>
    <t>AE</t>
  </si>
  <si>
    <t>RevShare</t>
  </si>
  <si>
    <t>DR</t>
  </si>
  <si>
    <t>OLTL</t>
  </si>
  <si>
    <t>SE</t>
  </si>
  <si>
    <t>L+SE</t>
  </si>
  <si>
    <t>Model NI</t>
  </si>
  <si>
    <t>Reported NI</t>
  </si>
  <si>
    <t>Depreciation</t>
  </si>
  <si>
    <t>Amortization</t>
  </si>
  <si>
    <t>SBC</t>
  </si>
  <si>
    <t>Gain on equities</t>
  </si>
  <si>
    <t>WC</t>
  </si>
  <si>
    <t>CFFO</t>
  </si>
  <si>
    <t>CapEx</t>
  </si>
  <si>
    <t>Investments</t>
  </si>
  <si>
    <t>Acquisitions</t>
  </si>
  <si>
    <t>CFFI</t>
  </si>
  <si>
    <t>Buybacks (A)</t>
  </si>
  <si>
    <t>Buybacks (B)</t>
  </si>
  <si>
    <t>Sale of Entities</t>
  </si>
  <si>
    <t>CFFF</t>
  </si>
  <si>
    <t>CIC</t>
  </si>
  <si>
    <t>FCF</t>
  </si>
  <si>
    <t>Employees</t>
  </si>
  <si>
    <t xml:space="preserve">  y/y</t>
  </si>
  <si>
    <t xml:space="preserve">  Rev/HC</t>
  </si>
  <si>
    <t>Stock Price</t>
  </si>
  <si>
    <t>Nasdaq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</si>
  <si>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</si>
  <si>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</si>
  <si>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</si>
  <si>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</si>
  <si>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</si>
  <si>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</si>
  <si>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</si>
  <si>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</si>
  <si>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</si>
  <si>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</si>
  <si>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</si>
  <si>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</si>
  <si>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</si>
  <si>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</si>
  <si>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</si>
  <si>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Q123</t>
  </si>
  <si>
    <t>Q223</t>
  </si>
  <si>
    <t>Q323</t>
  </si>
  <si>
    <t>Q423</t>
  </si>
  <si>
    <t>will invest heavy in operating exp &amp; capex…AI</t>
  </si>
  <si>
    <t>operating exp: r&amp;d, sales and marketing, general &amp; administrative fguntions</t>
  </si>
  <si>
    <t>R&amp;D growth</t>
  </si>
  <si>
    <t>sep 12 2022, acquisition of Mandiant $6.1B</t>
  </si>
  <si>
    <t>other info</t>
  </si>
  <si>
    <t>suspended vast majority of activities in Russia 1Q22</t>
  </si>
  <si>
    <t>$59.3B repurchase of Class A &amp; C</t>
  </si>
  <si>
    <t>Q124</t>
  </si>
  <si>
    <t>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</si>
</sst>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%"/>
    <numFmt numFmtId="165" formatCode="0.00_);\(0.00\)"/>
    <numFmt numFmtId="166" formatCode="0_);\(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4" fontId="0" fillId="0" borderId="0" xfId="0" applyNumberFormat="1"/>
    <xf numFmtId="3" fontId="0" fillId="0" borderId="0" xfId="0" applyNumberFormat="1" applyAlignment="1">
      <alignment horizontal="center"/>
    </xf>
    <xf numFmtId="3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2" fillId="0" borderId="0" xfId="0" applyFont="1"/>
    <xf numFmtId="0" fontId="0" fillId="0" borderId="1" xfId="0" applyBorder="1"/>
    <xf numFmtId="1" fontId="0" fillId="0" borderId="0" xfId="0" applyNumberFormat="1"/>
    <xf numFmtId="0" fontId="3" fillId="0" borderId="0" xfId="0" applyFon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3" fontId="2" fillId="0" borderId="0" xfId="0" applyNumberFormat="1" applyFont="1"/>
    <xf numFmtId="165" fontId="0" fillId="0" borderId="0" xfId="0" applyNumberFormat="1" applyAlignment="1">
      <alignment horizontal="right"/>
    </xf>
    <xf numFmtId="165" fontId="0" fillId="0" borderId="0" xfId="0" applyNumberFormat="1"/>
    <xf numFmtId="166" fontId="0" fillId="0" borderId="0" xfId="0" applyNumberFormat="1" applyAlignment="1">
      <alignment horizontal="right"/>
    </xf>
    <xf numFmtId="166" fontId="0" fillId="0" borderId="0" xfId="0" applyNumberFormat="1"/>
    <xf numFmtId="166" fontId="2" fillId="0" borderId="0" xfId="0" applyNumberFormat="1" applyFont="1" applyAlignment="1">
      <alignment horizontal="right"/>
    </xf>
    <xf numFmtId="166" fontId="2" fillId="0" borderId="0" xfId="0" applyNumberFormat="1" applyFont="1"/>
    <xf numFmtId="166" fontId="1" fillId="0" borderId="0" xfId="0" applyNumberFormat="1" applyFont="1" applyAlignment="1">
      <alignment horizontal="right"/>
    </xf>
    <xf numFmtId="166" fontId="1" fillId="0" borderId="0" xfId="0" applyNumberFormat="1" applyFont="1"/>
    <xf numFmtId="0" fontId="1" fillId="0" borderId="0" xfId="0" applyFont="1"/>
    <xf numFmtId="166" fontId="1" fillId="2" borderId="0" xfId="0" applyNumberFormat="1" applyFont="1" applyFill="1"/>
    <xf numFmtId="10" fontId="2" fillId="0" borderId="0" xfId="0" applyNumberFormat="1" applyFont="1"/>
    <xf numFmtId="10" fontId="2" fillId="0" borderId="0" xfId="0" applyNumberFormat="1" applyFont="1" applyAlignment="1">
      <alignment horizontal="right"/>
    </xf>
    <xf numFmtId="10" fontId="0" fillId="0" borderId="0" xfId="0" applyNumberFormat="1"/>
    <xf numFmtId="10" fontId="0" fillId="0" borderId="0" xfId="0" applyNumberFormat="1" applyAlignment="1">
      <alignment horizontal="right"/>
    </xf>
    <xf numFmtId="166" fontId="4" fillId="0" borderId="0" xfId="0" applyNumberFormat="1" applyFont="1"/>
    <xf numFmtId="166" fontId="4" fillId="0" borderId="0" xfId="0" applyNumberFormat="1" applyFont="1" applyAlignment="1">
      <alignment horizontal="right"/>
    </xf>
    <xf numFmtId="10" fontId="1" fillId="0" borderId="0" xfId="0" applyNumberFormat="1" applyFont="1"/>
    <xf numFmtId="166" fontId="1" fillId="3" borderId="0" xfId="0" applyNumberFormat="1" applyFont="1" applyFill="1" applyAlignment="1">
      <alignment horizontal="right"/>
    </xf>
    <xf numFmtId="166" fontId="0" fillId="3" borderId="0" xfId="0" applyNumberFormat="1" applyFill="1" applyAlignment="1">
      <alignment horizontal="right"/>
    </xf>
    <xf numFmtId="166" fontId="2" fillId="3" borderId="0" xfId="0" applyNumberFormat="1" applyFont="1" applyFill="1" applyAlignment="1">
      <alignment horizontal="right"/>
    </xf>
    <xf numFmtId="10" fontId="2" fillId="3" borderId="0" xfId="0" applyNumberFormat="1" applyFont="1" applyFill="1" applyAlignment="1">
      <alignment horizontal="right"/>
    </xf>
    <xf numFmtId="10" fontId="0" fillId="3" borderId="0" xfId="0" applyNumberFormat="1" applyFill="1" applyAlignment="1">
      <alignment horizontal="right"/>
    </xf>
    <xf numFmtId="165" fontId="0" fillId="3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34D445DB-C776-4AB1-939E-6F368B15AA03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7" dT="2023-02-06T14:18:22.15" personId="{34D445DB-C776-4AB1-939E-6F368B15AA03}" id="{D0CCDB3C-FE0C-46F8-9D9A-74EB47E38031}">
    <text>YouTube subscription</text>
  </threadedComment>
  <threadedComment ref="R10" dT="2023-02-06T14:18:41.55" personId="{34D445DB-C776-4AB1-939E-6F368B15AA03}" id="{30BAF225-7F14-43B9-83EA-14C16211DBDC}">
    <text>Grew ex-FX, finance decline, travel growth</text>
  </threadedComment>
  <threadedComment ref="S12" dT="2023-04-25T19:37:22.78" personId="{34D445DB-C776-4AB1-939E-6F368B15AA03}" id="{6B5536C2-5243-4375-9696-0F591BAE0E8F}">
    <text>4/25/23 Consensus 68.88B</text>
  </threadedComment>
  <threadedComment ref="X12" dT="2023-04-25T19:37:35.90" personId="{34D445DB-C776-4AB1-939E-6F368B15AA03}" id="{995797EA-963A-4635-A88C-F6E8206AED44}">
    <text>4/25/23 consensus 72.28B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93662-539E-401B-8BDC-AF706FC4EE83}">
  <dimension ref="B3:M52"/>
  <sheetViews>
    <sheetView workbookViewId="0">
      <selection activeCell="C21" sqref="C21"/>
    </sheetView>
  </sheetViews>
  <sheetFormatPr defaultRowHeight="15" x14ac:dyDescent="0.25"/>
  <cols>
    <col min="2" max="2" width="19.140625" customWidth="1"/>
    <col min="11" max="11" width="20.28515625" bestFit="1" customWidth="1"/>
    <col min="12" max="12" width="18.28515625" bestFit="1" customWidth="1"/>
  </cols>
  <sheetData>
    <row r="3" spans="2:13" x14ac:dyDescent="0.25">
      <c r="B3" t="s">
        <v>0</v>
      </c>
      <c r="K3" t="s">
        <v>1</v>
      </c>
      <c r="L3" s="1">
        <v>105</v>
      </c>
    </row>
    <row r="4" spans="2:13" x14ac:dyDescent="0.25">
      <c r="H4" s="2"/>
      <c r="I4" s="3"/>
      <c r="K4" t="s">
        <v>2</v>
      </c>
      <c r="L4" s="3">
        <v>12947</v>
      </c>
      <c r="M4" s="4" t="s">
        <v>3</v>
      </c>
    </row>
    <row r="5" spans="2:13" x14ac:dyDescent="0.25">
      <c r="B5" t="s">
        <v>4</v>
      </c>
      <c r="C5" t="s">
        <v>5</v>
      </c>
      <c r="H5" s="2"/>
      <c r="K5" t="s">
        <v>6</v>
      </c>
      <c r="L5" s="3">
        <f>L3*L4</f>
        <v>1359435</v>
      </c>
    </row>
    <row r="6" spans="2:13" x14ac:dyDescent="0.25">
      <c r="H6" s="5"/>
      <c r="K6" t="s">
        <v>7</v>
      </c>
      <c r="L6" s="3">
        <v>144254</v>
      </c>
      <c r="M6" s="4" t="s">
        <v>3</v>
      </c>
    </row>
    <row r="7" spans="2:13" x14ac:dyDescent="0.25">
      <c r="B7" s="6" t="s">
        <v>8</v>
      </c>
      <c r="K7" t="s">
        <v>9</v>
      </c>
      <c r="L7" s="3">
        <v>14701</v>
      </c>
      <c r="M7" s="4" t="s">
        <v>3</v>
      </c>
    </row>
    <row r="8" spans="2:13" x14ac:dyDescent="0.25">
      <c r="B8" s="6" t="s">
        <v>10</v>
      </c>
      <c r="K8" t="s">
        <v>11</v>
      </c>
      <c r="L8" s="3">
        <f>L5-L6+L7</f>
        <v>1229882</v>
      </c>
    </row>
    <row r="9" spans="2:13" x14ac:dyDescent="0.25">
      <c r="K9" s="6"/>
    </row>
    <row r="10" spans="2:13" x14ac:dyDescent="0.25">
      <c r="B10" s="7" t="s">
        <v>12</v>
      </c>
      <c r="K10" s="6" t="s">
        <v>13</v>
      </c>
      <c r="L10" s="8">
        <v>1998</v>
      </c>
    </row>
    <row r="11" spans="2:13" x14ac:dyDescent="0.25">
      <c r="B11" t="s">
        <v>14</v>
      </c>
      <c r="L11" s="3"/>
    </row>
    <row r="12" spans="2:13" x14ac:dyDescent="0.25">
      <c r="B12" t="s">
        <v>15</v>
      </c>
      <c r="K12" s="9"/>
    </row>
    <row r="13" spans="2:13" x14ac:dyDescent="0.25">
      <c r="K13" t="s">
        <v>16</v>
      </c>
      <c r="L13" s="10" t="s">
        <v>17</v>
      </c>
    </row>
    <row r="14" spans="2:13" x14ac:dyDescent="0.25">
      <c r="B14" s="7" t="s">
        <v>18</v>
      </c>
      <c r="K14" t="s">
        <v>19</v>
      </c>
      <c r="L14" s="10" t="s">
        <v>20</v>
      </c>
    </row>
    <row r="15" spans="2:13" x14ac:dyDescent="0.25">
      <c r="B15" s="6" t="s">
        <v>21</v>
      </c>
      <c r="K15" s="3" t="s">
        <v>22</v>
      </c>
      <c r="L15" s="11" t="s">
        <v>23</v>
      </c>
      <c r="M15" s="3"/>
    </row>
    <row r="16" spans="2:13" x14ac:dyDescent="0.25">
      <c r="B16" s="6" t="s">
        <v>166</v>
      </c>
      <c r="C16" t="s">
        <v>24</v>
      </c>
      <c r="K16" t="s">
        <v>25</v>
      </c>
      <c r="L16" s="10" t="s">
        <v>26</v>
      </c>
    </row>
    <row r="17" spans="2:12" x14ac:dyDescent="0.25">
      <c r="B17" s="6" t="s">
        <v>27</v>
      </c>
      <c r="K17" t="s">
        <v>28</v>
      </c>
      <c r="L17" s="10" t="s">
        <v>29</v>
      </c>
    </row>
    <row r="18" spans="2:12" x14ac:dyDescent="0.25">
      <c r="B18" s="6" t="s">
        <v>30</v>
      </c>
      <c r="K18" t="s">
        <v>31</v>
      </c>
      <c r="L18" s="10" t="s">
        <v>32</v>
      </c>
    </row>
    <row r="19" spans="2:12" x14ac:dyDescent="0.25">
      <c r="B19" s="6" t="s">
        <v>33</v>
      </c>
      <c r="C19" t="s">
        <v>34</v>
      </c>
      <c r="K19" t="s">
        <v>35</v>
      </c>
      <c r="L19" s="10" t="s">
        <v>36</v>
      </c>
    </row>
    <row r="20" spans="2:12" x14ac:dyDescent="0.25">
      <c r="B20" s="6" t="s">
        <v>37</v>
      </c>
      <c r="K20" t="s">
        <v>38</v>
      </c>
      <c r="L20" s="10" t="s">
        <v>39</v>
      </c>
    </row>
    <row r="21" spans="2:12" x14ac:dyDescent="0.25">
      <c r="B21" s="6" t="s">
        <v>40</v>
      </c>
      <c r="C21" t="s">
        <v>41</v>
      </c>
      <c r="K21" t="s">
        <v>42</v>
      </c>
      <c r="L21" s="10" t="s">
        <v>43</v>
      </c>
    </row>
    <row r="22" spans="2:12" x14ac:dyDescent="0.25">
      <c r="B22" s="6" t="s">
        <v>44</v>
      </c>
      <c r="K22" t="s">
        <v>45</v>
      </c>
      <c r="L22" s="10" t="s">
        <v>46</v>
      </c>
    </row>
    <row r="23" spans="2:12" x14ac:dyDescent="0.25">
      <c r="B23" s="6" t="s">
        <v>47</v>
      </c>
      <c r="K23" t="s">
        <v>48</v>
      </c>
      <c r="L23" s="10"/>
    </row>
    <row r="25" spans="2:12" x14ac:dyDescent="0.25">
      <c r="B25" s="7" t="s">
        <v>50</v>
      </c>
    </row>
    <row r="26" spans="2:12" x14ac:dyDescent="0.25">
      <c r="B26" t="s">
        <v>52</v>
      </c>
      <c r="C26" t="s">
        <v>49</v>
      </c>
    </row>
    <row r="27" spans="2:12" x14ac:dyDescent="0.25">
      <c r="B27" t="s">
        <v>53</v>
      </c>
      <c r="C27" t="s">
        <v>51</v>
      </c>
    </row>
    <row r="29" spans="2:12" x14ac:dyDescent="0.25">
      <c r="B29" s="7" t="s">
        <v>15</v>
      </c>
    </row>
    <row r="30" spans="2:12" x14ac:dyDescent="0.25">
      <c r="B30" t="s">
        <v>54</v>
      </c>
    </row>
    <row r="31" spans="2:12" x14ac:dyDescent="0.25">
      <c r="B31" t="s">
        <v>55</v>
      </c>
    </row>
    <row r="32" spans="2:12" x14ac:dyDescent="0.25">
      <c r="B32" t="s">
        <v>56</v>
      </c>
    </row>
    <row r="34" spans="2:3" x14ac:dyDescent="0.25">
      <c r="B34" s="7" t="s">
        <v>57</v>
      </c>
    </row>
    <row r="35" spans="2:3" x14ac:dyDescent="0.25">
      <c r="B35" t="s">
        <v>58</v>
      </c>
    </row>
    <row r="36" spans="2:3" x14ac:dyDescent="0.25">
      <c r="B36" t="s">
        <v>59</v>
      </c>
    </row>
    <row r="37" spans="2:3" x14ac:dyDescent="0.25">
      <c r="B37" t="s">
        <v>60</v>
      </c>
    </row>
    <row r="38" spans="2:3" x14ac:dyDescent="0.25">
      <c r="B38" t="s">
        <v>62</v>
      </c>
    </row>
    <row r="39" spans="2:3" x14ac:dyDescent="0.25">
      <c r="B39" t="s">
        <v>63</v>
      </c>
      <c r="C39" t="s">
        <v>61</v>
      </c>
    </row>
    <row r="40" spans="2:3" x14ac:dyDescent="0.25">
      <c r="B40" t="s">
        <v>64</v>
      </c>
    </row>
    <row r="41" spans="2:3" x14ac:dyDescent="0.25">
      <c r="B41" t="s">
        <v>65</v>
      </c>
    </row>
    <row r="42" spans="2:3" x14ac:dyDescent="0.25">
      <c r="B42" t="s">
        <v>66</v>
      </c>
    </row>
    <row r="43" spans="2:3" x14ac:dyDescent="0.25">
      <c r="B43" t="s">
        <v>67</v>
      </c>
    </row>
    <row r="44" spans="2:3" x14ac:dyDescent="0.25">
      <c r="B44" t="s">
        <v>68</v>
      </c>
    </row>
    <row r="46" spans="2:3" x14ac:dyDescent="0.25">
      <c r="B46" t="s">
        <v>158</v>
      </c>
    </row>
    <row r="47" spans="2:3" x14ac:dyDescent="0.25">
      <c r="B47" t="s">
        <v>159</v>
      </c>
    </row>
    <row r="49" spans="2:2" x14ac:dyDescent="0.25">
      <c r="B49" s="7" t="s">
        <v>162</v>
      </c>
    </row>
    <row r="50" spans="2:2" x14ac:dyDescent="0.25">
      <c r="B50" t="s">
        <v>161</v>
      </c>
    </row>
    <row r="51" spans="2:2" x14ac:dyDescent="0.25">
      <c r="B51" t="s">
        <v>163</v>
      </c>
    </row>
    <row r="52" spans="2:2" x14ac:dyDescent="0.25">
      <c r="B52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E68A-A57B-44C8-9CF4-58AEE7A54A0C}">
  <dimension ref="B3:AV129"/>
  <sheetViews>
    <sheetView tabSelected="1" zoomScaleNormal="100" workbookViewId="0">
      <pane xSplit="2" ySplit="3" topLeftCell="AL30" activePane="bottomRight" state="frozen"/>
      <selection pane="topRight" activeCell="C1" sqref="C1"/>
      <selection pane="bottomLeft" activeCell="A4" sqref="A4"/>
      <selection pane="bottomRight" activeCell="AN45" sqref="AN45"/>
    </sheetView>
  </sheetViews>
  <sheetFormatPr defaultRowHeight="15" x14ac:dyDescent="0.25"/>
  <cols>
    <col min="2" max="2" width="16.28515625" bestFit="1" customWidth="1"/>
    <col min="3" max="3" width="10.28515625" bestFit="1" customWidth="1"/>
    <col min="4" max="6" width="9.28515625" bestFit="1" customWidth="1"/>
    <col min="7" max="7" width="10.28515625" bestFit="1" customWidth="1"/>
    <col min="8" max="10" width="9.28515625" bestFit="1" customWidth="1"/>
    <col min="11" max="13" width="10.28515625" bestFit="1" customWidth="1"/>
    <col min="14" max="18" width="10.5703125" bestFit="1" customWidth="1"/>
    <col min="19" max="19" width="10.28515625" bestFit="1" customWidth="1"/>
    <col min="20" max="23" width="10.28515625" customWidth="1"/>
    <col min="24" max="26" width="9.28515625" bestFit="1" customWidth="1"/>
    <col min="28" max="34" width="9.28515625" bestFit="1" customWidth="1"/>
    <col min="35" max="39" width="10.28515625" bestFit="1" customWidth="1"/>
    <col min="40" max="47" width="10.5703125" bestFit="1" customWidth="1"/>
    <col min="48" max="48" width="11.7109375" bestFit="1" customWidth="1"/>
  </cols>
  <sheetData>
    <row r="3" spans="2:48" s="21" customFormat="1" x14ac:dyDescent="0.25">
      <c r="B3"/>
      <c r="C3" s="19" t="s">
        <v>139</v>
      </c>
      <c r="D3" s="19" t="s">
        <v>140</v>
      </c>
      <c r="E3" s="19" t="s">
        <v>141</v>
      </c>
      <c r="F3" s="19" t="s">
        <v>142</v>
      </c>
      <c r="G3" s="19" t="s">
        <v>143</v>
      </c>
      <c r="H3" s="19" t="s">
        <v>144</v>
      </c>
      <c r="I3" s="19" t="s">
        <v>145</v>
      </c>
      <c r="J3" s="19" t="s">
        <v>146</v>
      </c>
      <c r="K3" s="19" t="s">
        <v>147</v>
      </c>
      <c r="L3" s="19" t="s">
        <v>148</v>
      </c>
      <c r="M3" s="19" t="s">
        <v>149</v>
      </c>
      <c r="N3" s="19" t="s">
        <v>150</v>
      </c>
      <c r="O3" s="19" t="s">
        <v>151</v>
      </c>
      <c r="P3" s="19" t="s">
        <v>152</v>
      </c>
      <c r="Q3" s="19" t="s">
        <v>153</v>
      </c>
      <c r="R3" s="19" t="s">
        <v>3</v>
      </c>
      <c r="S3" s="19" t="s">
        <v>154</v>
      </c>
      <c r="T3" s="19" t="s">
        <v>155</v>
      </c>
      <c r="U3" s="19" t="s">
        <v>156</v>
      </c>
      <c r="V3" s="19" t="s">
        <v>157</v>
      </c>
      <c r="W3" s="19" t="s">
        <v>165</v>
      </c>
      <c r="X3" s="30" t="s">
        <v>155</v>
      </c>
      <c r="Y3" s="30" t="s">
        <v>156</v>
      </c>
      <c r="Z3" s="30" t="s">
        <v>157</v>
      </c>
      <c r="AA3" s="20"/>
      <c r="AB3" s="20">
        <v>2010</v>
      </c>
      <c r="AC3" s="20">
        <v>2011</v>
      </c>
      <c r="AD3" s="20">
        <v>2012</v>
      </c>
      <c r="AE3" s="20">
        <v>2013</v>
      </c>
      <c r="AF3" s="20">
        <v>2014</v>
      </c>
      <c r="AG3" s="20">
        <v>2015</v>
      </c>
      <c r="AH3" s="20">
        <v>2016</v>
      </c>
      <c r="AI3" s="20">
        <v>2017</v>
      </c>
      <c r="AJ3" s="20">
        <v>2018</v>
      </c>
      <c r="AK3" s="20">
        <v>2019</v>
      </c>
      <c r="AL3" s="20">
        <v>2020</v>
      </c>
      <c r="AM3" s="20">
        <v>2021</v>
      </c>
      <c r="AN3" s="20">
        <f>AM3+1</f>
        <v>2022</v>
      </c>
      <c r="AO3" s="20">
        <f t="shared" ref="AO3:AV3" si="0">AN3+1</f>
        <v>2023</v>
      </c>
      <c r="AP3" s="22">
        <f t="shared" si="0"/>
        <v>2024</v>
      </c>
      <c r="AQ3" s="22">
        <f t="shared" si="0"/>
        <v>2025</v>
      </c>
      <c r="AR3" s="22">
        <f t="shared" si="0"/>
        <v>2026</v>
      </c>
      <c r="AS3" s="22">
        <f t="shared" si="0"/>
        <v>2027</v>
      </c>
      <c r="AT3" s="22">
        <f t="shared" si="0"/>
        <v>2028</v>
      </c>
      <c r="AU3" s="22">
        <f t="shared" si="0"/>
        <v>2029</v>
      </c>
      <c r="AV3" s="22">
        <f t="shared" si="0"/>
        <v>2030</v>
      </c>
    </row>
    <row r="4" spans="2:48" x14ac:dyDescent="0.25">
      <c r="B4" s="3" t="s">
        <v>69</v>
      </c>
      <c r="C4" s="15">
        <v>137</v>
      </c>
      <c r="D4" s="15"/>
      <c r="E4" s="15"/>
      <c r="F4" s="15"/>
      <c r="G4" s="15">
        <v>49</v>
      </c>
      <c r="H4" s="15">
        <v>151</v>
      </c>
      <c r="I4" s="15">
        <v>-22</v>
      </c>
      <c r="J4" s="15">
        <v>-2</v>
      </c>
      <c r="K4" s="15">
        <v>-109</v>
      </c>
      <c r="L4" s="15">
        <v>-7</v>
      </c>
      <c r="M4" s="15">
        <v>62</v>
      </c>
      <c r="N4" s="15">
        <v>203</v>
      </c>
      <c r="O4" s="15">
        <v>278</v>
      </c>
      <c r="P4" s="15">
        <v>375</v>
      </c>
      <c r="Q4" s="15">
        <v>638</v>
      </c>
      <c r="R4" s="15">
        <v>669</v>
      </c>
      <c r="S4" s="15">
        <v>84</v>
      </c>
      <c r="T4" s="15">
        <v>3</v>
      </c>
      <c r="U4" s="15">
        <v>-1</v>
      </c>
      <c r="V4" s="15">
        <v>150</v>
      </c>
      <c r="W4" s="15"/>
      <c r="X4" s="31"/>
      <c r="Y4" s="31"/>
      <c r="Z4" s="31"/>
      <c r="AA4" s="16"/>
      <c r="AB4" s="16"/>
      <c r="AC4" s="16"/>
      <c r="AD4" s="16"/>
      <c r="AE4" s="16"/>
      <c r="AF4" s="16"/>
      <c r="AG4" s="16"/>
      <c r="AH4" s="16"/>
      <c r="AI4" s="27">
        <v>-169</v>
      </c>
      <c r="AJ4" s="27">
        <v>-138</v>
      </c>
      <c r="AK4" s="27">
        <v>455</v>
      </c>
      <c r="AL4" s="27">
        <f t="shared" ref="AL4:AL10" si="1">SUM(G4:J4)</f>
        <v>176</v>
      </c>
      <c r="AM4" s="27">
        <f t="shared" ref="AM4:AM10" si="2">SUM(K4:N4)</f>
        <v>149</v>
      </c>
      <c r="AN4" s="27">
        <f t="shared" ref="AN4:AN10" si="3">SUM(O4:R4)</f>
        <v>1960</v>
      </c>
      <c r="AO4" s="27"/>
      <c r="AP4" s="16"/>
      <c r="AQ4" s="16"/>
      <c r="AR4" s="16"/>
      <c r="AS4" s="16"/>
      <c r="AT4" s="16"/>
      <c r="AU4" s="16"/>
      <c r="AV4" s="16"/>
    </row>
    <row r="5" spans="2:48" x14ac:dyDescent="0.25">
      <c r="B5" s="3" t="s">
        <v>15</v>
      </c>
      <c r="C5" s="15">
        <v>170</v>
      </c>
      <c r="D5" s="15"/>
      <c r="E5" s="15"/>
      <c r="F5" s="15"/>
      <c r="G5" s="15">
        <v>135</v>
      </c>
      <c r="H5" s="15">
        <v>148</v>
      </c>
      <c r="I5" s="15">
        <v>178</v>
      </c>
      <c r="J5" s="15">
        <v>196</v>
      </c>
      <c r="K5" s="15">
        <v>198</v>
      </c>
      <c r="L5" s="15">
        <v>192</v>
      </c>
      <c r="M5" s="15">
        <v>182</v>
      </c>
      <c r="N5" s="15">
        <v>181</v>
      </c>
      <c r="O5" s="15">
        <v>440</v>
      </c>
      <c r="P5" s="15">
        <v>193</v>
      </c>
      <c r="Q5" s="15">
        <v>209</v>
      </c>
      <c r="R5" s="15">
        <v>226</v>
      </c>
      <c r="S5" s="15">
        <v>288</v>
      </c>
      <c r="T5" s="15">
        <v>285</v>
      </c>
      <c r="U5" s="15">
        <v>297</v>
      </c>
      <c r="V5" s="15">
        <v>657</v>
      </c>
      <c r="W5" s="15"/>
      <c r="X5" s="31">
        <f>+P5</f>
        <v>193</v>
      </c>
      <c r="Y5" s="31">
        <f>+Q5</f>
        <v>209</v>
      </c>
      <c r="Z5" s="31">
        <f>+R5</f>
        <v>226</v>
      </c>
      <c r="AA5" s="16"/>
      <c r="AB5" s="16"/>
      <c r="AC5" s="16"/>
      <c r="AD5" s="16"/>
      <c r="AE5" s="16"/>
      <c r="AF5" s="16"/>
      <c r="AG5" s="16"/>
      <c r="AH5" s="16"/>
      <c r="AI5" s="27">
        <v>477</v>
      </c>
      <c r="AJ5" s="27">
        <v>595</v>
      </c>
      <c r="AK5" s="27">
        <v>659</v>
      </c>
      <c r="AL5" s="27">
        <f t="shared" si="1"/>
        <v>657</v>
      </c>
      <c r="AM5" s="27">
        <f t="shared" si="2"/>
        <v>753</v>
      </c>
      <c r="AN5" s="27">
        <f t="shared" si="3"/>
        <v>1068</v>
      </c>
      <c r="AO5" s="27">
        <f>+AN5*1.01</f>
        <v>1078.68</v>
      </c>
      <c r="AP5" s="16">
        <f t="shared" ref="AP5:AV5" si="4">+AO5*1.01</f>
        <v>1089.4668000000001</v>
      </c>
      <c r="AQ5" s="16">
        <f t="shared" si="4"/>
        <v>1100.3614680000001</v>
      </c>
      <c r="AR5" s="16">
        <f t="shared" si="4"/>
        <v>1111.3650826800001</v>
      </c>
      <c r="AS5" s="16">
        <f t="shared" si="4"/>
        <v>1122.4787335068002</v>
      </c>
      <c r="AT5" s="16">
        <f t="shared" si="4"/>
        <v>1133.7035208418681</v>
      </c>
      <c r="AU5" s="16">
        <f t="shared" si="4"/>
        <v>1145.0405560502868</v>
      </c>
      <c r="AV5" s="16">
        <f t="shared" si="4"/>
        <v>1156.4909616107898</v>
      </c>
    </row>
    <row r="6" spans="2:48" x14ac:dyDescent="0.25">
      <c r="B6" s="3" t="s">
        <v>28</v>
      </c>
      <c r="C6" s="15">
        <v>1825</v>
      </c>
      <c r="D6" s="15"/>
      <c r="E6" s="15"/>
      <c r="F6" s="15"/>
      <c r="G6" s="15">
        <v>2777</v>
      </c>
      <c r="H6" s="15">
        <v>3007</v>
      </c>
      <c r="I6" s="15">
        <v>3444</v>
      </c>
      <c r="J6" s="15">
        <v>3831</v>
      </c>
      <c r="K6" s="15">
        <v>4047</v>
      </c>
      <c r="L6" s="15">
        <v>4628</v>
      </c>
      <c r="M6" s="15">
        <v>4990</v>
      </c>
      <c r="N6" s="15">
        <v>5541</v>
      </c>
      <c r="O6" s="15">
        <v>5821</v>
      </c>
      <c r="P6" s="15">
        <v>6276</v>
      </c>
      <c r="Q6" s="15">
        <v>6868</v>
      </c>
      <c r="R6" s="15">
        <v>7315</v>
      </c>
      <c r="S6" s="15">
        <v>7454</v>
      </c>
      <c r="T6" s="15">
        <v>8031</v>
      </c>
      <c r="U6" s="15"/>
      <c r="V6" s="15"/>
      <c r="W6" s="15"/>
      <c r="X6" s="31">
        <f>+P6*1.3</f>
        <v>8158.8</v>
      </c>
      <c r="Y6" s="31">
        <f>+Q6*1.3</f>
        <v>8928.4</v>
      </c>
      <c r="Z6" s="31">
        <f>+R6*1.3</f>
        <v>9509.5</v>
      </c>
      <c r="AA6" s="16"/>
      <c r="AB6" s="16"/>
      <c r="AC6" s="16"/>
      <c r="AD6" s="16"/>
      <c r="AE6" s="16"/>
      <c r="AF6" s="16"/>
      <c r="AG6" s="16"/>
      <c r="AH6" s="16"/>
      <c r="AI6" s="27">
        <v>4056</v>
      </c>
      <c r="AJ6" s="27">
        <v>5838</v>
      </c>
      <c r="AK6" s="27">
        <v>8918</v>
      </c>
      <c r="AL6" s="27">
        <f t="shared" si="1"/>
        <v>13059</v>
      </c>
      <c r="AM6" s="27">
        <f t="shared" si="2"/>
        <v>19206</v>
      </c>
      <c r="AN6" s="27">
        <f t="shared" si="3"/>
        <v>26280</v>
      </c>
      <c r="AO6" s="27">
        <f>+AN6*1.4</f>
        <v>36792</v>
      </c>
      <c r="AP6" s="16">
        <f t="shared" ref="AP6" si="5">+AO6*1.4</f>
        <v>51508.799999999996</v>
      </c>
      <c r="AQ6" s="16">
        <f>+AP6*1.3</f>
        <v>66961.440000000002</v>
      </c>
      <c r="AR6" s="16">
        <f>+AQ6*1.3</f>
        <v>87049.872000000003</v>
      </c>
      <c r="AS6" s="16">
        <f>+AR6*1.3</f>
        <v>113164.83360000001</v>
      </c>
      <c r="AT6" s="16">
        <f>+AS6*1.2</f>
        <v>135797.80032000001</v>
      </c>
      <c r="AU6" s="16">
        <f>+AT6*1.2</f>
        <v>162957.360384</v>
      </c>
      <c r="AV6" s="16">
        <f>+AU6*1.2</f>
        <v>195548.83246079998</v>
      </c>
    </row>
    <row r="7" spans="2:48" x14ac:dyDescent="0.25">
      <c r="B7" s="3" t="s">
        <v>70</v>
      </c>
      <c r="C7" s="15">
        <v>3620</v>
      </c>
      <c r="D7" s="15"/>
      <c r="E7" s="15"/>
      <c r="F7" s="15"/>
      <c r="G7" s="15">
        <v>4435</v>
      </c>
      <c r="H7" s="15">
        <v>5124</v>
      </c>
      <c r="I7" s="15">
        <v>5478</v>
      </c>
      <c r="J7" s="15">
        <v>6674</v>
      </c>
      <c r="K7" s="15">
        <v>6494</v>
      </c>
      <c r="L7" s="15">
        <v>6623</v>
      </c>
      <c r="M7" s="15">
        <v>6754</v>
      </c>
      <c r="N7" s="15">
        <v>8161</v>
      </c>
      <c r="O7" s="15">
        <v>6811</v>
      </c>
      <c r="P7" s="15">
        <v>6553</v>
      </c>
      <c r="Q7" s="15">
        <v>6895</v>
      </c>
      <c r="R7" s="15">
        <v>8796</v>
      </c>
      <c r="S7" s="15">
        <v>7413</v>
      </c>
      <c r="T7" s="15">
        <v>8142</v>
      </c>
      <c r="U7" s="15"/>
      <c r="V7" s="15"/>
      <c r="W7" s="15"/>
      <c r="X7" s="31">
        <f>+P7*1.05</f>
        <v>6880.6500000000005</v>
      </c>
      <c r="Y7" s="31">
        <f>+Q7*1.05</f>
        <v>7239.75</v>
      </c>
      <c r="Z7" s="31">
        <f>+R7*1.05</f>
        <v>9235.8000000000011</v>
      </c>
      <c r="AA7" s="16"/>
      <c r="AB7" s="16"/>
      <c r="AC7" s="16"/>
      <c r="AD7" s="16"/>
      <c r="AE7" s="16"/>
      <c r="AF7" s="16"/>
      <c r="AG7" s="16"/>
      <c r="AH7" s="16"/>
      <c r="AI7" s="27">
        <v>10914</v>
      </c>
      <c r="AJ7" s="27">
        <v>14063</v>
      </c>
      <c r="AK7" s="27">
        <v>17014</v>
      </c>
      <c r="AL7" s="27">
        <f t="shared" si="1"/>
        <v>21711</v>
      </c>
      <c r="AM7" s="27">
        <f t="shared" si="2"/>
        <v>28032</v>
      </c>
      <c r="AN7" s="27">
        <f t="shared" si="3"/>
        <v>29055</v>
      </c>
      <c r="AO7" s="27">
        <f>+AN7*1.03</f>
        <v>29926.65</v>
      </c>
      <c r="AP7" s="16">
        <f t="shared" ref="AP7:AV8" si="6">+AO7*1.03</f>
        <v>30824.449500000002</v>
      </c>
      <c r="AQ7" s="16">
        <f t="shared" si="6"/>
        <v>31749.182985000003</v>
      </c>
      <c r="AR7" s="16">
        <f t="shared" si="6"/>
        <v>32701.658474550004</v>
      </c>
      <c r="AS7" s="16">
        <f t="shared" si="6"/>
        <v>33682.708228786505</v>
      </c>
      <c r="AT7" s="16">
        <f t="shared" si="6"/>
        <v>34693.189475650099</v>
      </c>
      <c r="AU7" s="16">
        <f t="shared" si="6"/>
        <v>35733.985159919604</v>
      </c>
      <c r="AV7" s="16">
        <f t="shared" si="6"/>
        <v>36806.004714717194</v>
      </c>
    </row>
    <row r="8" spans="2:48" x14ac:dyDescent="0.25">
      <c r="B8" s="3" t="s">
        <v>71</v>
      </c>
      <c r="C8" s="15">
        <v>5015</v>
      </c>
      <c r="D8" s="15"/>
      <c r="E8" s="15"/>
      <c r="F8" s="15"/>
      <c r="G8" s="15">
        <v>5223</v>
      </c>
      <c r="H8" s="15">
        <v>4736</v>
      </c>
      <c r="I8" s="15">
        <v>5720</v>
      </c>
      <c r="J8" s="15">
        <v>7411</v>
      </c>
      <c r="K8" s="15">
        <v>6800</v>
      </c>
      <c r="L8" s="15">
        <v>7597</v>
      </c>
      <c r="M8" s="15">
        <v>7999</v>
      </c>
      <c r="N8" s="15">
        <v>9305</v>
      </c>
      <c r="O8" s="15">
        <v>8174</v>
      </c>
      <c r="P8" s="15">
        <v>8259</v>
      </c>
      <c r="Q8" s="15">
        <v>7872</v>
      </c>
      <c r="R8" s="15">
        <v>8475</v>
      </c>
      <c r="S8" s="15">
        <v>7496</v>
      </c>
      <c r="T8" s="15">
        <v>7850</v>
      </c>
      <c r="U8" s="15"/>
      <c r="V8" s="15"/>
      <c r="W8" s="15"/>
      <c r="X8" s="31">
        <f>+P8*0.99</f>
        <v>8176.41</v>
      </c>
      <c r="Y8" s="31">
        <f t="shared" ref="Y8:Z10" si="7">+Q8*1.03</f>
        <v>8108.16</v>
      </c>
      <c r="Z8" s="31">
        <f t="shared" si="7"/>
        <v>8729.25</v>
      </c>
      <c r="AA8" s="16"/>
      <c r="AB8" s="16"/>
      <c r="AC8" s="16"/>
      <c r="AD8" s="16"/>
      <c r="AE8" s="16"/>
      <c r="AF8" s="16"/>
      <c r="AG8" s="16"/>
      <c r="AH8" s="16"/>
      <c r="AI8" s="27">
        <v>17616</v>
      </c>
      <c r="AJ8" s="27">
        <v>20010</v>
      </c>
      <c r="AK8" s="27">
        <v>21547</v>
      </c>
      <c r="AL8" s="27">
        <f t="shared" si="1"/>
        <v>23090</v>
      </c>
      <c r="AM8" s="27">
        <f t="shared" si="2"/>
        <v>31701</v>
      </c>
      <c r="AN8" s="27">
        <f t="shared" si="3"/>
        <v>32780</v>
      </c>
      <c r="AO8" s="27">
        <f>+AN8*1.03</f>
        <v>33763.4</v>
      </c>
      <c r="AP8" s="16">
        <f t="shared" si="6"/>
        <v>34776.302000000003</v>
      </c>
      <c r="AQ8" s="16">
        <f t="shared" si="6"/>
        <v>35819.591060000006</v>
      </c>
      <c r="AR8" s="16">
        <f t="shared" si="6"/>
        <v>36894.178791800005</v>
      </c>
      <c r="AS8" s="16">
        <f t="shared" si="6"/>
        <v>38001.004155554008</v>
      </c>
      <c r="AT8" s="16">
        <f t="shared" si="6"/>
        <v>39141.034280220629</v>
      </c>
      <c r="AU8" s="16">
        <f t="shared" si="6"/>
        <v>40315.265308627248</v>
      </c>
      <c r="AV8" s="16">
        <f t="shared" si="6"/>
        <v>41524.723267886067</v>
      </c>
    </row>
    <row r="9" spans="2:48" x14ac:dyDescent="0.25">
      <c r="B9" s="3" t="s">
        <v>72</v>
      </c>
      <c r="C9" s="15">
        <v>3025</v>
      </c>
      <c r="D9" s="15"/>
      <c r="E9" s="15"/>
      <c r="F9" s="15"/>
      <c r="G9" s="15">
        <v>4038</v>
      </c>
      <c r="H9" s="15">
        <v>3812</v>
      </c>
      <c r="I9" s="15">
        <v>5037</v>
      </c>
      <c r="J9" s="15">
        <v>6885</v>
      </c>
      <c r="K9" s="15">
        <v>6005</v>
      </c>
      <c r="L9" s="15">
        <v>7002</v>
      </c>
      <c r="M9" s="15">
        <v>7205</v>
      </c>
      <c r="N9" s="15">
        <v>8633</v>
      </c>
      <c r="O9" s="15">
        <v>6869</v>
      </c>
      <c r="P9" s="15">
        <v>7340</v>
      </c>
      <c r="Q9" s="15">
        <v>7071</v>
      </c>
      <c r="R9" s="15">
        <v>7963</v>
      </c>
      <c r="S9" s="15">
        <v>6693</v>
      </c>
      <c r="T9" s="15">
        <v>7655</v>
      </c>
      <c r="U9" s="15"/>
      <c r="V9" s="15"/>
      <c r="W9" s="15"/>
      <c r="X9" s="31">
        <f>+P9*0.99</f>
        <v>7266.6</v>
      </c>
      <c r="Y9" s="31">
        <f t="shared" si="7"/>
        <v>7283.13</v>
      </c>
      <c r="Z9" s="31">
        <f t="shared" si="7"/>
        <v>8201.89</v>
      </c>
      <c r="AA9" s="16"/>
      <c r="AB9" s="16"/>
      <c r="AC9" s="16"/>
      <c r="AD9" s="16"/>
      <c r="AE9" s="16"/>
      <c r="AF9" s="16"/>
      <c r="AG9" s="16"/>
      <c r="AH9" s="16"/>
      <c r="AI9" s="27">
        <v>8150</v>
      </c>
      <c r="AJ9" s="27">
        <v>11155</v>
      </c>
      <c r="AK9" s="27">
        <v>15149</v>
      </c>
      <c r="AL9" s="27">
        <f t="shared" si="1"/>
        <v>19772</v>
      </c>
      <c r="AM9" s="27">
        <f t="shared" si="2"/>
        <v>28845</v>
      </c>
      <c r="AN9" s="27">
        <f t="shared" si="3"/>
        <v>29243</v>
      </c>
      <c r="AO9" s="27">
        <f>+AN9*1.05</f>
        <v>30705.15</v>
      </c>
      <c r="AP9" s="16">
        <f t="shared" ref="AP9:AV9" si="8">+AO9*1.05</f>
        <v>32240.407500000001</v>
      </c>
      <c r="AQ9" s="16">
        <f t="shared" si="8"/>
        <v>33852.427875000001</v>
      </c>
      <c r="AR9" s="16">
        <f t="shared" si="8"/>
        <v>35545.049268750001</v>
      </c>
      <c r="AS9" s="16">
        <f t="shared" si="8"/>
        <v>37322.301732187501</v>
      </c>
      <c r="AT9" s="16">
        <f t="shared" si="8"/>
        <v>39188.416818796875</v>
      </c>
      <c r="AU9" s="16">
        <f t="shared" si="8"/>
        <v>41147.837659736724</v>
      </c>
      <c r="AV9" s="16">
        <f t="shared" si="8"/>
        <v>43205.229542723566</v>
      </c>
    </row>
    <row r="10" spans="2:48" x14ac:dyDescent="0.25">
      <c r="B10" s="3" t="s">
        <v>73</v>
      </c>
      <c r="C10" s="15">
        <v>22547</v>
      </c>
      <c r="D10" s="15"/>
      <c r="E10" s="15"/>
      <c r="F10" s="15"/>
      <c r="G10" s="15">
        <v>24502</v>
      </c>
      <c r="H10" s="15">
        <v>21319</v>
      </c>
      <c r="I10" s="15">
        <v>26338</v>
      </c>
      <c r="J10" s="15">
        <v>31903</v>
      </c>
      <c r="K10" s="15">
        <v>31879</v>
      </c>
      <c r="L10" s="15">
        <v>35845</v>
      </c>
      <c r="M10" s="15">
        <v>37926</v>
      </c>
      <c r="N10" s="15">
        <v>43301</v>
      </c>
      <c r="O10" s="15">
        <v>39618</v>
      </c>
      <c r="P10" s="15">
        <v>40689</v>
      </c>
      <c r="Q10" s="15">
        <v>39539</v>
      </c>
      <c r="R10" s="15">
        <v>42604</v>
      </c>
      <c r="S10" s="15">
        <v>40359</v>
      </c>
      <c r="T10" s="15">
        <v>42628</v>
      </c>
      <c r="U10" s="15"/>
      <c r="V10" s="15"/>
      <c r="W10" s="15"/>
      <c r="X10" s="31">
        <f>+P10*1.03</f>
        <v>41909.67</v>
      </c>
      <c r="Y10" s="31">
        <f t="shared" si="7"/>
        <v>40725.17</v>
      </c>
      <c r="Z10" s="31">
        <f t="shared" si="7"/>
        <v>43882.12</v>
      </c>
      <c r="AA10" s="16"/>
      <c r="AB10" s="16"/>
      <c r="AC10" s="16"/>
      <c r="AD10" s="16"/>
      <c r="AE10" s="16"/>
      <c r="AF10" s="16"/>
      <c r="AG10" s="16"/>
      <c r="AH10" s="16"/>
      <c r="AI10" s="27">
        <v>69811</v>
      </c>
      <c r="AJ10" s="27">
        <v>85296</v>
      </c>
      <c r="AK10" s="27">
        <v>98115</v>
      </c>
      <c r="AL10" s="27">
        <f t="shared" si="1"/>
        <v>104062</v>
      </c>
      <c r="AM10" s="27">
        <f t="shared" si="2"/>
        <v>148951</v>
      </c>
      <c r="AN10" s="27">
        <f t="shared" si="3"/>
        <v>162450</v>
      </c>
      <c r="AO10" s="27">
        <f>+AN10*1.1</f>
        <v>178695</v>
      </c>
      <c r="AP10" s="16">
        <f t="shared" ref="AP10:AV10" si="9">+AO10*1.1</f>
        <v>196564.50000000003</v>
      </c>
      <c r="AQ10" s="16">
        <f t="shared" si="9"/>
        <v>216220.95000000004</v>
      </c>
      <c r="AR10" s="16">
        <f t="shared" si="9"/>
        <v>237843.04500000007</v>
      </c>
      <c r="AS10" s="16">
        <f t="shared" si="9"/>
        <v>261627.3495000001</v>
      </c>
      <c r="AT10" s="16">
        <f t="shared" si="9"/>
        <v>287790.08445000014</v>
      </c>
      <c r="AU10" s="16">
        <f t="shared" si="9"/>
        <v>316569.09289500018</v>
      </c>
      <c r="AV10" s="16">
        <f t="shared" si="9"/>
        <v>348226.00218450022</v>
      </c>
    </row>
    <row r="11" spans="2:48" x14ac:dyDescent="0.25">
      <c r="B11" s="3" t="s">
        <v>74</v>
      </c>
      <c r="C11" s="15">
        <f t="shared" ref="C11:G11" si="10">SUM(C7:C10)</f>
        <v>34207</v>
      </c>
      <c r="D11" s="15">
        <f t="shared" si="10"/>
        <v>0</v>
      </c>
      <c r="E11" s="15">
        <f t="shared" si="10"/>
        <v>0</v>
      </c>
      <c r="F11" s="15">
        <f t="shared" si="10"/>
        <v>0</v>
      </c>
      <c r="G11" s="15">
        <f t="shared" si="10"/>
        <v>38198</v>
      </c>
      <c r="H11" s="15">
        <f t="shared" ref="H11" si="11">SUM(H7:H10)</f>
        <v>34991</v>
      </c>
      <c r="I11" s="15">
        <f>SUM(I7:I10)</f>
        <v>42573</v>
      </c>
      <c r="J11" s="15">
        <f>SUM(J7:J10)</f>
        <v>52873</v>
      </c>
      <c r="K11" s="15">
        <v>51178</v>
      </c>
      <c r="L11" s="15">
        <f t="shared" ref="L11:Q11" si="12">SUM(L7:L10)</f>
        <v>57067</v>
      </c>
      <c r="M11" s="15">
        <f t="shared" si="12"/>
        <v>59884</v>
      </c>
      <c r="N11" s="15">
        <f t="shared" si="12"/>
        <v>69400</v>
      </c>
      <c r="O11" s="15">
        <f t="shared" si="12"/>
        <v>61472</v>
      </c>
      <c r="P11" s="15">
        <f t="shared" si="12"/>
        <v>62841</v>
      </c>
      <c r="Q11" s="15">
        <f t="shared" si="12"/>
        <v>61377</v>
      </c>
      <c r="R11" s="15">
        <f>SUM(R7:R10)</f>
        <v>67838</v>
      </c>
      <c r="S11" s="15">
        <f>SUM(S7:S10)</f>
        <v>61961</v>
      </c>
      <c r="T11" s="15">
        <v>66285</v>
      </c>
      <c r="U11" s="15"/>
      <c r="V11" s="15"/>
      <c r="W11" s="15"/>
      <c r="X11" s="31">
        <f>SUM(X7:X10)</f>
        <v>64233.33</v>
      </c>
      <c r="Y11" s="31">
        <f>SUM(Y7:Y10)</f>
        <v>63356.21</v>
      </c>
      <c r="Z11" s="31">
        <f>SUM(Z7:Z10)</f>
        <v>70049.06</v>
      </c>
      <c r="AA11" s="16"/>
      <c r="AB11" s="16"/>
      <c r="AC11" s="16"/>
      <c r="AD11" s="16"/>
      <c r="AE11" s="16"/>
      <c r="AF11" s="16"/>
      <c r="AG11" s="16"/>
      <c r="AH11" s="16"/>
      <c r="AI11" s="28">
        <f t="shared" ref="AI11:AL11" si="13">SUM(AI7:AI10)</f>
        <v>106491</v>
      </c>
      <c r="AJ11" s="28">
        <f t="shared" si="13"/>
        <v>130524</v>
      </c>
      <c r="AK11" s="28">
        <f t="shared" si="13"/>
        <v>151825</v>
      </c>
      <c r="AL11" s="28">
        <f t="shared" si="13"/>
        <v>168635</v>
      </c>
      <c r="AM11" s="28">
        <f>SUM(AM7:AM10)</f>
        <v>237529</v>
      </c>
      <c r="AN11" s="28">
        <f>SUM(AN7:AN10)</f>
        <v>253528</v>
      </c>
      <c r="AO11" s="28">
        <f>SUM(AO7:AO10)</f>
        <v>273090.2</v>
      </c>
      <c r="AP11" s="15">
        <f t="shared" ref="AP11:AV11" si="14">SUM(AP7:AP10)</f>
        <v>294405.65900000004</v>
      </c>
      <c r="AQ11" s="15">
        <f t="shared" si="14"/>
        <v>317642.15192000009</v>
      </c>
      <c r="AR11" s="15">
        <f t="shared" si="14"/>
        <v>342983.9315351001</v>
      </c>
      <c r="AS11" s="15">
        <f t="shared" si="14"/>
        <v>370633.36361652811</v>
      </c>
      <c r="AT11" s="15">
        <f t="shared" si="14"/>
        <v>400812.72502466774</v>
      </c>
      <c r="AU11" s="15">
        <f t="shared" si="14"/>
        <v>433766.18102328375</v>
      </c>
      <c r="AV11" s="15">
        <f t="shared" si="14"/>
        <v>469761.95970982703</v>
      </c>
    </row>
    <row r="12" spans="2:48" x14ac:dyDescent="0.25">
      <c r="B12" s="12" t="s">
        <v>75</v>
      </c>
      <c r="C12" s="17">
        <f t="shared" ref="C12:H12" si="15">C11+C6+C5+C4</f>
        <v>36339</v>
      </c>
      <c r="D12" s="17">
        <f t="shared" si="15"/>
        <v>0</v>
      </c>
      <c r="E12" s="17">
        <f t="shared" si="15"/>
        <v>0</v>
      </c>
      <c r="F12" s="17">
        <f t="shared" si="15"/>
        <v>0</v>
      </c>
      <c r="G12" s="17">
        <f t="shared" si="15"/>
        <v>41159</v>
      </c>
      <c r="H12" s="17">
        <f t="shared" si="15"/>
        <v>38297</v>
      </c>
      <c r="I12" s="17">
        <f>I11+I6+I5+I4</f>
        <v>46173</v>
      </c>
      <c r="J12" s="17">
        <f>J11+J6+J5+J4</f>
        <v>56898</v>
      </c>
      <c r="K12" s="17">
        <v>55314</v>
      </c>
      <c r="L12" s="17">
        <f t="shared" ref="L12" si="16">L11+L6+L5+L4</f>
        <v>61880</v>
      </c>
      <c r="M12" s="17">
        <f>M11+M6+M5+M4</f>
        <v>65118</v>
      </c>
      <c r="N12" s="17">
        <f>N11+N6+N5+N4</f>
        <v>75325</v>
      </c>
      <c r="O12" s="17">
        <f>O11+O6+O5+O4</f>
        <v>68011</v>
      </c>
      <c r="P12" s="17">
        <f>P11+P6+P5+P4</f>
        <v>69685</v>
      </c>
      <c r="Q12" s="17">
        <f t="shared" ref="Q12:Z12" si="17">Q11+Q6+Q5+Q4</f>
        <v>69092</v>
      </c>
      <c r="R12" s="17">
        <f>R11+R6+R5+R4</f>
        <v>76048</v>
      </c>
      <c r="S12" s="17">
        <f t="shared" si="17"/>
        <v>69787</v>
      </c>
      <c r="T12" s="17">
        <f t="shared" si="17"/>
        <v>74604</v>
      </c>
      <c r="U12" s="17"/>
      <c r="V12" s="17"/>
      <c r="W12" s="17"/>
      <c r="X12" s="32">
        <f t="shared" si="17"/>
        <v>72585.13</v>
      </c>
      <c r="Y12" s="32">
        <f t="shared" si="17"/>
        <v>72493.61</v>
      </c>
      <c r="Z12" s="32">
        <f t="shared" si="17"/>
        <v>79784.56</v>
      </c>
      <c r="AA12" s="17"/>
      <c r="AB12" s="17"/>
      <c r="AC12" s="17"/>
      <c r="AD12" s="17">
        <v>46039</v>
      </c>
      <c r="AE12" s="17">
        <v>55519</v>
      </c>
      <c r="AF12" s="17">
        <v>66001</v>
      </c>
      <c r="AG12" s="17">
        <v>74989</v>
      </c>
      <c r="AH12" s="17">
        <v>90272</v>
      </c>
      <c r="AI12" s="17">
        <f t="shared" ref="AI12:AL12" si="18">AI11+AI6+AI5+AI4</f>
        <v>110855</v>
      </c>
      <c r="AJ12" s="17">
        <f t="shared" si="18"/>
        <v>136819</v>
      </c>
      <c r="AK12" s="17">
        <f t="shared" si="18"/>
        <v>161857</v>
      </c>
      <c r="AL12" s="17">
        <f t="shared" si="18"/>
        <v>182527</v>
      </c>
      <c r="AM12" s="17">
        <f>AM11+AM6+AM5+AM4</f>
        <v>257637</v>
      </c>
      <c r="AN12" s="17">
        <f>AN11+AN6+AN5+AN4</f>
        <v>282836</v>
      </c>
      <c r="AO12" s="17">
        <f t="shared" ref="AO12:AV12" si="19">AO11+AO6+AO5+AO4</f>
        <v>310960.88</v>
      </c>
      <c r="AP12" s="17">
        <f t="shared" si="19"/>
        <v>347003.92580000003</v>
      </c>
      <c r="AQ12" s="17">
        <f t="shared" si="19"/>
        <v>385703.95338800008</v>
      </c>
      <c r="AR12" s="17">
        <f t="shared" si="19"/>
        <v>431145.16861778009</v>
      </c>
      <c r="AS12" s="17">
        <f t="shared" si="19"/>
        <v>484920.67595003493</v>
      </c>
      <c r="AT12" s="17">
        <f t="shared" si="19"/>
        <v>537744.22886550962</v>
      </c>
      <c r="AU12" s="17">
        <f t="shared" si="19"/>
        <v>597868.581963334</v>
      </c>
      <c r="AV12" s="17">
        <f t="shared" si="19"/>
        <v>666467.28313223785</v>
      </c>
    </row>
    <row r="13" spans="2:48" x14ac:dyDescent="0.25">
      <c r="B13" s="3" t="s">
        <v>76</v>
      </c>
      <c r="C13" s="15">
        <v>16012</v>
      </c>
      <c r="D13" s="15"/>
      <c r="E13" s="15"/>
      <c r="F13" s="15"/>
      <c r="G13" s="15">
        <v>18982</v>
      </c>
      <c r="H13" s="15">
        <v>18553</v>
      </c>
      <c r="I13" s="15">
        <v>21117</v>
      </c>
      <c r="J13" s="15">
        <v>26080</v>
      </c>
      <c r="K13" s="15">
        <v>24103</v>
      </c>
      <c r="L13" s="15">
        <v>26227</v>
      </c>
      <c r="M13" s="15">
        <v>27621</v>
      </c>
      <c r="N13" s="15">
        <v>32988</v>
      </c>
      <c r="O13" s="15">
        <v>29599</v>
      </c>
      <c r="P13" s="15">
        <v>30104</v>
      </c>
      <c r="Q13" s="15">
        <v>31158</v>
      </c>
      <c r="R13" s="15">
        <v>35342</v>
      </c>
      <c r="S13" s="15">
        <v>30612</v>
      </c>
      <c r="T13" s="15">
        <v>31916</v>
      </c>
      <c r="U13" s="15"/>
      <c r="V13" s="15"/>
      <c r="W13" s="15"/>
      <c r="X13" s="31">
        <f t="shared" ref="X13:Z13" si="20">X12*0.45</f>
        <v>32663.308500000003</v>
      </c>
      <c r="Y13" s="31">
        <f t="shared" si="20"/>
        <v>32622.124500000002</v>
      </c>
      <c r="Z13" s="31">
        <f t="shared" si="20"/>
        <v>35903.052000000003</v>
      </c>
      <c r="AA13" s="16"/>
      <c r="AB13" s="16"/>
      <c r="AC13" s="16"/>
      <c r="AD13" s="16"/>
      <c r="AE13" s="16"/>
      <c r="AF13" s="16">
        <v>25691</v>
      </c>
      <c r="AG13" s="16">
        <v>28164</v>
      </c>
      <c r="AH13" s="16">
        <v>35138</v>
      </c>
      <c r="AI13" s="16">
        <v>45583</v>
      </c>
      <c r="AJ13" s="16">
        <v>59549</v>
      </c>
      <c r="AK13" s="16">
        <v>71896</v>
      </c>
      <c r="AL13" s="16">
        <v>84732</v>
      </c>
      <c r="AM13" s="16">
        <v>110939</v>
      </c>
      <c r="AN13" s="16">
        <f>SUM(O13:R13)</f>
        <v>126203</v>
      </c>
      <c r="AO13" s="16">
        <f>+AO12-AO15</f>
        <v>136822.78719999999</v>
      </c>
      <c r="AP13" s="16">
        <f t="shared" ref="AP13:AV13" si="21">+AP12-AP15</f>
        <v>152681.72735199999</v>
      </c>
      <c r="AQ13" s="16">
        <f t="shared" si="21"/>
        <v>169709.73949072001</v>
      </c>
      <c r="AR13" s="16">
        <f t="shared" si="21"/>
        <v>189703.87419182321</v>
      </c>
      <c r="AS13" s="16">
        <f t="shared" si="21"/>
        <v>213365.09741801536</v>
      </c>
      <c r="AT13" s="16">
        <f t="shared" si="21"/>
        <v>236607.46070082422</v>
      </c>
      <c r="AU13" s="16">
        <f t="shared" si="21"/>
        <v>263062.17606386694</v>
      </c>
      <c r="AV13" s="16">
        <f t="shared" si="21"/>
        <v>293245.6045781846</v>
      </c>
    </row>
    <row r="14" spans="2:48" x14ac:dyDescent="0.25">
      <c r="B14" s="3" t="s">
        <v>77</v>
      </c>
      <c r="C14" s="15">
        <v>6860</v>
      </c>
      <c r="D14" s="15"/>
      <c r="E14" s="15"/>
      <c r="F14" s="15"/>
      <c r="G14" s="15">
        <v>7452</v>
      </c>
      <c r="H14" s="15"/>
      <c r="I14" s="15"/>
      <c r="J14" s="15"/>
      <c r="K14" s="15"/>
      <c r="L14" s="15">
        <v>10929</v>
      </c>
      <c r="M14" s="15"/>
      <c r="N14" s="15">
        <v>13427</v>
      </c>
      <c r="O14" s="15"/>
      <c r="P14" s="15">
        <v>12214</v>
      </c>
      <c r="Q14" s="15">
        <v>11826</v>
      </c>
      <c r="R14" s="15">
        <v>12925</v>
      </c>
      <c r="S14" s="15"/>
      <c r="T14" s="15">
        <v>12537</v>
      </c>
      <c r="U14" s="15"/>
      <c r="V14" s="15"/>
      <c r="W14" s="15"/>
      <c r="X14" s="31"/>
      <c r="Y14" s="31"/>
      <c r="Z14" s="31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</row>
    <row r="15" spans="2:48" x14ac:dyDescent="0.25">
      <c r="B15" s="3" t="s">
        <v>78</v>
      </c>
      <c r="C15" s="15">
        <f>C12-C13</f>
        <v>20327</v>
      </c>
      <c r="D15" s="15"/>
      <c r="E15" s="15"/>
      <c r="F15" s="15"/>
      <c r="G15" s="15">
        <f>G12-G13</f>
        <v>22177</v>
      </c>
      <c r="H15" s="15">
        <f t="shared" ref="H15:N15" si="22">H12-H13</f>
        <v>19744</v>
      </c>
      <c r="I15" s="15">
        <f t="shared" si="22"/>
        <v>25056</v>
      </c>
      <c r="J15" s="15">
        <f t="shared" si="22"/>
        <v>30818</v>
      </c>
      <c r="K15" s="15">
        <f t="shared" si="22"/>
        <v>31211</v>
      </c>
      <c r="L15" s="15">
        <f t="shared" si="22"/>
        <v>35653</v>
      </c>
      <c r="M15" s="15">
        <f t="shared" si="22"/>
        <v>37497</v>
      </c>
      <c r="N15" s="15">
        <f t="shared" si="22"/>
        <v>42337</v>
      </c>
      <c r="O15" s="15">
        <f>O12-O13</f>
        <v>38412</v>
      </c>
      <c r="P15" s="15">
        <f t="shared" ref="P15:Q15" si="23">P12-P13</f>
        <v>39581</v>
      </c>
      <c r="Q15" s="15">
        <f t="shared" si="23"/>
        <v>37934</v>
      </c>
      <c r="R15" s="15">
        <f>+R12-R13</f>
        <v>40706</v>
      </c>
      <c r="S15" s="15">
        <f>S12-S13</f>
        <v>39175</v>
      </c>
      <c r="T15" s="15"/>
      <c r="U15" s="15"/>
      <c r="V15" s="15"/>
      <c r="W15" s="15"/>
      <c r="X15" s="31">
        <f t="shared" ref="X15:Z15" si="24">X12-X13</f>
        <v>39921.821500000005</v>
      </c>
      <c r="Y15" s="31">
        <f t="shared" si="24"/>
        <v>39871.485499999995</v>
      </c>
      <c r="Z15" s="31">
        <f t="shared" si="24"/>
        <v>43881.507999999994</v>
      </c>
      <c r="AA15" s="16"/>
      <c r="AB15" s="16"/>
      <c r="AC15" s="16"/>
      <c r="AD15" s="16"/>
      <c r="AE15" s="16"/>
      <c r="AF15" s="16">
        <f t="shared" ref="AF15:AK15" si="25">+AF12-AF13</f>
        <v>40310</v>
      </c>
      <c r="AG15" s="16">
        <f t="shared" si="25"/>
        <v>46825</v>
      </c>
      <c r="AH15" s="16">
        <f t="shared" si="25"/>
        <v>55134</v>
      </c>
      <c r="AI15" s="16">
        <f t="shared" si="25"/>
        <v>65272</v>
      </c>
      <c r="AJ15" s="16">
        <f t="shared" si="25"/>
        <v>77270</v>
      </c>
      <c r="AK15" s="16">
        <f t="shared" si="25"/>
        <v>89961</v>
      </c>
      <c r="AL15" s="16">
        <f>AL12-AL13</f>
        <v>97795</v>
      </c>
      <c r="AM15" s="16">
        <f t="shared" ref="AM15" si="26">AM12-AM13</f>
        <v>146698</v>
      </c>
      <c r="AN15" s="16">
        <f>+AN12-AN13</f>
        <v>156633</v>
      </c>
      <c r="AO15" s="16">
        <f>+AO12*0.56</f>
        <v>174138.09280000001</v>
      </c>
      <c r="AP15" s="16">
        <f t="shared" ref="AP15:AV15" si="27">+AP12*0.56</f>
        <v>194322.19844800004</v>
      </c>
      <c r="AQ15" s="16">
        <f t="shared" si="27"/>
        <v>215994.21389728007</v>
      </c>
      <c r="AR15" s="16">
        <f t="shared" si="27"/>
        <v>241441.29442595688</v>
      </c>
      <c r="AS15" s="16">
        <f t="shared" si="27"/>
        <v>271555.57853201957</v>
      </c>
      <c r="AT15" s="16">
        <f t="shared" si="27"/>
        <v>301136.7681646854</v>
      </c>
      <c r="AU15" s="16">
        <f t="shared" si="27"/>
        <v>334806.40589946706</v>
      </c>
      <c r="AV15" s="16">
        <f t="shared" si="27"/>
        <v>373221.67855405324</v>
      </c>
    </row>
    <row r="16" spans="2:48" x14ac:dyDescent="0.25">
      <c r="B16" s="3" t="s">
        <v>79</v>
      </c>
      <c r="C16" s="15">
        <v>6029</v>
      </c>
      <c r="D16" s="15"/>
      <c r="E16" s="15"/>
      <c r="F16" s="15"/>
      <c r="G16" s="15">
        <v>6820</v>
      </c>
      <c r="H16" s="15">
        <v>6875</v>
      </c>
      <c r="I16" s="15">
        <v>6856</v>
      </c>
      <c r="J16" s="15">
        <v>7022</v>
      </c>
      <c r="K16" s="15">
        <v>7485</v>
      </c>
      <c r="L16" s="15">
        <v>7675</v>
      </c>
      <c r="M16" s="15">
        <v>7694</v>
      </c>
      <c r="N16" s="15">
        <v>8708</v>
      </c>
      <c r="O16" s="15">
        <v>9119</v>
      </c>
      <c r="P16" s="15">
        <v>9841</v>
      </c>
      <c r="Q16" s="15">
        <v>10273</v>
      </c>
      <c r="R16" s="15">
        <v>10267</v>
      </c>
      <c r="S16" s="15">
        <v>11468</v>
      </c>
      <c r="T16" s="15"/>
      <c r="U16" s="15"/>
      <c r="V16" s="15"/>
      <c r="W16" s="15"/>
      <c r="X16" s="31">
        <f>P16*1.03</f>
        <v>10136.23</v>
      </c>
      <c r="Y16" s="31">
        <f>Q16*1.03</f>
        <v>10581.19</v>
      </c>
      <c r="Z16" s="31">
        <f>R16*1.03</f>
        <v>10575.01</v>
      </c>
      <c r="AA16" s="16"/>
      <c r="AB16" s="16"/>
      <c r="AC16" s="16"/>
      <c r="AD16" s="16"/>
      <c r="AE16" s="16"/>
      <c r="AF16" s="28">
        <v>9832</v>
      </c>
      <c r="AG16" s="28">
        <v>12282</v>
      </c>
      <c r="AH16" s="28">
        <v>13948</v>
      </c>
      <c r="AI16" s="28">
        <v>16625</v>
      </c>
      <c r="AJ16" s="28">
        <v>21419</v>
      </c>
      <c r="AK16" s="28">
        <v>26018</v>
      </c>
      <c r="AL16" s="28">
        <v>27573</v>
      </c>
      <c r="AM16" s="28">
        <v>31562</v>
      </c>
      <c r="AN16" s="28">
        <f>SUM(O16:R16)</f>
        <v>39500</v>
      </c>
      <c r="AO16" s="28">
        <f>+AN16*1.05</f>
        <v>41475</v>
      </c>
      <c r="AP16" s="16">
        <f t="shared" ref="AP16:AV19" si="28">+AO16*1.05</f>
        <v>43548.75</v>
      </c>
      <c r="AQ16" s="16">
        <f t="shared" si="28"/>
        <v>45726.1875</v>
      </c>
      <c r="AR16" s="16">
        <f t="shared" si="28"/>
        <v>48012.496875000004</v>
      </c>
      <c r="AS16" s="16">
        <f t="shared" si="28"/>
        <v>50413.121718750008</v>
      </c>
      <c r="AT16" s="16">
        <f t="shared" si="28"/>
        <v>52933.77780468751</v>
      </c>
      <c r="AU16" s="16">
        <f t="shared" si="28"/>
        <v>55580.466694921888</v>
      </c>
      <c r="AV16" s="16">
        <f t="shared" si="28"/>
        <v>58359.490029667984</v>
      </c>
    </row>
    <row r="17" spans="2:48" x14ac:dyDescent="0.25">
      <c r="B17" s="3" t="s">
        <v>160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31"/>
      <c r="Y17" s="31"/>
      <c r="Z17" s="31"/>
      <c r="AA17" s="16"/>
      <c r="AB17" s="16"/>
      <c r="AC17" s="16"/>
      <c r="AD17" s="16"/>
      <c r="AE17" s="16"/>
      <c r="AF17" s="16"/>
      <c r="AG17" s="29">
        <f>AG16/AF16-1</f>
        <v>0.24918633034987803</v>
      </c>
      <c r="AH17" s="29">
        <f t="shared" ref="AH17:AO17" si="29">AH16/AG16-1</f>
        <v>0.13564566031590952</v>
      </c>
      <c r="AI17" s="29">
        <f t="shared" si="29"/>
        <v>0.19192715801548599</v>
      </c>
      <c r="AJ17" s="29">
        <f t="shared" si="29"/>
        <v>0.28836090225563904</v>
      </c>
      <c r="AK17" s="29">
        <f t="shared" si="29"/>
        <v>0.21471590643820915</v>
      </c>
      <c r="AL17" s="29">
        <f t="shared" si="29"/>
        <v>5.9766315627642452E-2</v>
      </c>
      <c r="AM17" s="29">
        <f t="shared" si="29"/>
        <v>0.14467051100714468</v>
      </c>
      <c r="AN17" s="29">
        <f t="shared" si="29"/>
        <v>0.25150497433622721</v>
      </c>
      <c r="AO17" s="29">
        <f t="shared" si="29"/>
        <v>5.0000000000000044E-2</v>
      </c>
      <c r="AP17" s="16"/>
      <c r="AQ17" s="16"/>
      <c r="AR17" s="16"/>
      <c r="AS17" s="16"/>
      <c r="AT17" s="16"/>
      <c r="AU17" s="16"/>
      <c r="AV17" s="16"/>
    </row>
    <row r="18" spans="2:48" x14ac:dyDescent="0.25">
      <c r="B18" s="3" t="s">
        <v>80</v>
      </c>
      <c r="C18" s="15">
        <v>3905</v>
      </c>
      <c r="D18" s="15"/>
      <c r="E18" s="15"/>
      <c r="F18" s="15"/>
      <c r="G18" s="15">
        <v>4500</v>
      </c>
      <c r="H18" s="15">
        <v>3901</v>
      </c>
      <c r="I18" s="15">
        <v>4231</v>
      </c>
      <c r="J18" s="15">
        <v>5314</v>
      </c>
      <c r="K18" s="15">
        <v>4516</v>
      </c>
      <c r="L18" s="15">
        <v>5276</v>
      </c>
      <c r="M18" s="15">
        <v>5516</v>
      </c>
      <c r="N18" s="15">
        <v>7604</v>
      </c>
      <c r="O18" s="15">
        <v>5825</v>
      </c>
      <c r="P18" s="15">
        <v>6630</v>
      </c>
      <c r="Q18" s="15">
        <v>6929</v>
      </c>
      <c r="R18" s="15">
        <v>7183</v>
      </c>
      <c r="S18" s="15">
        <v>6533</v>
      </c>
      <c r="T18" s="15"/>
      <c r="U18" s="15"/>
      <c r="V18" s="15"/>
      <c r="W18" s="15"/>
      <c r="X18" s="31">
        <f t="shared" ref="X18:Z19" si="30">P18*1.03</f>
        <v>6828.9000000000005</v>
      </c>
      <c r="Y18" s="31">
        <f t="shared" si="30"/>
        <v>7136.87</v>
      </c>
      <c r="Z18" s="31">
        <f t="shared" si="30"/>
        <v>7398.49</v>
      </c>
      <c r="AA18" s="16"/>
      <c r="AB18" s="16"/>
      <c r="AC18" s="16"/>
      <c r="AD18" s="16"/>
      <c r="AE18" s="16"/>
      <c r="AF18" s="16">
        <v>8131</v>
      </c>
      <c r="AG18" s="16">
        <v>9047</v>
      </c>
      <c r="AH18" s="16">
        <v>10485</v>
      </c>
      <c r="AI18" s="16">
        <v>12893</v>
      </c>
      <c r="AJ18" s="16">
        <v>16333</v>
      </c>
      <c r="AK18" s="16">
        <v>18464</v>
      </c>
      <c r="AL18" s="16">
        <v>17946</v>
      </c>
      <c r="AM18" s="16">
        <v>22912</v>
      </c>
      <c r="AN18" s="16">
        <f>SUM(O18:R18)</f>
        <v>26567</v>
      </c>
      <c r="AO18" s="16">
        <f>+AN18*1.05</f>
        <v>27895.350000000002</v>
      </c>
      <c r="AP18" s="16">
        <f t="shared" si="28"/>
        <v>29290.117500000004</v>
      </c>
      <c r="AQ18" s="16">
        <f t="shared" si="28"/>
        <v>30754.623375000006</v>
      </c>
      <c r="AR18" s="16">
        <f t="shared" si="28"/>
        <v>32292.354543750007</v>
      </c>
      <c r="AS18" s="16">
        <f t="shared" si="28"/>
        <v>33906.972270937506</v>
      </c>
      <c r="AT18" s="16">
        <f t="shared" si="28"/>
        <v>35602.320884484383</v>
      </c>
      <c r="AU18" s="16">
        <f t="shared" si="28"/>
        <v>37382.436928708601</v>
      </c>
      <c r="AV18" s="16">
        <f t="shared" si="28"/>
        <v>39251.558775144033</v>
      </c>
    </row>
    <row r="19" spans="2:48" x14ac:dyDescent="0.25">
      <c r="B19" s="3" t="s">
        <v>81</v>
      </c>
      <c r="C19" s="15">
        <v>2088</v>
      </c>
      <c r="D19" s="15"/>
      <c r="E19" s="15"/>
      <c r="F19" s="15"/>
      <c r="G19" s="15">
        <v>2880</v>
      </c>
      <c r="H19" s="15">
        <v>2585</v>
      </c>
      <c r="I19" s="15">
        <v>2756</v>
      </c>
      <c r="J19" s="15">
        <v>2831</v>
      </c>
      <c r="K19" s="15">
        <v>2773</v>
      </c>
      <c r="L19" s="15">
        <v>3341</v>
      </c>
      <c r="M19" s="15">
        <v>3256</v>
      </c>
      <c r="N19" s="15">
        <v>4140</v>
      </c>
      <c r="O19" s="15">
        <v>3374</v>
      </c>
      <c r="P19" s="15">
        <v>3657</v>
      </c>
      <c r="Q19" s="15">
        <v>3597</v>
      </c>
      <c r="R19" s="15">
        <v>5096</v>
      </c>
      <c r="S19" s="15">
        <v>3759</v>
      </c>
      <c r="T19" s="15"/>
      <c r="U19" s="15"/>
      <c r="V19" s="15"/>
      <c r="W19" s="15"/>
      <c r="X19" s="31">
        <f t="shared" si="30"/>
        <v>3766.71</v>
      </c>
      <c r="Y19" s="31">
        <f t="shared" si="30"/>
        <v>3704.9100000000003</v>
      </c>
      <c r="Z19" s="31">
        <f t="shared" si="30"/>
        <v>5248.88</v>
      </c>
      <c r="AA19" s="16"/>
      <c r="AB19" s="16"/>
      <c r="AC19" s="16"/>
      <c r="AD19" s="16"/>
      <c r="AE19" s="16"/>
      <c r="AF19" s="16">
        <v>5851</v>
      </c>
      <c r="AG19" s="16">
        <v>6136</v>
      </c>
      <c r="AH19" s="16">
        <v>6985</v>
      </c>
      <c r="AI19" s="16">
        <v>6872</v>
      </c>
      <c r="AJ19" s="16">
        <v>8126</v>
      </c>
      <c r="AK19" s="16">
        <v>9551</v>
      </c>
      <c r="AL19" s="16">
        <v>11052</v>
      </c>
      <c r="AM19" s="16">
        <v>13510</v>
      </c>
      <c r="AN19" s="16">
        <f>SUM(O19:R19)</f>
        <v>15724</v>
      </c>
      <c r="AO19" s="16">
        <f>+AN19*1.05</f>
        <v>16510.2</v>
      </c>
      <c r="AP19" s="16">
        <f t="shared" si="28"/>
        <v>17335.710000000003</v>
      </c>
      <c r="AQ19" s="16">
        <f t="shared" si="28"/>
        <v>18202.495500000005</v>
      </c>
      <c r="AR19" s="16">
        <f t="shared" si="28"/>
        <v>19112.620275000005</v>
      </c>
      <c r="AS19" s="16">
        <f t="shared" si="28"/>
        <v>20068.251288750005</v>
      </c>
      <c r="AT19" s="16">
        <f t="shared" si="28"/>
        <v>21071.663853187507</v>
      </c>
      <c r="AU19" s="16">
        <f t="shared" si="28"/>
        <v>22125.247045846882</v>
      </c>
      <c r="AV19" s="16">
        <f t="shared" si="28"/>
        <v>23231.509398139227</v>
      </c>
    </row>
    <row r="20" spans="2:48" x14ac:dyDescent="0.25">
      <c r="B20" s="3" t="s">
        <v>82</v>
      </c>
      <c r="C20" s="15">
        <f>SUM(C16:C19)</f>
        <v>12022</v>
      </c>
      <c r="D20" s="15"/>
      <c r="E20" s="15"/>
      <c r="F20" s="15"/>
      <c r="G20" s="15">
        <f t="shared" ref="G20:Z20" si="31">SUM(G16:G19)</f>
        <v>14200</v>
      </c>
      <c r="H20" s="15">
        <f t="shared" si="31"/>
        <v>13361</v>
      </c>
      <c r="I20" s="15">
        <f t="shared" si="31"/>
        <v>13843</v>
      </c>
      <c r="J20" s="15">
        <f t="shared" si="31"/>
        <v>15167</v>
      </c>
      <c r="K20" s="15">
        <f t="shared" si="31"/>
        <v>14774</v>
      </c>
      <c r="L20" s="15">
        <f t="shared" si="31"/>
        <v>16292</v>
      </c>
      <c r="M20" s="15">
        <f t="shared" si="31"/>
        <v>16466</v>
      </c>
      <c r="N20" s="15">
        <f t="shared" si="31"/>
        <v>20452</v>
      </c>
      <c r="O20" s="15">
        <f t="shared" si="31"/>
        <v>18318</v>
      </c>
      <c r="P20" s="15">
        <f t="shared" si="31"/>
        <v>20128</v>
      </c>
      <c r="Q20" s="15">
        <f t="shared" si="31"/>
        <v>20799</v>
      </c>
      <c r="R20" s="15">
        <f t="shared" si="31"/>
        <v>22546</v>
      </c>
      <c r="S20" s="15">
        <f t="shared" si="31"/>
        <v>21760</v>
      </c>
      <c r="T20" s="15"/>
      <c r="U20" s="15"/>
      <c r="V20" s="15"/>
      <c r="W20" s="15"/>
      <c r="X20" s="31">
        <f t="shared" si="31"/>
        <v>20731.84</v>
      </c>
      <c r="Y20" s="31">
        <f t="shared" si="31"/>
        <v>21422.97</v>
      </c>
      <c r="Z20" s="31">
        <f t="shared" si="31"/>
        <v>23222.38</v>
      </c>
      <c r="AA20" s="16"/>
      <c r="AB20" s="16"/>
      <c r="AC20" s="16"/>
      <c r="AD20" s="16"/>
      <c r="AE20" s="16"/>
      <c r="AF20" s="16">
        <f>SUM(AF16:AF19)</f>
        <v>23814</v>
      </c>
      <c r="AG20" s="16">
        <f>SUM(AG16,AG18,AG19)</f>
        <v>27465</v>
      </c>
      <c r="AH20" s="16">
        <f t="shared" ref="AH20:AV20" si="32">SUM(AH16:AH19)</f>
        <v>31418.135645660317</v>
      </c>
      <c r="AI20" s="16">
        <f t="shared" si="32"/>
        <v>36390.191927158012</v>
      </c>
      <c r="AJ20" s="16">
        <f t="shared" si="32"/>
        <v>45878.288360902254</v>
      </c>
      <c r="AK20" s="16">
        <f t="shared" si="32"/>
        <v>54033.214715906433</v>
      </c>
      <c r="AL20" s="16">
        <f t="shared" si="32"/>
        <v>56571.059766315622</v>
      </c>
      <c r="AM20" s="16">
        <f t="shared" si="32"/>
        <v>67984.144670511014</v>
      </c>
      <c r="AN20" s="16">
        <f t="shared" si="32"/>
        <v>81791.251504974338</v>
      </c>
      <c r="AO20" s="16">
        <f t="shared" si="32"/>
        <v>85880.6</v>
      </c>
      <c r="AP20" s="16">
        <f t="shared" si="32"/>
        <v>90174.577500000014</v>
      </c>
      <c r="AQ20" s="16">
        <f t="shared" si="32"/>
        <v>94683.306375000015</v>
      </c>
      <c r="AR20" s="16">
        <f t="shared" si="32"/>
        <v>99417.47169375002</v>
      </c>
      <c r="AS20" s="16">
        <f t="shared" si="32"/>
        <v>104388.34527843751</v>
      </c>
      <c r="AT20" s="16">
        <f t="shared" si="32"/>
        <v>109607.7625423594</v>
      </c>
      <c r="AU20" s="16">
        <f t="shared" si="32"/>
        <v>115088.15066947739</v>
      </c>
      <c r="AV20" s="16">
        <f t="shared" si="32"/>
        <v>120842.55820295124</v>
      </c>
    </row>
    <row r="21" spans="2:48" x14ac:dyDescent="0.25">
      <c r="B21" s="3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31"/>
      <c r="Y21" s="31"/>
      <c r="Z21" s="31"/>
      <c r="AA21" s="16"/>
      <c r="AB21" s="16"/>
      <c r="AC21" s="16"/>
      <c r="AD21" s="16"/>
      <c r="AE21" s="16"/>
      <c r="AF21" s="16"/>
      <c r="AG21" s="29">
        <f>AG20/AF20-1</f>
        <v>0.15331317712270098</v>
      </c>
      <c r="AH21" s="29">
        <f t="shared" ref="AH21:AO21" si="33">AH20/AG20-1</f>
        <v>0.14393357530166817</v>
      </c>
      <c r="AI21" s="29">
        <f t="shared" si="33"/>
        <v>0.15825433875432604</v>
      </c>
      <c r="AJ21" s="29">
        <f t="shared" si="33"/>
        <v>0.26073224490644331</v>
      </c>
      <c r="AK21" s="29">
        <f t="shared" si="33"/>
        <v>0.17775132086126066</v>
      </c>
      <c r="AL21" s="29">
        <f t="shared" si="33"/>
        <v>4.6968240993110699E-2</v>
      </c>
      <c r="AM21" s="29">
        <f t="shared" si="33"/>
        <v>0.20174776557732343</v>
      </c>
      <c r="AN21" s="29">
        <f t="shared" si="33"/>
        <v>0.20309304325854582</v>
      </c>
      <c r="AO21" s="29">
        <f t="shared" si="33"/>
        <v>4.9997382602428697E-2</v>
      </c>
      <c r="AP21" s="16"/>
      <c r="AQ21" s="16"/>
      <c r="AR21" s="16"/>
      <c r="AS21" s="16"/>
      <c r="AT21" s="16"/>
      <c r="AU21" s="16"/>
      <c r="AV21" s="16"/>
    </row>
    <row r="22" spans="2:48" x14ac:dyDescent="0.25">
      <c r="B22" s="3" t="s">
        <v>83</v>
      </c>
      <c r="C22" s="15">
        <f>C15-C20</f>
        <v>8305</v>
      </c>
      <c r="D22" s="15"/>
      <c r="E22" s="15"/>
      <c r="F22" s="15"/>
      <c r="G22" s="15">
        <f t="shared" ref="G22:Z22" si="34">G15-G20</f>
        <v>7977</v>
      </c>
      <c r="H22" s="15">
        <f t="shared" si="34"/>
        <v>6383</v>
      </c>
      <c r="I22" s="15">
        <f t="shared" si="34"/>
        <v>11213</v>
      </c>
      <c r="J22" s="15">
        <f t="shared" si="34"/>
        <v>15651</v>
      </c>
      <c r="K22" s="15">
        <f t="shared" si="34"/>
        <v>16437</v>
      </c>
      <c r="L22" s="15">
        <f t="shared" si="34"/>
        <v>19361</v>
      </c>
      <c r="M22" s="15">
        <f t="shared" si="34"/>
        <v>21031</v>
      </c>
      <c r="N22" s="15">
        <f t="shared" si="34"/>
        <v>21885</v>
      </c>
      <c r="O22" s="15">
        <f t="shared" si="34"/>
        <v>20094</v>
      </c>
      <c r="P22" s="15">
        <f t="shared" si="34"/>
        <v>19453</v>
      </c>
      <c r="Q22" s="15">
        <f t="shared" si="34"/>
        <v>17135</v>
      </c>
      <c r="R22" s="15">
        <f t="shared" si="34"/>
        <v>18160</v>
      </c>
      <c r="S22" s="15">
        <f t="shared" si="34"/>
        <v>17415</v>
      </c>
      <c r="T22" s="15"/>
      <c r="U22" s="15"/>
      <c r="V22" s="15"/>
      <c r="W22" s="15"/>
      <c r="X22" s="31">
        <f t="shared" si="34"/>
        <v>19189.981500000005</v>
      </c>
      <c r="Y22" s="31">
        <f t="shared" si="34"/>
        <v>18448.515499999994</v>
      </c>
      <c r="Z22" s="31">
        <f t="shared" si="34"/>
        <v>20659.127999999993</v>
      </c>
      <c r="AA22" s="16"/>
      <c r="AB22" s="16"/>
      <c r="AC22" s="16"/>
      <c r="AD22" s="16"/>
      <c r="AE22" s="16"/>
      <c r="AF22" s="16">
        <f t="shared" ref="AF22:AV22" si="35">AF15-AF20</f>
        <v>16496</v>
      </c>
      <c r="AG22" s="16">
        <f t="shared" si="35"/>
        <v>19360</v>
      </c>
      <c r="AH22" s="16">
        <f t="shared" si="35"/>
        <v>23715.864354339683</v>
      </c>
      <c r="AI22" s="16">
        <f t="shared" si="35"/>
        <v>28881.808072841988</v>
      </c>
      <c r="AJ22" s="16">
        <f t="shared" si="35"/>
        <v>31391.711639097746</v>
      </c>
      <c r="AK22" s="16">
        <f t="shared" si="35"/>
        <v>35927.785284093567</v>
      </c>
      <c r="AL22" s="16">
        <f t="shared" si="35"/>
        <v>41223.940233684378</v>
      </c>
      <c r="AM22" s="16">
        <f t="shared" si="35"/>
        <v>78713.855329488986</v>
      </c>
      <c r="AN22" s="16">
        <f t="shared" si="35"/>
        <v>74841.748495025662</v>
      </c>
      <c r="AO22" s="16">
        <f t="shared" si="35"/>
        <v>88257.492800000007</v>
      </c>
      <c r="AP22" s="16">
        <f t="shared" si="35"/>
        <v>104147.62094800003</v>
      </c>
      <c r="AQ22" s="16">
        <f t="shared" si="35"/>
        <v>121310.90752228006</v>
      </c>
      <c r="AR22" s="16">
        <f t="shared" si="35"/>
        <v>142023.82273220684</v>
      </c>
      <c r="AS22" s="16">
        <f t="shared" si="35"/>
        <v>167167.23325358206</v>
      </c>
      <c r="AT22" s="16">
        <f t="shared" si="35"/>
        <v>191529.00562232599</v>
      </c>
      <c r="AU22" s="16">
        <f t="shared" si="35"/>
        <v>219718.25522998968</v>
      </c>
      <c r="AV22" s="16">
        <f t="shared" si="35"/>
        <v>252379.120351102</v>
      </c>
    </row>
    <row r="23" spans="2:48" x14ac:dyDescent="0.25">
      <c r="B23" s="3" t="s">
        <v>70</v>
      </c>
      <c r="C23" s="15">
        <v>1538</v>
      </c>
      <c r="D23" s="15"/>
      <c r="E23" s="15"/>
      <c r="F23" s="15"/>
      <c r="G23" s="15">
        <v>-220</v>
      </c>
      <c r="H23" s="15">
        <v>1894</v>
      </c>
      <c r="I23" s="15">
        <v>2146</v>
      </c>
      <c r="J23" s="15">
        <v>3038</v>
      </c>
      <c r="K23" s="15">
        <v>4846</v>
      </c>
      <c r="L23" s="15">
        <v>2264</v>
      </c>
      <c r="M23" s="15">
        <v>2033</v>
      </c>
      <c r="N23" s="15">
        <v>2517</v>
      </c>
      <c r="O23" s="15">
        <v>-1160</v>
      </c>
      <c r="P23" s="15">
        <v>-439</v>
      </c>
      <c r="Q23" s="15">
        <v>-902</v>
      </c>
      <c r="R23" s="15">
        <v>-1013</v>
      </c>
      <c r="S23" s="15">
        <v>790</v>
      </c>
      <c r="T23" s="15"/>
      <c r="U23" s="15"/>
      <c r="V23" s="15"/>
      <c r="W23" s="15"/>
      <c r="X23" s="31">
        <f>AVERAGE(P23:S23)</f>
        <v>-391</v>
      </c>
      <c r="Y23" s="31">
        <f>AVERAGE(Q23:X23)</f>
        <v>-379</v>
      </c>
      <c r="Z23" s="31">
        <f>AVERAGE(R23:Y23)</f>
        <v>-248.25</v>
      </c>
      <c r="AA23" s="16"/>
      <c r="AB23" s="16"/>
      <c r="AC23" s="16"/>
      <c r="AD23" s="16"/>
      <c r="AE23" s="16"/>
      <c r="AF23" s="16">
        <v>763</v>
      </c>
      <c r="AG23" s="16">
        <v>291</v>
      </c>
      <c r="AH23" s="16">
        <v>434</v>
      </c>
      <c r="AI23" s="16">
        <v>1047</v>
      </c>
      <c r="AJ23" s="16">
        <v>8592</v>
      </c>
      <c r="AK23" s="16">
        <v>5394</v>
      </c>
      <c r="AL23" s="16">
        <v>6858</v>
      </c>
      <c r="AM23" s="16">
        <v>12020</v>
      </c>
      <c r="AN23" s="16">
        <f>SUM(O23:R23)</f>
        <v>-3514</v>
      </c>
      <c r="AO23" s="16">
        <f>+AN41*$AY$31</f>
        <v>0</v>
      </c>
      <c r="AP23" s="16">
        <f t="shared" ref="AP23:AV23" si="36">+AO41*$AY$31</f>
        <v>0</v>
      </c>
      <c r="AQ23" s="16">
        <f t="shared" si="36"/>
        <v>0</v>
      </c>
      <c r="AR23" s="16">
        <f t="shared" si="36"/>
        <v>0</v>
      </c>
      <c r="AS23" s="16">
        <f t="shared" si="36"/>
        <v>0</v>
      </c>
      <c r="AT23" s="16">
        <f t="shared" si="36"/>
        <v>0</v>
      </c>
      <c r="AU23" s="16">
        <f t="shared" si="36"/>
        <v>0</v>
      </c>
      <c r="AV23" s="16">
        <f t="shared" si="36"/>
        <v>0</v>
      </c>
    </row>
    <row r="24" spans="2:48" x14ac:dyDescent="0.25">
      <c r="B24" s="3" t="s">
        <v>84</v>
      </c>
      <c r="C24" s="15">
        <f t="shared" ref="C24" si="37">C22+C23</f>
        <v>9843</v>
      </c>
      <c r="D24" s="15"/>
      <c r="E24" s="15"/>
      <c r="F24" s="15"/>
      <c r="G24" s="15">
        <f t="shared" ref="G24:J24" si="38">G22+G23</f>
        <v>7757</v>
      </c>
      <c r="H24" s="15">
        <f t="shared" si="38"/>
        <v>8277</v>
      </c>
      <c r="I24" s="15">
        <f t="shared" si="38"/>
        <v>13359</v>
      </c>
      <c r="J24" s="15">
        <f t="shared" si="38"/>
        <v>18689</v>
      </c>
      <c r="K24" s="15">
        <f>K22+K23</f>
        <v>21283</v>
      </c>
      <c r="L24" s="15">
        <f t="shared" ref="L24:Z24" si="39">L22+L23</f>
        <v>21625</v>
      </c>
      <c r="M24" s="15">
        <f t="shared" si="39"/>
        <v>23064</v>
      </c>
      <c r="N24" s="15">
        <f t="shared" si="39"/>
        <v>24402</v>
      </c>
      <c r="O24" s="15">
        <f t="shared" si="39"/>
        <v>18934</v>
      </c>
      <c r="P24" s="15">
        <f t="shared" si="39"/>
        <v>19014</v>
      </c>
      <c r="Q24" s="15">
        <f t="shared" si="39"/>
        <v>16233</v>
      </c>
      <c r="R24" s="15">
        <f t="shared" si="39"/>
        <v>17147</v>
      </c>
      <c r="S24" s="15">
        <f t="shared" si="39"/>
        <v>18205</v>
      </c>
      <c r="T24" s="15"/>
      <c r="U24" s="15"/>
      <c r="V24" s="15"/>
      <c r="W24" s="15"/>
      <c r="X24" s="31">
        <f t="shared" si="39"/>
        <v>18798.981500000005</v>
      </c>
      <c r="Y24" s="31">
        <f t="shared" si="39"/>
        <v>18069.515499999994</v>
      </c>
      <c r="Z24" s="31">
        <f t="shared" si="39"/>
        <v>20410.877999999993</v>
      </c>
      <c r="AA24" s="16"/>
      <c r="AB24" s="16"/>
      <c r="AC24" s="16"/>
      <c r="AD24" s="16"/>
      <c r="AE24" s="16"/>
      <c r="AF24" s="16">
        <f t="shared" ref="AF24:AK24" si="40">+AF22+AF23</f>
        <v>17259</v>
      </c>
      <c r="AG24" s="16">
        <f t="shared" si="40"/>
        <v>19651</v>
      </c>
      <c r="AH24" s="16">
        <f t="shared" si="40"/>
        <v>24149.864354339683</v>
      </c>
      <c r="AI24" s="16">
        <f t="shared" si="40"/>
        <v>29928.808072841988</v>
      </c>
      <c r="AJ24" s="16">
        <f t="shared" si="40"/>
        <v>39983.711639097746</v>
      </c>
      <c r="AK24" s="16">
        <f t="shared" si="40"/>
        <v>41321.785284093567</v>
      </c>
      <c r="AL24" s="16">
        <f>AL22+AL23</f>
        <v>48081.940233684378</v>
      </c>
      <c r="AM24" s="16">
        <f t="shared" ref="AM24:AV24" si="41">AM22+AM23</f>
        <v>90733.855329488986</v>
      </c>
      <c r="AN24" s="16">
        <f t="shared" si="41"/>
        <v>71327.748495025662</v>
      </c>
      <c r="AO24" s="16">
        <f t="shared" si="41"/>
        <v>88257.492800000007</v>
      </c>
      <c r="AP24" s="16">
        <f t="shared" si="41"/>
        <v>104147.62094800003</v>
      </c>
      <c r="AQ24" s="16">
        <f t="shared" si="41"/>
        <v>121310.90752228006</v>
      </c>
      <c r="AR24" s="16">
        <f t="shared" si="41"/>
        <v>142023.82273220684</v>
      </c>
      <c r="AS24" s="16">
        <f t="shared" si="41"/>
        <v>167167.23325358206</v>
      </c>
      <c r="AT24" s="16">
        <f t="shared" si="41"/>
        <v>191529.00562232599</v>
      </c>
      <c r="AU24" s="16">
        <f t="shared" si="41"/>
        <v>219718.25522998968</v>
      </c>
      <c r="AV24" s="16">
        <f t="shared" si="41"/>
        <v>252379.120351102</v>
      </c>
    </row>
    <row r="25" spans="2:48" x14ac:dyDescent="0.25">
      <c r="B25" s="3" t="s">
        <v>85</v>
      </c>
      <c r="C25" s="15">
        <v>1489</v>
      </c>
      <c r="D25" s="15"/>
      <c r="E25" s="15"/>
      <c r="F25" s="15"/>
      <c r="G25" s="15">
        <v>921</v>
      </c>
      <c r="H25" s="15">
        <v>1318</v>
      </c>
      <c r="I25" s="15">
        <v>2112</v>
      </c>
      <c r="J25" s="15">
        <v>3462</v>
      </c>
      <c r="K25" s="15">
        <v>3353</v>
      </c>
      <c r="L25" s="15">
        <v>3460</v>
      </c>
      <c r="M25" s="15">
        <v>4128</v>
      </c>
      <c r="N25" s="15">
        <v>3760</v>
      </c>
      <c r="O25" s="15">
        <v>2498</v>
      </c>
      <c r="P25" s="15">
        <v>3012</v>
      </c>
      <c r="Q25" s="15">
        <v>2323</v>
      </c>
      <c r="R25" s="15">
        <v>3523</v>
      </c>
      <c r="S25" s="15">
        <v>3154</v>
      </c>
      <c r="T25" s="15"/>
      <c r="U25" s="15"/>
      <c r="V25" s="15"/>
      <c r="W25" s="15"/>
      <c r="X25" s="31">
        <f t="shared" ref="X25:Z25" si="42">X24*0.2</f>
        <v>3759.7963000000013</v>
      </c>
      <c r="Y25" s="31">
        <f t="shared" si="42"/>
        <v>3613.9030999999991</v>
      </c>
      <c r="Z25" s="31">
        <f t="shared" si="42"/>
        <v>4082.1755999999987</v>
      </c>
      <c r="AA25" s="16"/>
      <c r="AB25" s="16"/>
      <c r="AC25" s="16"/>
      <c r="AD25" s="16"/>
      <c r="AE25" s="16"/>
      <c r="AF25" s="16">
        <v>3639</v>
      </c>
      <c r="AG25" s="16">
        <v>3303</v>
      </c>
      <c r="AH25" s="16">
        <v>4672</v>
      </c>
      <c r="AI25" s="16">
        <v>14531</v>
      </c>
      <c r="AJ25" s="16">
        <v>4177</v>
      </c>
      <c r="AK25" s="16">
        <v>5282</v>
      </c>
      <c r="AL25" s="16">
        <v>7813</v>
      </c>
      <c r="AM25" s="16">
        <v>14701</v>
      </c>
      <c r="AN25" s="16">
        <f>SUM(O25:R25)</f>
        <v>11356</v>
      </c>
      <c r="AO25" s="16">
        <f>+AO24*0.18</f>
        <v>15886.348704</v>
      </c>
      <c r="AP25" s="16">
        <f t="shared" ref="AP25:AV25" si="43">+AP24*0.18</f>
        <v>18746.571770640003</v>
      </c>
      <c r="AQ25" s="16">
        <f t="shared" si="43"/>
        <v>21835.963354010411</v>
      </c>
      <c r="AR25" s="16">
        <f t="shared" si="43"/>
        <v>25564.288091797229</v>
      </c>
      <c r="AS25" s="16">
        <f t="shared" si="43"/>
        <v>30090.101985644771</v>
      </c>
      <c r="AT25" s="16">
        <f t="shared" si="43"/>
        <v>34475.221012018679</v>
      </c>
      <c r="AU25" s="16">
        <f t="shared" si="43"/>
        <v>39549.285941398142</v>
      </c>
      <c r="AV25" s="16">
        <f t="shared" si="43"/>
        <v>45428.241663198358</v>
      </c>
    </row>
    <row r="26" spans="2:48" x14ac:dyDescent="0.25">
      <c r="B26" s="3" t="s">
        <v>86</v>
      </c>
      <c r="C26" s="15">
        <f t="shared" ref="C26" si="44">C24-C25</f>
        <v>8354</v>
      </c>
      <c r="D26" s="15"/>
      <c r="E26" s="15"/>
      <c r="F26" s="15"/>
      <c r="G26" s="15">
        <f t="shared" ref="G26:J26" si="45">G24-G25</f>
        <v>6836</v>
      </c>
      <c r="H26" s="15">
        <f t="shared" si="45"/>
        <v>6959</v>
      </c>
      <c r="I26" s="15">
        <f t="shared" si="45"/>
        <v>11247</v>
      </c>
      <c r="J26" s="15">
        <f t="shared" si="45"/>
        <v>15227</v>
      </c>
      <c r="K26" s="15">
        <f>K24-K25</f>
        <v>17930</v>
      </c>
      <c r="L26" s="15">
        <f t="shared" ref="L26:Z26" si="46">L24-L25</f>
        <v>18165</v>
      </c>
      <c r="M26" s="15">
        <f t="shared" si="46"/>
        <v>18936</v>
      </c>
      <c r="N26" s="15">
        <f t="shared" si="46"/>
        <v>20642</v>
      </c>
      <c r="O26" s="15">
        <f t="shared" si="46"/>
        <v>16436</v>
      </c>
      <c r="P26" s="15">
        <f t="shared" si="46"/>
        <v>16002</v>
      </c>
      <c r="Q26" s="15">
        <f t="shared" si="46"/>
        <v>13910</v>
      </c>
      <c r="R26" s="15">
        <f t="shared" si="46"/>
        <v>13624</v>
      </c>
      <c r="S26" s="15">
        <f t="shared" si="46"/>
        <v>15051</v>
      </c>
      <c r="T26" s="15"/>
      <c r="U26" s="15"/>
      <c r="V26" s="15"/>
      <c r="W26" s="15"/>
      <c r="X26" s="31">
        <f t="shared" si="46"/>
        <v>15039.185200000004</v>
      </c>
      <c r="Y26" s="31">
        <f t="shared" si="46"/>
        <v>14455.612399999995</v>
      </c>
      <c r="Z26" s="31">
        <f t="shared" si="46"/>
        <v>16328.702399999995</v>
      </c>
      <c r="AA26" s="16"/>
      <c r="AB26" s="16"/>
      <c r="AC26" s="16"/>
      <c r="AD26" s="16"/>
      <c r="AE26" s="16"/>
      <c r="AF26" s="16">
        <f t="shared" ref="AF26:AK26" si="47">+AF24-AF25</f>
        <v>13620</v>
      </c>
      <c r="AG26" s="16">
        <f t="shared" si="47"/>
        <v>16348</v>
      </c>
      <c r="AH26" s="16">
        <f t="shared" si="47"/>
        <v>19477.864354339683</v>
      </c>
      <c r="AI26" s="16">
        <f t="shared" si="47"/>
        <v>15397.808072841988</v>
      </c>
      <c r="AJ26" s="16">
        <f t="shared" si="47"/>
        <v>35806.711639097746</v>
      </c>
      <c r="AK26" s="16">
        <f t="shared" si="47"/>
        <v>36039.785284093567</v>
      </c>
      <c r="AL26" s="16">
        <f>AL24-AL25</f>
        <v>40268.940233684378</v>
      </c>
      <c r="AM26" s="16">
        <f t="shared" ref="AM26:AV26" si="48">AM24-AM25</f>
        <v>76032.855329488986</v>
      </c>
      <c r="AN26" s="16">
        <f t="shared" si="48"/>
        <v>59971.748495025662</v>
      </c>
      <c r="AO26" s="16">
        <f t="shared" si="48"/>
        <v>72371.144096000004</v>
      </c>
      <c r="AP26" s="16">
        <f t="shared" si="48"/>
        <v>85401.049177360022</v>
      </c>
      <c r="AQ26" s="16">
        <f t="shared" si="48"/>
        <v>99474.944168269649</v>
      </c>
      <c r="AR26" s="16">
        <f t="shared" si="48"/>
        <v>116459.53464040961</v>
      </c>
      <c r="AS26" s="16">
        <f t="shared" si="48"/>
        <v>137077.13126793728</v>
      </c>
      <c r="AT26" s="16">
        <f t="shared" si="48"/>
        <v>157053.78461030731</v>
      </c>
      <c r="AU26" s="16">
        <f t="shared" si="48"/>
        <v>180168.96928859153</v>
      </c>
      <c r="AV26" s="16">
        <f t="shared" si="48"/>
        <v>206950.87868790363</v>
      </c>
    </row>
    <row r="27" spans="2:48" x14ac:dyDescent="0.25">
      <c r="B27" s="12" t="s">
        <v>87</v>
      </c>
      <c r="C27" s="17">
        <f t="shared" ref="C27" si="49">C26/C28</f>
        <v>11.919318455824756</v>
      </c>
      <c r="D27" s="17"/>
      <c r="E27" s="17"/>
      <c r="F27" s="17"/>
      <c r="G27" s="17">
        <f t="shared" ref="G27:N27" si="50">G26/G28</f>
        <v>9.8748026411774639</v>
      </c>
      <c r="H27" s="17">
        <f t="shared" si="50"/>
        <v>10.129194904399265</v>
      </c>
      <c r="I27" s="17">
        <f t="shared" si="50"/>
        <v>16.398605528022852</v>
      </c>
      <c r="J27" s="17">
        <f t="shared" si="50"/>
        <v>22.295301836540162</v>
      </c>
      <c r="K27" s="17">
        <f t="shared" si="50"/>
        <v>26.287585896482916</v>
      </c>
      <c r="L27" s="17">
        <f t="shared" si="50"/>
        <v>1.3364479105356091</v>
      </c>
      <c r="M27" s="17">
        <f t="shared" si="50"/>
        <v>27.990344690984287</v>
      </c>
      <c r="N27" s="17">
        <f t="shared" si="50"/>
        <v>30.69474329100823</v>
      </c>
      <c r="O27" s="17">
        <f>O26/O28</f>
        <v>24.621339792764896</v>
      </c>
      <c r="P27" s="17">
        <f t="shared" ref="P27:Z27" si="51">P26/P28</f>
        <v>1.2087015635622025</v>
      </c>
      <c r="Q27" s="17">
        <f t="shared" si="51"/>
        <v>1.0620752844162786</v>
      </c>
      <c r="R27" s="17">
        <f t="shared" si="51"/>
        <v>1.0522901058160192</v>
      </c>
      <c r="S27" s="17">
        <f t="shared" si="51"/>
        <v>1.1737502924432659</v>
      </c>
      <c r="T27" s="17"/>
      <c r="U27" s="17"/>
      <c r="V27" s="17"/>
      <c r="W27" s="17"/>
      <c r="X27" s="32">
        <f t="shared" si="51"/>
        <v>1.1728289167901429</v>
      </c>
      <c r="Y27" s="32">
        <f t="shared" si="51"/>
        <v>1.1273190673009432</v>
      </c>
      <c r="Z27" s="32">
        <f t="shared" si="51"/>
        <v>1.2733917492006546</v>
      </c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>
        <f>AL26/AL28</f>
        <v>58.613244632947094</v>
      </c>
      <c r="AM27" s="18">
        <f>AM26/AM28</f>
        <v>115.37610823898177</v>
      </c>
      <c r="AN27" s="18">
        <f>AN26/AN28</f>
        <v>4.6827319821211573</v>
      </c>
      <c r="AO27" s="18">
        <f>AO26/AO28</f>
        <v>5.6509052936675257</v>
      </c>
      <c r="AP27" s="18">
        <f t="shared" ref="AP27:AV27" si="52">AP26/AP28</f>
        <v>6.6683102348215835</v>
      </c>
      <c r="AQ27" s="18">
        <f t="shared" si="52"/>
        <v>7.7672323079776406</v>
      </c>
      <c r="AR27" s="18">
        <f t="shared" si="52"/>
        <v>9.0934281752486612</v>
      </c>
      <c r="AS27" s="18">
        <f t="shared" si="52"/>
        <v>10.703297514479369</v>
      </c>
      <c r="AT27" s="18">
        <f t="shared" si="52"/>
        <v>12.263120528641158</v>
      </c>
      <c r="AU27" s="18">
        <f t="shared" si="52"/>
        <v>14.068007284187672</v>
      </c>
      <c r="AV27" s="18">
        <f t="shared" si="52"/>
        <v>16.159200334809373</v>
      </c>
    </row>
    <row r="28" spans="2:48" x14ac:dyDescent="0.25">
      <c r="B28" s="3" t="s">
        <v>2</v>
      </c>
      <c r="C28" s="15">
        <v>700.87900000000002</v>
      </c>
      <c r="D28" s="15"/>
      <c r="E28" s="15"/>
      <c r="F28" s="15"/>
      <c r="G28" s="15">
        <v>692.26700000000005</v>
      </c>
      <c r="H28" s="15">
        <v>687.024</v>
      </c>
      <c r="I28" s="15">
        <v>685.851</v>
      </c>
      <c r="J28" s="15">
        <v>682.96900000000005</v>
      </c>
      <c r="K28" s="15">
        <v>682.07100000000003</v>
      </c>
      <c r="L28" s="15">
        <v>13592</v>
      </c>
      <c r="M28" s="15">
        <v>676.51900000000001</v>
      </c>
      <c r="N28" s="15">
        <v>672.49300000000005</v>
      </c>
      <c r="O28" s="15">
        <v>667.55100000000004</v>
      </c>
      <c r="P28" s="15">
        <v>13239</v>
      </c>
      <c r="Q28" s="15">
        <v>13097</v>
      </c>
      <c r="R28" s="15">
        <v>12947</v>
      </c>
      <c r="S28" s="15">
        <v>12823</v>
      </c>
      <c r="T28" s="15"/>
      <c r="U28" s="15"/>
      <c r="V28" s="15"/>
      <c r="W28" s="15"/>
      <c r="X28" s="31">
        <f>S28</f>
        <v>12823</v>
      </c>
      <c r="Y28" s="31">
        <f t="shared" ref="Y28:Z28" si="53">X28</f>
        <v>12823</v>
      </c>
      <c r="Z28" s="31">
        <f t="shared" si="53"/>
        <v>12823</v>
      </c>
      <c r="AA28" s="16"/>
      <c r="AB28" s="16"/>
      <c r="AC28" s="16"/>
      <c r="AD28" s="16"/>
      <c r="AE28" s="16"/>
      <c r="AF28" s="16"/>
      <c r="AG28" s="16">
        <v>687.34799999999996</v>
      </c>
      <c r="AH28" s="16">
        <v>691.29300000000001</v>
      </c>
      <c r="AI28" s="16"/>
      <c r="AJ28" s="16"/>
      <c r="AK28" s="16"/>
      <c r="AL28" s="16">
        <v>687.02800000000002</v>
      </c>
      <c r="AM28" s="16">
        <f>300+44+315</f>
        <v>659</v>
      </c>
      <c r="AN28" s="16">
        <f>5956+883+5968</f>
        <v>12807</v>
      </c>
      <c r="AO28" s="16">
        <f>+AN28</f>
        <v>12807</v>
      </c>
      <c r="AP28" s="16">
        <f t="shared" ref="AP28:AV28" si="54">+AO28</f>
        <v>12807</v>
      </c>
      <c r="AQ28" s="16">
        <f t="shared" si="54"/>
        <v>12807</v>
      </c>
      <c r="AR28" s="16">
        <f t="shared" si="54"/>
        <v>12807</v>
      </c>
      <c r="AS28" s="16">
        <f t="shared" si="54"/>
        <v>12807</v>
      </c>
      <c r="AT28" s="16">
        <f t="shared" si="54"/>
        <v>12807</v>
      </c>
      <c r="AU28" s="16">
        <f t="shared" si="54"/>
        <v>12807</v>
      </c>
      <c r="AV28" s="16">
        <f t="shared" si="54"/>
        <v>12807</v>
      </c>
    </row>
    <row r="29" spans="2:48" x14ac:dyDescent="0.25"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31"/>
      <c r="Y29" s="31"/>
      <c r="Z29" s="31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</row>
    <row r="30" spans="2:48" s="25" customFormat="1" x14ac:dyDescent="0.25">
      <c r="B30" s="23" t="s">
        <v>88</v>
      </c>
      <c r="C30" s="24"/>
      <c r="D30" s="24"/>
      <c r="E30" s="24"/>
      <c r="F30" s="24"/>
      <c r="G30" s="24"/>
      <c r="H30" s="24"/>
      <c r="I30" s="24"/>
      <c r="J30" s="24"/>
      <c r="K30" s="24">
        <f t="shared" ref="K30:R30" si="55">K12/G12-1</f>
        <v>0.34391020189994892</v>
      </c>
      <c r="L30" s="24">
        <f t="shared" si="55"/>
        <v>0.61579235971486024</v>
      </c>
      <c r="M30" s="24">
        <f t="shared" si="55"/>
        <v>0.41030472353973102</v>
      </c>
      <c r="N30" s="24">
        <f t="shared" si="55"/>
        <v>0.32386024113325607</v>
      </c>
      <c r="O30" s="24">
        <f t="shared" si="55"/>
        <v>0.22954405756228069</v>
      </c>
      <c r="P30" s="24">
        <f t="shared" si="55"/>
        <v>0.12613122171945701</v>
      </c>
      <c r="Q30" s="24">
        <f t="shared" si="55"/>
        <v>6.1027672840074931E-2</v>
      </c>
      <c r="R30" s="24">
        <f t="shared" si="55"/>
        <v>9.5984069034185104E-3</v>
      </c>
      <c r="S30" s="24">
        <f>S12/O12-1</f>
        <v>2.6113422828660138E-2</v>
      </c>
      <c r="T30" s="24"/>
      <c r="U30" s="24"/>
      <c r="V30" s="24"/>
      <c r="W30" s="24"/>
      <c r="X30" s="33">
        <f>X12/P12-1</f>
        <v>4.1617708258592234E-2</v>
      </c>
      <c r="Y30" s="33">
        <f>Y12/Q12-1</f>
        <v>4.9233051583396081E-2</v>
      </c>
      <c r="Z30" s="33">
        <f>Z12/R12-1</f>
        <v>4.9134231011992435E-2</v>
      </c>
      <c r="AA30" s="23"/>
      <c r="AB30" s="23"/>
      <c r="AC30" s="23"/>
      <c r="AD30" s="23"/>
      <c r="AE30" s="23">
        <f t="shared" ref="AE30:AV30" si="56">AE12/AD12-1</f>
        <v>0.2059123786355046</v>
      </c>
      <c r="AF30" s="23">
        <f t="shared" si="56"/>
        <v>0.18880023055170292</v>
      </c>
      <c r="AG30" s="23">
        <f t="shared" si="56"/>
        <v>0.13617975485219924</v>
      </c>
      <c r="AH30" s="23">
        <f t="shared" si="56"/>
        <v>0.20380322447292265</v>
      </c>
      <c r="AI30" s="23">
        <f t="shared" si="56"/>
        <v>0.22801090038993266</v>
      </c>
      <c r="AJ30" s="23">
        <f t="shared" si="56"/>
        <v>0.23421586757475987</v>
      </c>
      <c r="AK30" s="23">
        <f t="shared" si="56"/>
        <v>0.18300089899794614</v>
      </c>
      <c r="AL30" s="23">
        <f t="shared" si="56"/>
        <v>0.12770532012826141</v>
      </c>
      <c r="AM30" s="23">
        <f t="shared" si="56"/>
        <v>0.41150076427049154</v>
      </c>
      <c r="AN30" s="23">
        <f t="shared" si="56"/>
        <v>9.7808156437157789E-2</v>
      </c>
      <c r="AO30" s="23">
        <f t="shared" si="56"/>
        <v>9.9438826740584574E-2</v>
      </c>
      <c r="AP30" s="23">
        <f t="shared" si="56"/>
        <v>0.11590861782999839</v>
      </c>
      <c r="AQ30" s="23">
        <f t="shared" si="56"/>
        <v>0.11152619526934493</v>
      </c>
      <c r="AR30" s="23">
        <f t="shared" si="56"/>
        <v>0.11781371393947904</v>
      </c>
      <c r="AS30" s="23">
        <f t="shared" si="56"/>
        <v>0.12472714817761998</v>
      </c>
      <c r="AT30" s="23">
        <f t="shared" si="56"/>
        <v>0.10893235849757321</v>
      </c>
      <c r="AU30" s="23">
        <f t="shared" si="56"/>
        <v>0.11180845813012263</v>
      </c>
      <c r="AV30" s="23">
        <f t="shared" si="56"/>
        <v>0.11473876239429304</v>
      </c>
    </row>
    <row r="31" spans="2:48" s="25" customFormat="1" x14ac:dyDescent="0.25">
      <c r="B31" s="23" t="s">
        <v>89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>
        <v>0.16</v>
      </c>
      <c r="Q31" s="24"/>
      <c r="R31" s="24">
        <v>7.0000000000000007E-2</v>
      </c>
      <c r="S31" s="24">
        <v>0.06</v>
      </c>
      <c r="T31" s="24"/>
      <c r="U31" s="24"/>
      <c r="V31" s="24"/>
      <c r="W31" s="24"/>
      <c r="X31" s="33"/>
      <c r="Y31" s="33"/>
      <c r="Z31" s="3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>
        <v>0.14000000000000001</v>
      </c>
      <c r="AO31" s="23"/>
      <c r="AP31" s="23"/>
      <c r="AQ31" s="23"/>
      <c r="AR31" s="23"/>
      <c r="AS31" s="23"/>
      <c r="AT31" s="23"/>
      <c r="AU31" s="23"/>
      <c r="AV31" s="23"/>
    </row>
    <row r="32" spans="2:48" s="25" customFormat="1" x14ac:dyDescent="0.25">
      <c r="B32" s="25" t="s">
        <v>90</v>
      </c>
      <c r="C32" s="26"/>
      <c r="D32" s="26"/>
      <c r="E32" s="26"/>
      <c r="F32" s="26"/>
      <c r="G32" s="26"/>
      <c r="H32" s="26"/>
      <c r="I32" s="26"/>
      <c r="J32" s="26"/>
      <c r="K32" s="26">
        <f t="shared" ref="K32:R32" si="57">+K10/G10-1</f>
        <v>0.30107746306423966</v>
      </c>
      <c r="L32" s="26">
        <f t="shared" si="57"/>
        <v>0.68136404146535945</v>
      </c>
      <c r="M32" s="26">
        <f t="shared" si="57"/>
        <v>0.43997266307236682</v>
      </c>
      <c r="N32" s="26">
        <f t="shared" si="57"/>
        <v>0.35727047613077145</v>
      </c>
      <c r="O32" s="26">
        <f t="shared" si="57"/>
        <v>0.24276169265033398</v>
      </c>
      <c r="P32" s="26">
        <f t="shared" si="57"/>
        <v>0.13513739712651684</v>
      </c>
      <c r="Q32" s="26">
        <f t="shared" si="57"/>
        <v>4.2530190370722032E-2</v>
      </c>
      <c r="R32" s="26">
        <f t="shared" si="57"/>
        <v>-1.6096625943973542E-2</v>
      </c>
      <c r="S32" s="26">
        <f>+S10/O10-1</f>
        <v>1.8703619566863505E-2</v>
      </c>
      <c r="T32" s="26"/>
      <c r="U32" s="26"/>
      <c r="V32" s="26"/>
      <c r="W32" s="26"/>
      <c r="X32" s="34">
        <f>+X10/P10-1</f>
        <v>3.0000000000000027E-2</v>
      </c>
      <c r="Y32" s="34">
        <f>+Y10/Q10-1</f>
        <v>3.0000000000000027E-2</v>
      </c>
      <c r="Z32" s="34">
        <f>+Z10/R10-1</f>
        <v>3.0000000000000027E-2</v>
      </c>
      <c r="AJ32" s="25">
        <f t="shared" ref="AJ32:AV32" si="58">+AJ10/AI10-1</f>
        <v>0.22181318130380601</v>
      </c>
      <c r="AK32" s="25">
        <f t="shared" si="58"/>
        <v>0.15028840742824978</v>
      </c>
      <c r="AL32" s="25">
        <f t="shared" si="58"/>
        <v>6.0612546501554343E-2</v>
      </c>
      <c r="AM32" s="25">
        <f t="shared" si="58"/>
        <v>0.43136783840402826</v>
      </c>
      <c r="AN32" s="25">
        <f t="shared" si="58"/>
        <v>9.0627118985438182E-2</v>
      </c>
      <c r="AO32" s="25">
        <f t="shared" si="58"/>
        <v>0.10000000000000009</v>
      </c>
      <c r="AP32" s="26">
        <f t="shared" si="58"/>
        <v>0.10000000000000009</v>
      </c>
      <c r="AQ32" s="26">
        <f t="shared" si="58"/>
        <v>0.10000000000000009</v>
      </c>
      <c r="AR32" s="26">
        <f t="shared" si="58"/>
        <v>0.10000000000000009</v>
      </c>
      <c r="AS32" s="26">
        <f t="shared" si="58"/>
        <v>0.10000000000000009</v>
      </c>
      <c r="AT32" s="26">
        <f t="shared" si="58"/>
        <v>0.10000000000000009</v>
      </c>
      <c r="AU32" s="26">
        <f t="shared" si="58"/>
        <v>0.10000000000000009</v>
      </c>
      <c r="AV32" s="26">
        <f t="shared" si="58"/>
        <v>0.10000000000000009</v>
      </c>
    </row>
    <row r="33" spans="2:48" s="25" customFormat="1" x14ac:dyDescent="0.25">
      <c r="B33" s="25" t="s">
        <v>91</v>
      </c>
      <c r="C33" s="26"/>
      <c r="D33" s="26"/>
      <c r="E33" s="26"/>
      <c r="F33" s="26"/>
      <c r="G33" s="26"/>
      <c r="H33" s="26"/>
      <c r="I33" s="26"/>
      <c r="J33" s="26"/>
      <c r="K33" s="26">
        <f t="shared" ref="K33:R33" si="59">+K9/G9-1</f>
        <v>0.48712233779098568</v>
      </c>
      <c r="L33" s="26">
        <f t="shared" si="59"/>
        <v>0.83683105981112282</v>
      </c>
      <c r="M33" s="26">
        <f t="shared" si="59"/>
        <v>0.4304149295215407</v>
      </c>
      <c r="N33" s="26">
        <f t="shared" si="59"/>
        <v>0.25388525780682647</v>
      </c>
      <c r="O33" s="26">
        <f t="shared" si="59"/>
        <v>0.143880099916736</v>
      </c>
      <c r="P33" s="26">
        <f t="shared" si="59"/>
        <v>4.8271922307911996E-2</v>
      </c>
      <c r="Q33" s="26">
        <f t="shared" si="59"/>
        <v>-1.8598195697432374E-2</v>
      </c>
      <c r="R33" s="26">
        <f t="shared" si="59"/>
        <v>-7.7609174099386058E-2</v>
      </c>
      <c r="S33" s="26">
        <f>+S9/O9-1</f>
        <v>-2.5622361333527466E-2</v>
      </c>
      <c r="T33" s="26"/>
      <c r="U33" s="26"/>
      <c r="V33" s="26"/>
      <c r="W33" s="26"/>
      <c r="X33" s="34">
        <f>+X9/P9-1</f>
        <v>-9.9999999999998979E-3</v>
      </c>
      <c r="Y33" s="34">
        <f>+Y9/Q9-1</f>
        <v>3.0000000000000027E-2</v>
      </c>
      <c r="Z33" s="34">
        <f>+Z9/R9-1</f>
        <v>3.0000000000000027E-2</v>
      </c>
      <c r="AJ33" s="25">
        <f t="shared" ref="AJ33:AV33" si="60">+AJ9/AI9-1</f>
        <v>0.36871165644171788</v>
      </c>
      <c r="AK33" s="25">
        <f t="shared" si="60"/>
        <v>0.35804571940833707</v>
      </c>
      <c r="AL33" s="25">
        <f t="shared" si="60"/>
        <v>0.30516865799722748</v>
      </c>
      <c r="AM33" s="25">
        <f t="shared" si="60"/>
        <v>0.45888124620675708</v>
      </c>
      <c r="AN33" s="25">
        <f t="shared" si="60"/>
        <v>1.3797885248743258E-2</v>
      </c>
      <c r="AO33" s="25">
        <f t="shared" si="60"/>
        <v>5.0000000000000044E-2</v>
      </c>
      <c r="AP33" s="26">
        <f t="shared" si="60"/>
        <v>5.0000000000000044E-2</v>
      </c>
      <c r="AQ33" s="26">
        <f t="shared" si="60"/>
        <v>5.0000000000000044E-2</v>
      </c>
      <c r="AR33" s="26">
        <f t="shared" si="60"/>
        <v>5.0000000000000044E-2</v>
      </c>
      <c r="AS33" s="26">
        <f t="shared" si="60"/>
        <v>5.0000000000000044E-2</v>
      </c>
      <c r="AT33" s="26">
        <f t="shared" si="60"/>
        <v>5.0000000000000044E-2</v>
      </c>
      <c r="AU33" s="26">
        <f t="shared" si="60"/>
        <v>5.0000000000000044E-2</v>
      </c>
      <c r="AV33" s="26">
        <f t="shared" si="60"/>
        <v>5.0000000000000044E-2</v>
      </c>
    </row>
    <row r="34" spans="2:48" s="25" customFormat="1" x14ac:dyDescent="0.25">
      <c r="B34" s="25" t="s">
        <v>92</v>
      </c>
      <c r="C34" s="26"/>
      <c r="D34" s="26"/>
      <c r="E34" s="26"/>
      <c r="F34" s="26"/>
      <c r="G34" s="26"/>
      <c r="H34" s="26"/>
      <c r="I34" s="26"/>
      <c r="J34" s="26"/>
      <c r="K34" s="26">
        <f t="shared" ref="K34:R34" si="61">K11/G11-1</f>
        <v>0.33980836693020566</v>
      </c>
      <c r="L34" s="26">
        <f t="shared" si="61"/>
        <v>0.63090508988025484</v>
      </c>
      <c r="M34" s="26">
        <f t="shared" si="61"/>
        <v>0.40661921875367013</v>
      </c>
      <c r="N34" s="26">
        <f t="shared" si="61"/>
        <v>0.31257919921320898</v>
      </c>
      <c r="O34" s="26">
        <f t="shared" si="61"/>
        <v>0.20114111532299028</v>
      </c>
      <c r="P34" s="26">
        <f t="shared" si="61"/>
        <v>0.10117931554138115</v>
      </c>
      <c r="Q34" s="26">
        <f t="shared" si="61"/>
        <v>2.4931534299645897E-2</v>
      </c>
      <c r="R34" s="26">
        <f t="shared" si="61"/>
        <v>-2.2507204610951015E-2</v>
      </c>
      <c r="S34" s="26">
        <f>S11/O11-1</f>
        <v>7.9548412285268544E-3</v>
      </c>
      <c r="T34" s="26"/>
      <c r="U34" s="26"/>
      <c r="V34" s="26"/>
      <c r="W34" s="26"/>
      <c r="X34" s="34">
        <f>X11/P11-1</f>
        <v>2.2156394710459715E-2</v>
      </c>
      <c r="Y34" s="34">
        <f>Y11/Q11-1</f>
        <v>3.2246769962689603E-2</v>
      </c>
      <c r="Z34" s="34">
        <f>Z11/R11-1</f>
        <v>3.2593236828915906E-2</v>
      </c>
      <c r="AJ34" s="25">
        <f t="shared" ref="AJ34:AV34" si="62">+AJ11/AI11-1</f>
        <v>0.22568104346846218</v>
      </c>
      <c r="AK34" s="25">
        <f t="shared" si="62"/>
        <v>0.16319604057491333</v>
      </c>
      <c r="AL34" s="25">
        <f t="shared" si="62"/>
        <v>0.11071957846204517</v>
      </c>
      <c r="AM34" s="25">
        <f t="shared" si="62"/>
        <v>0.40853915260770313</v>
      </c>
      <c r="AN34" s="25">
        <f t="shared" si="62"/>
        <v>6.7355986005919188E-2</v>
      </c>
      <c r="AO34" s="25">
        <f t="shared" si="62"/>
        <v>7.7159919219967898E-2</v>
      </c>
      <c r="AP34" s="26">
        <f t="shared" si="62"/>
        <v>7.8052815516631568E-2</v>
      </c>
      <c r="AQ34" s="26">
        <f t="shared" si="62"/>
        <v>7.8926787613141869E-2</v>
      </c>
      <c r="AR34" s="26">
        <f t="shared" si="62"/>
        <v>7.9780908994353084E-2</v>
      </c>
      <c r="AS34" s="26">
        <f t="shared" si="62"/>
        <v>8.0614365686686451E-2</v>
      </c>
      <c r="AT34" s="26">
        <f t="shared" si="62"/>
        <v>8.1426456360157662E-2</v>
      </c>
      <c r="AU34" s="26">
        <f t="shared" si="62"/>
        <v>8.2216591293572172E-2</v>
      </c>
      <c r="AV34" s="26">
        <f t="shared" si="62"/>
        <v>8.2984290295815111E-2</v>
      </c>
    </row>
    <row r="35" spans="2:48" s="25" customFormat="1" x14ac:dyDescent="0.25">
      <c r="B35" s="25" t="s">
        <v>93</v>
      </c>
      <c r="C35" s="26"/>
      <c r="D35" s="26"/>
      <c r="E35" s="26"/>
      <c r="F35" s="26"/>
      <c r="G35" s="26"/>
      <c r="H35" s="26"/>
      <c r="I35" s="26"/>
      <c r="J35" s="26"/>
      <c r="K35" s="26">
        <f t="shared" ref="K35:R35" si="63">K6/G6-1</f>
        <v>0.4573280518545193</v>
      </c>
      <c r="L35" s="26">
        <f t="shared" si="63"/>
        <v>0.53907549052211512</v>
      </c>
      <c r="M35" s="26">
        <f t="shared" si="63"/>
        <v>0.44889663182346107</v>
      </c>
      <c r="N35" s="26">
        <f t="shared" si="63"/>
        <v>0.44635865309318712</v>
      </c>
      <c r="O35" s="26">
        <f t="shared" si="63"/>
        <v>0.4383493946132937</v>
      </c>
      <c r="P35" s="26">
        <f t="shared" si="63"/>
        <v>0.35609334485738975</v>
      </c>
      <c r="Q35" s="26">
        <f t="shared" si="63"/>
        <v>0.37635270541082155</v>
      </c>
      <c r="R35" s="26">
        <f t="shared" si="63"/>
        <v>0.3201588160981772</v>
      </c>
      <c r="S35" s="26">
        <f>S6/O6-1</f>
        <v>0.28053599037965982</v>
      </c>
      <c r="T35" s="26"/>
      <c r="U35" s="26"/>
      <c r="V35" s="26"/>
      <c r="W35" s="26"/>
      <c r="X35" s="34">
        <f>X6/P6-1</f>
        <v>0.30000000000000004</v>
      </c>
      <c r="Y35" s="34">
        <f>Y6/Q6-1</f>
        <v>0.30000000000000004</v>
      </c>
      <c r="Z35" s="34">
        <f>Z6/R6-1</f>
        <v>0.30000000000000004</v>
      </c>
      <c r="AJ35" s="25">
        <f t="shared" ref="AJ35:AV35" si="64">+AJ6/AI6-1</f>
        <v>0.43934911242603558</v>
      </c>
      <c r="AK35" s="25">
        <f t="shared" si="64"/>
        <v>0.52757793764988015</v>
      </c>
      <c r="AL35" s="25">
        <f t="shared" si="64"/>
        <v>0.46434178066831122</v>
      </c>
      <c r="AM35" s="25">
        <f t="shared" si="64"/>
        <v>0.47070985527222597</v>
      </c>
      <c r="AN35" s="25">
        <f t="shared" si="64"/>
        <v>0.36832239925023424</v>
      </c>
      <c r="AO35" s="25">
        <f t="shared" si="64"/>
        <v>0.39999999999999991</v>
      </c>
      <c r="AP35" s="26">
        <f t="shared" si="64"/>
        <v>0.39999999999999991</v>
      </c>
      <c r="AQ35" s="26">
        <f t="shared" si="64"/>
        <v>0.30000000000000027</v>
      </c>
      <c r="AR35" s="26">
        <f t="shared" si="64"/>
        <v>0.30000000000000004</v>
      </c>
      <c r="AS35" s="26">
        <f t="shared" si="64"/>
        <v>0.30000000000000004</v>
      </c>
      <c r="AT35" s="26">
        <f t="shared" si="64"/>
        <v>0.19999999999999996</v>
      </c>
      <c r="AU35" s="26">
        <f t="shared" si="64"/>
        <v>0.19999999999999996</v>
      </c>
      <c r="AV35" s="26">
        <f t="shared" si="64"/>
        <v>0.19999999999999996</v>
      </c>
    </row>
    <row r="36" spans="2:48" s="25" customFormat="1" x14ac:dyDescent="0.25">
      <c r="B36" s="25" t="s">
        <v>94</v>
      </c>
      <c r="C36" s="26"/>
      <c r="D36" s="26"/>
      <c r="E36" s="26"/>
      <c r="F36" s="26"/>
      <c r="G36" s="26">
        <f t="shared" ref="G36:Z36" si="65">G15/G12</f>
        <v>0.53881289632887097</v>
      </c>
      <c r="H36" s="26">
        <f t="shared" si="65"/>
        <v>0.51554952085019712</v>
      </c>
      <c r="I36" s="26">
        <f t="shared" si="65"/>
        <v>0.54265479825872265</v>
      </c>
      <c r="J36" s="26">
        <f t="shared" si="65"/>
        <v>0.54163590987380927</v>
      </c>
      <c r="K36" s="26">
        <f t="shared" si="65"/>
        <v>0.56425136493473627</v>
      </c>
      <c r="L36" s="26">
        <f t="shared" si="65"/>
        <v>0.57616354234001288</v>
      </c>
      <c r="M36" s="26">
        <f t="shared" si="65"/>
        <v>0.57583156730857832</v>
      </c>
      <c r="N36" s="26">
        <f t="shared" si="65"/>
        <v>0.56205774975107869</v>
      </c>
      <c r="O36" s="26">
        <f t="shared" si="65"/>
        <v>0.5647909896928438</v>
      </c>
      <c r="P36" s="26">
        <f t="shared" si="65"/>
        <v>0.56799885197675248</v>
      </c>
      <c r="Q36" s="26">
        <f t="shared" si="65"/>
        <v>0.54903606785156023</v>
      </c>
      <c r="R36" s="26">
        <f t="shared" si="65"/>
        <v>0.53526719966337055</v>
      </c>
      <c r="S36" s="26">
        <f t="shared" si="65"/>
        <v>0.56135096794531936</v>
      </c>
      <c r="T36" s="26"/>
      <c r="U36" s="26"/>
      <c r="V36" s="26"/>
      <c r="W36" s="26"/>
      <c r="X36" s="34">
        <f t="shared" si="65"/>
        <v>0.55000000000000004</v>
      </c>
      <c r="Y36" s="34">
        <f t="shared" si="65"/>
        <v>0.54999999999999993</v>
      </c>
      <c r="Z36" s="34">
        <f t="shared" si="65"/>
        <v>0.54999999999999993</v>
      </c>
      <c r="AF36" s="25">
        <f t="shared" ref="AF36:AV36" si="66">AF15/AF12</f>
        <v>0.6107483219951213</v>
      </c>
      <c r="AG36" s="25">
        <f t="shared" si="66"/>
        <v>0.62442491565429592</v>
      </c>
      <c r="AH36" s="25">
        <f t="shared" si="66"/>
        <v>0.61075416518964909</v>
      </c>
      <c r="AI36" s="25">
        <f t="shared" si="66"/>
        <v>0.58880519597672631</v>
      </c>
      <c r="AJ36" s="25">
        <f t="shared" si="66"/>
        <v>0.5647607422945643</v>
      </c>
      <c r="AK36" s="25">
        <f t="shared" si="66"/>
        <v>0.5558054331910266</v>
      </c>
      <c r="AL36" s="25">
        <f t="shared" si="66"/>
        <v>0.53578374706207854</v>
      </c>
      <c r="AM36" s="25">
        <f t="shared" si="66"/>
        <v>0.5693980290098084</v>
      </c>
      <c r="AN36" s="25">
        <f t="shared" si="66"/>
        <v>0.55379442503783116</v>
      </c>
      <c r="AO36" s="25">
        <f t="shared" si="66"/>
        <v>0.56000000000000005</v>
      </c>
      <c r="AP36" s="26">
        <f t="shared" si="66"/>
        <v>0.56000000000000005</v>
      </c>
      <c r="AQ36" s="26">
        <f t="shared" si="66"/>
        <v>0.56000000000000005</v>
      </c>
      <c r="AR36" s="26">
        <f t="shared" si="66"/>
        <v>0.56000000000000005</v>
      </c>
      <c r="AS36" s="26">
        <f t="shared" si="66"/>
        <v>0.56000000000000005</v>
      </c>
      <c r="AT36" s="26">
        <f t="shared" si="66"/>
        <v>0.56000000000000005</v>
      </c>
      <c r="AU36" s="26">
        <f t="shared" si="66"/>
        <v>0.56000000000000005</v>
      </c>
      <c r="AV36" s="26">
        <f t="shared" si="66"/>
        <v>0.56000000000000005</v>
      </c>
    </row>
    <row r="37" spans="2:48" s="25" customFormat="1" x14ac:dyDescent="0.25">
      <c r="B37" s="25" t="s">
        <v>95</v>
      </c>
      <c r="C37" s="26"/>
      <c r="D37" s="26"/>
      <c r="E37" s="26"/>
      <c r="F37" s="26"/>
      <c r="G37" s="26">
        <f t="shared" ref="G37" si="67">+G25/G24</f>
        <v>0.11873146835116669</v>
      </c>
      <c r="H37" s="26">
        <f>+H25/H24</f>
        <v>0.15923643832306392</v>
      </c>
      <c r="I37" s="26">
        <f t="shared" ref="I37:Q37" si="68">+I25/I24</f>
        <v>0.15809566584325174</v>
      </c>
      <c r="J37" s="26">
        <f t="shared" si="68"/>
        <v>0.18524265610787094</v>
      </c>
      <c r="K37" s="26">
        <f t="shared" si="68"/>
        <v>0.15754357938260583</v>
      </c>
      <c r="L37" s="26">
        <f t="shared" si="68"/>
        <v>0.16</v>
      </c>
      <c r="M37" s="26">
        <f t="shared" si="68"/>
        <v>0.17898022892819979</v>
      </c>
      <c r="N37" s="26">
        <f t="shared" si="68"/>
        <v>0.15408573067781328</v>
      </c>
      <c r="O37" s="26">
        <f t="shared" si="68"/>
        <v>0.13193197422625963</v>
      </c>
      <c r="P37" s="26">
        <f t="shared" si="68"/>
        <v>0.15840959293152415</v>
      </c>
      <c r="Q37" s="26">
        <f t="shared" si="68"/>
        <v>0.14310355448777182</v>
      </c>
      <c r="R37" s="26">
        <f>+R25/R24</f>
        <v>0.20545868081880211</v>
      </c>
      <c r="S37" s="26">
        <f t="shared" ref="S37:Z37" si="69">+S25/S24</f>
        <v>0.17324910738808019</v>
      </c>
      <c r="T37" s="26"/>
      <c r="U37" s="26"/>
      <c r="V37" s="26"/>
      <c r="W37" s="26"/>
      <c r="X37" s="34">
        <f t="shared" si="69"/>
        <v>0.2</v>
      </c>
      <c r="Y37" s="34">
        <f t="shared" si="69"/>
        <v>0.2</v>
      </c>
      <c r="Z37" s="34">
        <f t="shared" si="69"/>
        <v>0.2</v>
      </c>
      <c r="AF37" s="26">
        <f t="shared" ref="AF37:AV37" si="70">+AF25/AF24</f>
        <v>0.21084651486181122</v>
      </c>
      <c r="AG37" s="26">
        <f t="shared" si="70"/>
        <v>0.16808304920869166</v>
      </c>
      <c r="AH37" s="26">
        <f t="shared" si="70"/>
        <v>0.19345864355384881</v>
      </c>
      <c r="AI37" s="26">
        <f t="shared" si="70"/>
        <v>0.4855188340489151</v>
      </c>
      <c r="AJ37" s="26">
        <f t="shared" si="70"/>
        <v>0.10446754012490313</v>
      </c>
      <c r="AK37" s="26">
        <f t="shared" si="70"/>
        <v>0.12782603567792256</v>
      </c>
      <c r="AL37" s="26">
        <f t="shared" si="70"/>
        <v>0.16249344269444663</v>
      </c>
      <c r="AM37" s="26">
        <f t="shared" si="70"/>
        <v>0.16202331474415038</v>
      </c>
      <c r="AN37" s="26">
        <f>+AN25/AN24</f>
        <v>0.15920872647188575</v>
      </c>
      <c r="AO37" s="26">
        <f t="shared" si="70"/>
        <v>0.18</v>
      </c>
      <c r="AP37" s="26">
        <f t="shared" si="70"/>
        <v>0.18</v>
      </c>
      <c r="AQ37" s="26">
        <f t="shared" si="70"/>
        <v>0.18</v>
      </c>
      <c r="AR37" s="26">
        <f t="shared" si="70"/>
        <v>0.18</v>
      </c>
      <c r="AS37" s="26">
        <f t="shared" si="70"/>
        <v>0.18</v>
      </c>
      <c r="AT37" s="26">
        <f t="shared" si="70"/>
        <v>0.18</v>
      </c>
      <c r="AU37" s="26">
        <f t="shared" si="70"/>
        <v>0.18</v>
      </c>
      <c r="AV37" s="26">
        <f t="shared" si="70"/>
        <v>0.18</v>
      </c>
    </row>
    <row r="38" spans="2:48" s="25" customFormat="1" x14ac:dyDescent="0.25">
      <c r="B38" s="25" t="s">
        <v>96</v>
      </c>
      <c r="C38" s="26"/>
      <c r="D38" s="26"/>
      <c r="E38" s="26"/>
      <c r="F38" s="26"/>
      <c r="G38" s="26">
        <f t="shared" ref="G38:Z38" si="71">G10/G12</f>
        <v>0.5953011492018756</v>
      </c>
      <c r="H38" s="26">
        <f t="shared" si="71"/>
        <v>0.55667545760764547</v>
      </c>
      <c r="I38" s="26">
        <f t="shared" si="71"/>
        <v>0.57041994239057459</v>
      </c>
      <c r="J38" s="26">
        <f t="shared" si="71"/>
        <v>0.56070512144539353</v>
      </c>
      <c r="K38" s="26">
        <f t="shared" si="71"/>
        <v>0.57632787359438842</v>
      </c>
      <c r="L38" s="26">
        <f t="shared" si="71"/>
        <v>0.57926632191338079</v>
      </c>
      <c r="M38" s="26">
        <f t="shared" si="71"/>
        <v>0.58241960748180222</v>
      </c>
      <c r="N38" s="26">
        <f t="shared" si="71"/>
        <v>0.5748556256223033</v>
      </c>
      <c r="O38" s="26">
        <f t="shared" si="71"/>
        <v>0.58252341532987306</v>
      </c>
      <c r="P38" s="26">
        <f t="shared" si="71"/>
        <v>0.58389897395422252</v>
      </c>
      <c r="Q38" s="26">
        <f t="shared" si="71"/>
        <v>0.57226596422161757</v>
      </c>
      <c r="R38" s="26">
        <f t="shared" si="71"/>
        <v>0.56022512097622557</v>
      </c>
      <c r="S38" s="26">
        <f t="shared" si="71"/>
        <v>0.57831687850172664</v>
      </c>
      <c r="T38" s="26"/>
      <c r="U38" s="26"/>
      <c r="V38" s="26"/>
      <c r="W38" s="26"/>
      <c r="X38" s="34">
        <f t="shared" si="71"/>
        <v>0.57738644265016814</v>
      </c>
      <c r="Y38" s="34">
        <f t="shared" si="71"/>
        <v>0.56177599653265986</v>
      </c>
      <c r="Z38" s="34">
        <f t="shared" si="71"/>
        <v>0.55000767065707956</v>
      </c>
      <c r="AL38" s="26">
        <f t="shared" ref="AL38:AV38" si="72">AL10/AL12</f>
        <v>0.57011839344316184</v>
      </c>
      <c r="AM38" s="26">
        <f t="shared" si="72"/>
        <v>0.57814289096674776</v>
      </c>
      <c r="AN38" s="26">
        <f t="shared" si="72"/>
        <v>0.57436111386103605</v>
      </c>
      <c r="AO38" s="26">
        <f t="shared" si="72"/>
        <v>0.57465427805581204</v>
      </c>
      <c r="AP38" s="26">
        <f t="shared" si="72"/>
        <v>0.56646189101990851</v>
      </c>
      <c r="AQ38" s="26">
        <f t="shared" si="72"/>
        <v>0.56058785008742684</v>
      </c>
      <c r="AR38" s="26">
        <f t="shared" si="72"/>
        <v>0.55165420445857594</v>
      </c>
      <c r="AS38" s="26">
        <f t="shared" si="72"/>
        <v>0.53952607606889824</v>
      </c>
      <c r="AT38" s="26">
        <f t="shared" si="72"/>
        <v>0.53518023811646842</v>
      </c>
      <c r="AU38" s="26">
        <f t="shared" si="72"/>
        <v>0.52949611745013003</v>
      </c>
      <c r="AV38" s="26">
        <f t="shared" si="72"/>
        <v>0.52249526870684604</v>
      </c>
    </row>
    <row r="39" spans="2:48" s="25" customFormat="1" x14ac:dyDescent="0.25">
      <c r="B39" s="25" t="s">
        <v>97</v>
      </c>
      <c r="C39" s="26"/>
      <c r="D39" s="26"/>
      <c r="E39" s="26"/>
      <c r="F39" s="26"/>
      <c r="G39" s="26">
        <f t="shared" ref="G39:Z39" si="73">(G10+G9+G8)/G12</f>
        <v>0.82030661580699238</v>
      </c>
      <c r="H39" s="26">
        <f t="shared" si="73"/>
        <v>0.7798783194506097</v>
      </c>
      <c r="I39" s="26">
        <f t="shared" si="73"/>
        <v>0.80339159248911707</v>
      </c>
      <c r="J39" s="26">
        <f t="shared" si="73"/>
        <v>0.81196175612499566</v>
      </c>
      <c r="K39" s="26">
        <f t="shared" si="73"/>
        <v>0.80782442058068482</v>
      </c>
      <c r="L39" s="26">
        <f t="shared" si="73"/>
        <v>0.81519069166127989</v>
      </c>
      <c r="M39" s="26">
        <f t="shared" si="73"/>
        <v>0.81590343683774069</v>
      </c>
      <c r="N39" s="26">
        <f t="shared" si="73"/>
        <v>0.81299701294390969</v>
      </c>
      <c r="O39" s="26">
        <f t="shared" si="73"/>
        <v>0.80370822366970052</v>
      </c>
      <c r="P39" s="26">
        <f t="shared" si="73"/>
        <v>0.80774915692042759</v>
      </c>
      <c r="Q39" s="26">
        <f t="shared" si="73"/>
        <v>0.78854281248190816</v>
      </c>
      <c r="R39" s="26">
        <f t="shared" si="73"/>
        <v>0.77637807700399752</v>
      </c>
      <c r="S39" s="26">
        <f t="shared" si="73"/>
        <v>0.78163554816799685</v>
      </c>
      <c r="T39" s="26"/>
      <c r="U39" s="26"/>
      <c r="V39" s="26"/>
      <c r="W39" s="26"/>
      <c r="X39" s="34">
        <f t="shared" si="73"/>
        <v>0.79014365614554927</v>
      </c>
      <c r="Y39" s="34">
        <f t="shared" si="73"/>
        <v>0.77408836447791729</v>
      </c>
      <c r="Z39" s="34">
        <f t="shared" si="73"/>
        <v>0.76221840416240938</v>
      </c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</row>
    <row r="40" spans="2:48" x14ac:dyDescent="0.25"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35"/>
      <c r="Y40" s="35"/>
      <c r="Z40" s="35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</row>
    <row r="41" spans="2:48" x14ac:dyDescent="0.25">
      <c r="B41" s="3" t="s">
        <v>98</v>
      </c>
      <c r="C41" s="13"/>
      <c r="D41" s="13"/>
      <c r="E41" s="13"/>
      <c r="F41" s="13"/>
      <c r="G41" s="13">
        <f>+G42-G60</f>
        <v>124580</v>
      </c>
      <c r="H41" s="13"/>
      <c r="I41" s="13"/>
      <c r="J41" s="13"/>
      <c r="K41" s="13"/>
      <c r="L41" s="13"/>
      <c r="M41" s="13"/>
      <c r="N41" s="13">
        <f t="shared" ref="N41:O41" si="74">+N42-N60</f>
        <v>154381</v>
      </c>
      <c r="O41" s="13">
        <f t="shared" si="74"/>
        <v>149723</v>
      </c>
      <c r="P41" s="13">
        <f>+P42-P60</f>
        <v>140928</v>
      </c>
      <c r="Q41" s="13">
        <f>+Q42-Q60</f>
        <v>132025</v>
      </c>
      <c r="R41" s="13">
        <f>+R42-R60</f>
        <v>129553</v>
      </c>
      <c r="S41" s="13"/>
      <c r="T41" s="13"/>
      <c r="U41" s="13"/>
      <c r="V41" s="13"/>
      <c r="W41" s="13"/>
      <c r="X41" s="35"/>
      <c r="Y41" s="35"/>
      <c r="Z41" s="35"/>
      <c r="AA41" s="14"/>
      <c r="AB41" s="14"/>
      <c r="AC41" s="14"/>
      <c r="AD41" s="14"/>
      <c r="AE41" s="14"/>
      <c r="AF41" s="14"/>
      <c r="AG41" s="14"/>
      <c r="AH41" s="14">
        <v>72053</v>
      </c>
      <c r="AI41" s="14"/>
      <c r="AJ41" s="14"/>
      <c r="AK41" s="14"/>
      <c r="AL41" s="14"/>
      <c r="AM41" s="14"/>
      <c r="AN41" s="14">
        <f>+R41</f>
        <v>129553</v>
      </c>
      <c r="AO41" s="14">
        <f>+AN41+AO26</f>
        <v>201924.144096</v>
      </c>
      <c r="AP41" s="14">
        <f t="shared" ref="AP41:AV41" si="75">+AO41+AP26</f>
        <v>287325.19327336003</v>
      </c>
      <c r="AQ41" s="14">
        <f t="shared" si="75"/>
        <v>386800.13744162966</v>
      </c>
      <c r="AR41" s="14">
        <f t="shared" si="75"/>
        <v>503259.67208203929</v>
      </c>
      <c r="AS41" s="14">
        <f t="shared" si="75"/>
        <v>640336.80334997654</v>
      </c>
      <c r="AT41" s="14">
        <f t="shared" si="75"/>
        <v>797390.58796028385</v>
      </c>
      <c r="AU41" s="14">
        <f t="shared" si="75"/>
        <v>977559.55724887538</v>
      </c>
      <c r="AV41" s="14">
        <f t="shared" si="75"/>
        <v>1184510.435936779</v>
      </c>
    </row>
    <row r="42" spans="2:48" x14ac:dyDescent="0.25">
      <c r="B42" s="3" t="s">
        <v>7</v>
      </c>
      <c r="C42" s="13"/>
      <c r="D42" s="13"/>
      <c r="E42" s="13"/>
      <c r="F42" s="13"/>
      <c r="G42" s="13">
        <f>117229+12367</f>
        <v>129596</v>
      </c>
      <c r="H42" s="13"/>
      <c r="I42" s="13"/>
      <c r="J42" s="13"/>
      <c r="K42" s="13"/>
      <c r="L42" s="13"/>
      <c r="M42" s="13"/>
      <c r="N42" s="13">
        <f>20945+118704+29549</f>
        <v>169198</v>
      </c>
      <c r="O42" s="13">
        <f>20886+113084+30544</f>
        <v>164514</v>
      </c>
      <c r="P42" s="13">
        <f>124997+30665</f>
        <v>155662</v>
      </c>
      <c r="Q42" s="13">
        <f>21984+94275+30419</f>
        <v>146678</v>
      </c>
      <c r="R42" s="13">
        <f>113762+30492</f>
        <v>144254</v>
      </c>
      <c r="S42" s="13"/>
      <c r="T42" s="13"/>
      <c r="U42" s="13"/>
      <c r="V42" s="13"/>
      <c r="W42" s="13"/>
      <c r="X42" s="35"/>
      <c r="Y42" s="35"/>
      <c r="Z42" s="35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>
        <f>R42</f>
        <v>144254</v>
      </c>
      <c r="AO42" s="14">
        <f>110916+31008</f>
        <v>141924</v>
      </c>
      <c r="AP42" s="14"/>
      <c r="AQ42" s="14"/>
      <c r="AR42" s="14"/>
      <c r="AS42" s="14"/>
      <c r="AT42" s="14"/>
      <c r="AU42" s="14"/>
      <c r="AV42" s="14"/>
    </row>
    <row r="43" spans="2:48" x14ac:dyDescent="0.25">
      <c r="B43" s="3" t="s">
        <v>99</v>
      </c>
      <c r="C43" s="13"/>
      <c r="D43" s="13"/>
      <c r="E43" s="13"/>
      <c r="F43" s="13"/>
      <c r="G43" s="13">
        <v>21825</v>
      </c>
      <c r="H43" s="13"/>
      <c r="I43" s="13"/>
      <c r="J43" s="13"/>
      <c r="K43" s="13"/>
      <c r="L43" s="13"/>
      <c r="M43" s="13"/>
      <c r="N43" s="13">
        <v>39304</v>
      </c>
      <c r="O43" s="13">
        <v>34703</v>
      </c>
      <c r="P43" s="13">
        <v>35707</v>
      </c>
      <c r="Q43" s="13">
        <v>34697</v>
      </c>
      <c r="R43" s="13">
        <v>40258</v>
      </c>
      <c r="S43" s="13"/>
      <c r="T43" s="13"/>
      <c r="U43" s="13"/>
      <c r="V43" s="13"/>
      <c r="W43" s="13"/>
      <c r="X43" s="35"/>
      <c r="Y43" s="35"/>
      <c r="Z43" s="35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>
        <v>40258</v>
      </c>
      <c r="AO43" s="14">
        <v>47964</v>
      </c>
      <c r="AP43" s="14"/>
      <c r="AQ43" s="14"/>
      <c r="AR43" s="14"/>
      <c r="AS43" s="14"/>
      <c r="AT43" s="14"/>
      <c r="AU43" s="14"/>
      <c r="AV43" s="14"/>
    </row>
    <row r="44" spans="2:48" x14ac:dyDescent="0.25">
      <c r="B44" s="3" t="s">
        <v>85</v>
      </c>
      <c r="C44" s="13"/>
      <c r="D44" s="13"/>
      <c r="E44" s="13"/>
      <c r="F44" s="13"/>
      <c r="G44" s="13">
        <v>1910</v>
      </c>
      <c r="H44" s="13"/>
      <c r="I44" s="13"/>
      <c r="J44" s="13"/>
      <c r="K44" s="13"/>
      <c r="L44" s="13"/>
      <c r="M44" s="13"/>
      <c r="N44" s="13">
        <v>966</v>
      </c>
      <c r="O44" s="13">
        <v>919</v>
      </c>
      <c r="P44" s="13">
        <v>1366</v>
      </c>
      <c r="Q44" s="13">
        <v>1479</v>
      </c>
      <c r="R44" s="13">
        <v>0</v>
      </c>
      <c r="S44" s="13"/>
      <c r="T44" s="13"/>
      <c r="U44" s="13"/>
      <c r="V44" s="13"/>
      <c r="W44" s="13"/>
      <c r="X44" s="35"/>
      <c r="Y44" s="35"/>
      <c r="Z44" s="35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</row>
    <row r="45" spans="2:48" x14ac:dyDescent="0.25">
      <c r="B45" s="3" t="s">
        <v>100</v>
      </c>
      <c r="C45" s="13"/>
      <c r="D45" s="13"/>
      <c r="E45" s="13"/>
      <c r="F45" s="13"/>
      <c r="G45" s="13">
        <v>889</v>
      </c>
      <c r="H45" s="13"/>
      <c r="I45" s="13"/>
      <c r="J45" s="13"/>
      <c r="K45" s="13"/>
      <c r="L45" s="13"/>
      <c r="M45" s="13"/>
      <c r="N45" s="13">
        <v>1170</v>
      </c>
      <c r="O45" s="13">
        <v>1369</v>
      </c>
      <c r="P45" s="13">
        <v>1980</v>
      </c>
      <c r="Q45" s="13">
        <v>3156</v>
      </c>
      <c r="R45" s="13">
        <v>2670</v>
      </c>
      <c r="S45" s="13"/>
      <c r="T45" s="13"/>
      <c r="U45" s="13"/>
      <c r="V45" s="13"/>
      <c r="W45" s="13"/>
      <c r="X45" s="35"/>
      <c r="Y45" s="35"/>
      <c r="Z45" s="35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</row>
    <row r="46" spans="2:48" x14ac:dyDescent="0.25">
      <c r="B46" s="3" t="s">
        <v>101</v>
      </c>
      <c r="C46" s="13"/>
      <c r="D46" s="13"/>
      <c r="E46" s="13"/>
      <c r="F46" s="13"/>
      <c r="G46" s="13">
        <v>5165</v>
      </c>
      <c r="H46" s="13"/>
      <c r="I46" s="13"/>
      <c r="J46" s="13"/>
      <c r="K46" s="13"/>
      <c r="L46" s="13"/>
      <c r="M46" s="13"/>
      <c r="N46" s="13">
        <v>7054</v>
      </c>
      <c r="O46" s="13">
        <v>6892</v>
      </c>
      <c r="P46" s="13">
        <v>8321</v>
      </c>
      <c r="Q46" s="13">
        <v>10518</v>
      </c>
      <c r="R46" s="13">
        <v>8105</v>
      </c>
      <c r="S46" s="13"/>
      <c r="T46" s="13"/>
      <c r="U46" s="13"/>
      <c r="V46" s="13"/>
      <c r="W46" s="13"/>
      <c r="X46" s="35"/>
      <c r="Y46" s="35"/>
      <c r="Z46" s="35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</row>
    <row r="47" spans="2:48" x14ac:dyDescent="0.25">
      <c r="B47" s="3" t="s">
        <v>102</v>
      </c>
      <c r="C47" s="13"/>
      <c r="D47" s="13"/>
      <c r="E47" s="13"/>
      <c r="F47" s="13"/>
      <c r="G47" s="13">
        <v>730</v>
      </c>
      <c r="H47" s="13"/>
      <c r="I47" s="13"/>
      <c r="J47" s="13"/>
      <c r="K47" s="13"/>
      <c r="L47" s="13"/>
      <c r="M47" s="13"/>
      <c r="N47" s="13">
        <v>1284</v>
      </c>
      <c r="O47" s="13">
        <v>1388</v>
      </c>
      <c r="P47" s="13">
        <v>1490</v>
      </c>
      <c r="Q47" s="13">
        <v>2991</v>
      </c>
      <c r="R47" s="13">
        <v>5261</v>
      </c>
      <c r="S47" s="13"/>
      <c r="T47" s="13"/>
      <c r="U47" s="13"/>
      <c r="V47" s="13"/>
      <c r="W47" s="13"/>
      <c r="X47" s="35"/>
      <c r="Y47" s="35"/>
      <c r="Z47" s="35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</row>
    <row r="48" spans="2:48" x14ac:dyDescent="0.25">
      <c r="B48" s="3" t="s">
        <v>103</v>
      </c>
      <c r="C48" s="13"/>
      <c r="D48" s="13"/>
      <c r="E48" s="13"/>
      <c r="F48" s="13"/>
      <c r="G48" s="13">
        <v>76747</v>
      </c>
      <c r="H48" s="13"/>
      <c r="I48" s="13"/>
      <c r="J48" s="13"/>
      <c r="K48" s="13"/>
      <c r="L48" s="13"/>
      <c r="M48" s="13"/>
      <c r="N48" s="13">
        <v>97599</v>
      </c>
      <c r="O48" s="13">
        <v>104218</v>
      </c>
      <c r="P48" s="13">
        <v>106223</v>
      </c>
      <c r="Q48" s="13">
        <v>108363</v>
      </c>
      <c r="R48" s="13">
        <v>112668</v>
      </c>
      <c r="S48" s="13"/>
      <c r="T48" s="13"/>
      <c r="U48" s="13"/>
      <c r="V48" s="13"/>
      <c r="W48" s="13"/>
      <c r="X48" s="35"/>
      <c r="Y48" s="35"/>
      <c r="Z48" s="35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</row>
    <row r="49" spans="2:48" x14ac:dyDescent="0.25">
      <c r="B49" s="3" t="s">
        <v>104</v>
      </c>
      <c r="C49" s="13"/>
      <c r="D49" s="13"/>
      <c r="E49" s="13"/>
      <c r="F49" s="13"/>
      <c r="G49" s="13">
        <v>11219</v>
      </c>
      <c r="H49" s="13"/>
      <c r="I49" s="13"/>
      <c r="J49" s="13"/>
      <c r="K49" s="13"/>
      <c r="L49" s="13"/>
      <c r="M49" s="13"/>
      <c r="N49" s="13">
        <v>12959</v>
      </c>
      <c r="O49" s="13">
        <v>12992</v>
      </c>
      <c r="P49" s="13">
        <v>13398</v>
      </c>
      <c r="Q49" s="13">
        <v>13677</v>
      </c>
      <c r="R49" s="13">
        <v>14381</v>
      </c>
      <c r="S49" s="13"/>
      <c r="T49" s="13"/>
      <c r="U49" s="13"/>
      <c r="V49" s="13"/>
      <c r="W49" s="13"/>
      <c r="X49" s="35"/>
      <c r="Y49" s="35"/>
      <c r="Z49" s="35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</row>
    <row r="50" spans="2:48" x14ac:dyDescent="0.25">
      <c r="B50" s="3" t="s">
        <v>105</v>
      </c>
      <c r="C50" s="13"/>
      <c r="D50" s="13"/>
      <c r="E50" s="13"/>
      <c r="F50" s="13"/>
      <c r="G50" s="13">
        <f>1840+20734</f>
        <v>22574</v>
      </c>
      <c r="H50" s="13"/>
      <c r="I50" s="13"/>
      <c r="J50" s="13"/>
      <c r="K50" s="13"/>
      <c r="L50" s="13"/>
      <c r="M50" s="13"/>
      <c r="N50" s="13">
        <f>1417+22956</f>
        <v>24373</v>
      </c>
      <c r="O50" s="13">
        <f>1313+23010</f>
        <v>24323</v>
      </c>
      <c r="P50" s="13">
        <f>1377+23949</f>
        <v>25326</v>
      </c>
      <c r="Q50" s="13">
        <f>28834+2192</f>
        <v>31026</v>
      </c>
      <c r="R50" s="13">
        <f>2084+28960</f>
        <v>31044</v>
      </c>
      <c r="S50" s="13"/>
      <c r="T50" s="13"/>
      <c r="U50" s="13"/>
      <c r="V50" s="13"/>
      <c r="W50" s="13"/>
      <c r="X50" s="35"/>
      <c r="Y50" s="35"/>
      <c r="Z50" s="35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</row>
    <row r="51" spans="2:48" x14ac:dyDescent="0.25">
      <c r="B51" s="3" t="s">
        <v>106</v>
      </c>
      <c r="C51" s="13"/>
      <c r="D51" s="13"/>
      <c r="E51" s="13"/>
      <c r="F51" s="13"/>
      <c r="G51" s="13">
        <v>2748</v>
      </c>
      <c r="H51" s="13"/>
      <c r="I51" s="13"/>
      <c r="J51" s="13"/>
      <c r="K51" s="13"/>
      <c r="L51" s="13"/>
      <c r="M51" s="13"/>
      <c r="N51" s="13">
        <v>5361</v>
      </c>
      <c r="O51" s="13">
        <v>5778</v>
      </c>
      <c r="P51" s="13">
        <v>5712</v>
      </c>
      <c r="Q51" s="13">
        <v>5670</v>
      </c>
      <c r="R51" s="13">
        <v>6623</v>
      </c>
      <c r="S51" s="13"/>
      <c r="T51" s="13"/>
      <c r="U51" s="13"/>
      <c r="V51" s="13"/>
      <c r="W51" s="13"/>
      <c r="X51" s="35"/>
      <c r="Y51" s="35"/>
      <c r="Z51" s="35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</row>
    <row r="52" spans="2:48" x14ac:dyDescent="0.25">
      <c r="B52" s="3" t="s">
        <v>107</v>
      </c>
      <c r="C52" s="13"/>
      <c r="D52" s="13"/>
      <c r="E52" s="13"/>
      <c r="F52" s="13"/>
      <c r="G52" s="13">
        <f>SUM(G42:G51)</f>
        <v>273403</v>
      </c>
      <c r="H52" s="13"/>
      <c r="I52" s="13"/>
      <c r="J52" s="13"/>
      <c r="K52" s="13"/>
      <c r="L52" s="13"/>
      <c r="M52" s="13"/>
      <c r="N52" s="13">
        <f>SUM(N42:N51)</f>
        <v>359268</v>
      </c>
      <c r="O52" s="13">
        <f>SUM(O42:O51)</f>
        <v>357096</v>
      </c>
      <c r="P52" s="13">
        <f>SUM(P42:P51)</f>
        <v>355185</v>
      </c>
      <c r="Q52" s="13">
        <f>SUM(Q42:Q51)</f>
        <v>358255</v>
      </c>
      <c r="R52" s="13">
        <f>SUM(R42:R51)</f>
        <v>365264</v>
      </c>
      <c r="S52" s="13"/>
      <c r="T52" s="13"/>
      <c r="U52" s="13"/>
      <c r="V52" s="13"/>
      <c r="W52" s="13"/>
      <c r="X52" s="35"/>
      <c r="Y52" s="35"/>
      <c r="Z52" s="35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</row>
    <row r="53" spans="2:48" x14ac:dyDescent="0.25">
      <c r="B53" s="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35"/>
      <c r="Y53" s="35"/>
      <c r="Z53" s="35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</row>
    <row r="54" spans="2:48" x14ac:dyDescent="0.25">
      <c r="B54" s="3" t="s">
        <v>108</v>
      </c>
      <c r="C54" s="13"/>
      <c r="D54" s="13"/>
      <c r="E54" s="13"/>
      <c r="F54" s="13"/>
      <c r="G54" s="13">
        <v>4099</v>
      </c>
      <c r="H54" s="13"/>
      <c r="I54" s="13"/>
      <c r="J54" s="13"/>
      <c r="K54" s="13"/>
      <c r="L54" s="13"/>
      <c r="M54" s="13"/>
      <c r="N54" s="13">
        <v>6037</v>
      </c>
      <c r="O54" s="13">
        <v>3436</v>
      </c>
      <c r="P54" s="13">
        <v>4409</v>
      </c>
      <c r="Q54" s="13">
        <v>6303</v>
      </c>
      <c r="R54" s="13">
        <v>5128</v>
      </c>
      <c r="S54" s="13"/>
      <c r="T54" s="13"/>
      <c r="U54" s="13"/>
      <c r="V54" s="13"/>
      <c r="W54" s="13"/>
      <c r="X54" s="35"/>
      <c r="Y54" s="35"/>
      <c r="Z54" s="35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</row>
    <row r="55" spans="2:48" x14ac:dyDescent="0.25">
      <c r="B55" s="3" t="s">
        <v>109</v>
      </c>
      <c r="C55" s="13"/>
      <c r="D55" s="13"/>
      <c r="E55" s="13"/>
      <c r="F55" s="13"/>
      <c r="G55" s="13">
        <v>5656</v>
      </c>
      <c r="H55" s="13"/>
      <c r="I55" s="13"/>
      <c r="J55" s="13"/>
      <c r="K55" s="13"/>
      <c r="L55" s="13"/>
      <c r="M55" s="13"/>
      <c r="N55" s="13">
        <v>13889</v>
      </c>
      <c r="O55" s="13">
        <v>9803</v>
      </c>
      <c r="P55" s="13">
        <v>10852</v>
      </c>
      <c r="Q55" s="13">
        <v>12366</v>
      </c>
      <c r="R55" s="13">
        <v>14028</v>
      </c>
      <c r="S55" s="13"/>
      <c r="T55" s="13"/>
      <c r="U55" s="13"/>
      <c r="V55" s="13"/>
      <c r="W55" s="13"/>
      <c r="X55" s="35"/>
      <c r="Y55" s="35"/>
      <c r="Z55" s="35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</row>
    <row r="56" spans="2:48" x14ac:dyDescent="0.25">
      <c r="B56" s="3" t="s">
        <v>110</v>
      </c>
      <c r="C56" s="13"/>
      <c r="D56" s="13"/>
      <c r="E56" s="13"/>
      <c r="F56" s="13"/>
      <c r="G56" s="13">
        <v>22601</v>
      </c>
      <c r="H56" s="13"/>
      <c r="I56" s="13"/>
      <c r="J56" s="13"/>
      <c r="K56" s="13"/>
      <c r="L56" s="13"/>
      <c r="M56" s="13"/>
      <c r="N56" s="13">
        <v>31236</v>
      </c>
      <c r="O56" s="13">
        <v>33051</v>
      </c>
      <c r="P56" s="13">
        <v>32976</v>
      </c>
      <c r="Q56" s="13">
        <v>35038</v>
      </c>
      <c r="R56" s="13">
        <v>37866</v>
      </c>
      <c r="S56" s="13"/>
      <c r="T56" s="13"/>
      <c r="U56" s="13"/>
      <c r="V56" s="13"/>
      <c r="W56" s="13"/>
      <c r="X56" s="35"/>
      <c r="Y56" s="35"/>
      <c r="Z56" s="35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</row>
    <row r="57" spans="2:48" x14ac:dyDescent="0.25">
      <c r="B57" s="3" t="s">
        <v>111</v>
      </c>
      <c r="C57" s="13"/>
      <c r="D57" s="13"/>
      <c r="E57" s="13"/>
      <c r="F57" s="13"/>
      <c r="G57" s="13">
        <v>4982</v>
      </c>
      <c r="H57" s="13"/>
      <c r="I57" s="13"/>
      <c r="J57" s="13"/>
      <c r="K57" s="13"/>
      <c r="L57" s="13"/>
      <c r="M57" s="13"/>
      <c r="N57" s="13">
        <v>8996</v>
      </c>
      <c r="O57" s="13">
        <v>8116</v>
      </c>
      <c r="P57" s="13">
        <v>7889</v>
      </c>
      <c r="Q57" s="13">
        <v>7662</v>
      </c>
      <c r="R57" s="13">
        <v>8370</v>
      </c>
      <c r="S57" s="13"/>
      <c r="T57" s="13"/>
      <c r="U57" s="13"/>
      <c r="V57" s="13"/>
      <c r="W57" s="13"/>
      <c r="X57" s="35"/>
      <c r="Y57" s="35"/>
      <c r="Z57" s="35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</row>
    <row r="58" spans="2:48" x14ac:dyDescent="0.25">
      <c r="B58" s="3" t="s">
        <v>112</v>
      </c>
      <c r="C58" s="13"/>
      <c r="D58" s="13"/>
      <c r="E58" s="13"/>
      <c r="F58" s="13"/>
      <c r="G58" s="13">
        <f>1938+350</f>
        <v>2288</v>
      </c>
      <c r="H58" s="13"/>
      <c r="I58" s="13"/>
      <c r="J58" s="13"/>
      <c r="K58" s="13"/>
      <c r="L58" s="13"/>
      <c r="M58" s="13"/>
      <c r="N58" s="13">
        <f>3288+535</f>
        <v>3823</v>
      </c>
      <c r="O58" s="13">
        <f>3198+499</f>
        <v>3697</v>
      </c>
      <c r="P58" s="13">
        <f>3272+472</f>
        <v>3744</v>
      </c>
      <c r="Q58" s="13">
        <f>3585+594</f>
        <v>4179</v>
      </c>
      <c r="R58" s="13">
        <f>3908+599</f>
        <v>4507</v>
      </c>
      <c r="S58" s="13"/>
      <c r="T58" s="13"/>
      <c r="U58" s="13"/>
      <c r="V58" s="13"/>
      <c r="W58" s="13"/>
      <c r="X58" s="35"/>
      <c r="Y58" s="35"/>
      <c r="Z58" s="35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</row>
    <row r="59" spans="2:48" x14ac:dyDescent="0.25">
      <c r="B59" s="3" t="s">
        <v>85</v>
      </c>
      <c r="C59" s="13"/>
      <c r="D59" s="13"/>
      <c r="E59" s="13"/>
      <c r="F59" s="13"/>
      <c r="G59" s="13">
        <f>9207+913+2079</f>
        <v>12199</v>
      </c>
      <c r="H59" s="13"/>
      <c r="I59" s="13"/>
      <c r="J59" s="13"/>
      <c r="K59" s="13"/>
      <c r="L59" s="13"/>
      <c r="M59" s="13"/>
      <c r="N59" s="13">
        <f>808+9176+5257</f>
        <v>15241</v>
      </c>
      <c r="O59" s="13">
        <f>4344+9406+2843</f>
        <v>16593</v>
      </c>
      <c r="P59" s="13">
        <f>1956+8163+924</f>
        <v>11043</v>
      </c>
      <c r="Q59" s="13">
        <f>1025+8572+476</f>
        <v>10073</v>
      </c>
      <c r="R59" s="13">
        <f>9258+514</f>
        <v>9772</v>
      </c>
      <c r="S59" s="13"/>
      <c r="T59" s="13"/>
      <c r="U59" s="13"/>
      <c r="V59" s="13"/>
      <c r="W59" s="13"/>
      <c r="X59" s="35"/>
      <c r="Y59" s="35"/>
      <c r="Z59" s="35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</row>
    <row r="60" spans="2:48" x14ac:dyDescent="0.25">
      <c r="B60" s="3" t="s">
        <v>9</v>
      </c>
      <c r="C60" s="13"/>
      <c r="D60" s="13"/>
      <c r="E60" s="13"/>
      <c r="F60" s="13"/>
      <c r="G60" s="13">
        <v>5016</v>
      </c>
      <c r="H60" s="13"/>
      <c r="I60" s="13"/>
      <c r="J60" s="13"/>
      <c r="K60" s="13"/>
      <c r="L60" s="13"/>
      <c r="M60" s="13"/>
      <c r="N60" s="13">
        <v>14817</v>
      </c>
      <c r="O60" s="13">
        <v>14791</v>
      </c>
      <c r="P60" s="13">
        <v>14734</v>
      </c>
      <c r="Q60" s="13">
        <v>14653</v>
      </c>
      <c r="R60" s="13">
        <v>14701</v>
      </c>
      <c r="S60" s="13"/>
      <c r="T60" s="13"/>
      <c r="U60" s="13"/>
      <c r="V60" s="13"/>
      <c r="W60" s="13"/>
      <c r="X60" s="35"/>
      <c r="Y60" s="35"/>
      <c r="Z60" s="35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</row>
    <row r="61" spans="2:48" x14ac:dyDescent="0.25">
      <c r="B61" s="3" t="s">
        <v>104</v>
      </c>
      <c r="C61" s="13"/>
      <c r="D61" s="13"/>
      <c r="E61" s="13"/>
      <c r="F61" s="13"/>
      <c r="G61" s="13">
        <v>10476</v>
      </c>
      <c r="H61" s="13"/>
      <c r="I61" s="13"/>
      <c r="J61" s="13"/>
      <c r="K61" s="13"/>
      <c r="L61" s="13"/>
      <c r="M61" s="13"/>
      <c r="N61" s="13">
        <v>11389</v>
      </c>
      <c r="O61" s="13">
        <v>11363</v>
      </c>
      <c r="P61" s="13">
        <v>11697</v>
      </c>
      <c r="Q61" s="13">
        <v>11984</v>
      </c>
      <c r="R61" s="13">
        <v>12501</v>
      </c>
      <c r="S61" s="13"/>
      <c r="T61" s="13"/>
      <c r="U61" s="13"/>
      <c r="V61" s="13"/>
      <c r="W61" s="13"/>
      <c r="X61" s="35"/>
      <c r="Y61" s="35"/>
      <c r="Z61" s="35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</row>
    <row r="62" spans="2:48" x14ac:dyDescent="0.25">
      <c r="B62" s="3" t="s">
        <v>113</v>
      </c>
      <c r="C62" s="13"/>
      <c r="D62" s="13"/>
      <c r="E62" s="13"/>
      <c r="F62" s="13"/>
      <c r="G62" s="13">
        <v>2427</v>
      </c>
      <c r="H62" s="13"/>
      <c r="I62" s="13"/>
      <c r="J62" s="13"/>
      <c r="K62" s="13"/>
      <c r="L62" s="13"/>
      <c r="M62" s="13"/>
      <c r="N62" s="13">
        <v>2205</v>
      </c>
      <c r="O62" s="13">
        <v>2242</v>
      </c>
      <c r="P62" s="13">
        <v>2422</v>
      </c>
      <c r="Q62" s="13">
        <v>2371</v>
      </c>
      <c r="R62" s="13">
        <v>2247</v>
      </c>
      <c r="S62" s="13"/>
      <c r="T62" s="13"/>
      <c r="U62" s="13"/>
      <c r="V62" s="13"/>
      <c r="W62" s="13"/>
      <c r="X62" s="35"/>
      <c r="Y62" s="35"/>
      <c r="Z62" s="35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</row>
    <row r="63" spans="2:48" x14ac:dyDescent="0.25">
      <c r="B63" s="3" t="s">
        <v>114</v>
      </c>
      <c r="C63" s="13"/>
      <c r="D63" s="13"/>
      <c r="E63" s="13"/>
      <c r="F63" s="13"/>
      <c r="G63" s="13">
        <v>203659</v>
      </c>
      <c r="H63" s="13"/>
      <c r="I63" s="13"/>
      <c r="J63" s="13"/>
      <c r="K63" s="13"/>
      <c r="L63" s="13"/>
      <c r="M63" s="13"/>
      <c r="N63" s="13">
        <v>251635</v>
      </c>
      <c r="O63" s="13">
        <v>254004</v>
      </c>
      <c r="P63" s="13">
        <v>255419</v>
      </c>
      <c r="Q63" s="13">
        <v>253626</v>
      </c>
      <c r="R63" s="13">
        <v>256144</v>
      </c>
      <c r="S63" s="13"/>
      <c r="T63" s="13"/>
      <c r="U63" s="13"/>
      <c r="V63" s="13"/>
      <c r="W63" s="13"/>
      <c r="X63" s="35"/>
      <c r="Y63" s="35"/>
      <c r="Z63" s="35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</row>
    <row r="64" spans="2:48" x14ac:dyDescent="0.25">
      <c r="B64" s="3" t="s">
        <v>115</v>
      </c>
      <c r="C64" s="13"/>
      <c r="D64" s="13"/>
      <c r="E64" s="13"/>
      <c r="F64" s="13"/>
      <c r="G64" s="13">
        <f>SUM(G54:G63)</f>
        <v>273403</v>
      </c>
      <c r="H64" s="13"/>
      <c r="I64" s="13"/>
      <c r="J64" s="13"/>
      <c r="K64" s="13"/>
      <c r="L64" s="13"/>
      <c r="M64" s="13"/>
      <c r="N64" s="13">
        <f>SUM(N54:N63)</f>
        <v>359268</v>
      </c>
      <c r="O64" s="13">
        <f>SUM(O54:O63)</f>
        <v>357096</v>
      </c>
      <c r="P64" s="13">
        <f>SUM(P54:P63)</f>
        <v>355185</v>
      </c>
      <c r="Q64" s="13">
        <f>SUM(Q54:Q63)</f>
        <v>358255</v>
      </c>
      <c r="R64" s="13">
        <f>SUM(R54:R63)</f>
        <v>365264</v>
      </c>
      <c r="S64" s="13"/>
      <c r="T64" s="13"/>
      <c r="U64" s="13"/>
      <c r="V64" s="13"/>
      <c r="W64" s="13"/>
      <c r="X64" s="35"/>
      <c r="Y64" s="35"/>
      <c r="Z64" s="35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</row>
    <row r="65" spans="2:48" x14ac:dyDescent="0.25"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35"/>
      <c r="Y65" s="35"/>
      <c r="Z65" s="35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</row>
    <row r="66" spans="2:48" x14ac:dyDescent="0.25">
      <c r="B66" s="3" t="s">
        <v>116</v>
      </c>
      <c r="C66" s="13">
        <f>+C26</f>
        <v>8354</v>
      </c>
      <c r="D66" s="13"/>
      <c r="E66" s="13"/>
      <c r="F66" s="13"/>
      <c r="G66" s="13">
        <f>+G26</f>
        <v>6836</v>
      </c>
      <c r="H66" s="13">
        <f t="shared" ref="H66:R66" si="76">+H26</f>
        <v>6959</v>
      </c>
      <c r="I66" s="13">
        <f t="shared" si="76"/>
        <v>11247</v>
      </c>
      <c r="J66" s="13">
        <f t="shared" si="76"/>
        <v>15227</v>
      </c>
      <c r="K66" s="13">
        <f t="shared" si="76"/>
        <v>17930</v>
      </c>
      <c r="L66" s="13">
        <f t="shared" si="76"/>
        <v>18165</v>
      </c>
      <c r="M66" s="13">
        <f t="shared" si="76"/>
        <v>18936</v>
      </c>
      <c r="N66" s="13">
        <f t="shared" si="76"/>
        <v>20642</v>
      </c>
      <c r="O66" s="13">
        <f t="shared" si="76"/>
        <v>16436</v>
      </c>
      <c r="P66" s="13">
        <f t="shared" si="76"/>
        <v>16002</v>
      </c>
      <c r="Q66" s="13">
        <f t="shared" si="76"/>
        <v>13910</v>
      </c>
      <c r="R66" s="13">
        <f t="shared" si="76"/>
        <v>13624</v>
      </c>
      <c r="S66" s="13"/>
      <c r="T66" s="13"/>
      <c r="U66" s="13"/>
      <c r="V66" s="13"/>
      <c r="W66" s="13"/>
      <c r="X66" s="35"/>
      <c r="Y66" s="35"/>
      <c r="Z66" s="35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</row>
    <row r="67" spans="2:48" x14ac:dyDescent="0.25">
      <c r="B67" s="3" t="s">
        <v>117</v>
      </c>
      <c r="C67" s="13">
        <v>6657</v>
      </c>
      <c r="D67" s="13"/>
      <c r="E67" s="13"/>
      <c r="F67" s="13"/>
      <c r="G67" s="13">
        <v>6836</v>
      </c>
      <c r="H67" s="13"/>
      <c r="I67" s="13"/>
      <c r="J67" s="13"/>
      <c r="K67" s="13">
        <v>17930</v>
      </c>
      <c r="L67" s="13"/>
      <c r="M67" s="13"/>
      <c r="N67" s="13"/>
      <c r="O67" s="13">
        <v>16436</v>
      </c>
      <c r="P67" s="13">
        <v>16002</v>
      </c>
      <c r="Q67" s="13">
        <v>13910</v>
      </c>
      <c r="R67" s="13">
        <v>13624</v>
      </c>
      <c r="S67" s="13"/>
      <c r="T67" s="13"/>
      <c r="U67" s="13"/>
      <c r="V67" s="13"/>
      <c r="W67" s="13"/>
      <c r="X67" s="35"/>
      <c r="Y67" s="35"/>
      <c r="Z67" s="35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</row>
    <row r="68" spans="2:48" x14ac:dyDescent="0.25">
      <c r="B68" s="3" t="s">
        <v>118</v>
      </c>
      <c r="C68" s="13">
        <v>2416</v>
      </c>
      <c r="D68" s="13"/>
      <c r="E68" s="13"/>
      <c r="F68" s="13"/>
      <c r="G68" s="13">
        <v>2899</v>
      </c>
      <c r="H68" s="13"/>
      <c r="I68" s="13"/>
      <c r="J68" s="13"/>
      <c r="K68" s="13">
        <v>2525</v>
      </c>
      <c r="L68" s="13"/>
      <c r="M68" s="13"/>
      <c r="N68" s="13"/>
      <c r="O68" s="13">
        <v>3591</v>
      </c>
      <c r="P68" s="13">
        <v>3698</v>
      </c>
      <c r="Q68" s="13">
        <v>3933</v>
      </c>
      <c r="R68" s="13">
        <v>4065</v>
      </c>
      <c r="S68" s="13"/>
      <c r="T68" s="13"/>
      <c r="U68" s="13"/>
      <c r="V68" s="13"/>
      <c r="W68" s="13"/>
      <c r="X68" s="35"/>
      <c r="Y68" s="35"/>
      <c r="Z68" s="35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</row>
    <row r="69" spans="2:48" x14ac:dyDescent="0.25">
      <c r="B69" s="3" t="s">
        <v>119</v>
      </c>
      <c r="C69" s="13">
        <v>197</v>
      </c>
      <c r="D69" s="13"/>
      <c r="E69" s="13"/>
      <c r="F69" s="13"/>
      <c r="G69" s="13">
        <v>209</v>
      </c>
      <c r="H69" s="13"/>
      <c r="I69" s="13"/>
      <c r="J69" s="13"/>
      <c r="K69" s="13">
        <v>228</v>
      </c>
      <c r="L69" s="13"/>
      <c r="M69" s="13"/>
      <c r="N69" s="13"/>
      <c r="O69" s="13">
        <v>191</v>
      </c>
      <c r="P69" s="13">
        <v>201</v>
      </c>
      <c r="Q69" s="13">
        <v>113</v>
      </c>
      <c r="R69" s="13">
        <v>136</v>
      </c>
      <c r="S69" s="13"/>
      <c r="T69" s="13"/>
      <c r="U69" s="13"/>
      <c r="V69" s="13"/>
      <c r="W69" s="13"/>
      <c r="X69" s="35"/>
      <c r="Y69" s="35"/>
      <c r="Z69" s="35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</row>
    <row r="70" spans="2:48" x14ac:dyDescent="0.25">
      <c r="B70" s="3" t="s">
        <v>120</v>
      </c>
      <c r="C70" s="13">
        <v>2769</v>
      </c>
      <c r="D70" s="13"/>
      <c r="E70" s="13"/>
      <c r="F70" s="13"/>
      <c r="G70" s="13">
        <v>3191</v>
      </c>
      <c r="H70" s="13"/>
      <c r="I70" s="13"/>
      <c r="J70" s="13"/>
      <c r="K70" s="13">
        <v>3745</v>
      </c>
      <c r="L70" s="13"/>
      <c r="M70" s="13"/>
      <c r="N70" s="13"/>
      <c r="O70" s="13">
        <v>4504</v>
      </c>
      <c r="P70" s="13">
        <v>4782</v>
      </c>
      <c r="Q70" s="13">
        <v>4976</v>
      </c>
      <c r="R70" s="13">
        <v>5100</v>
      </c>
      <c r="S70" s="13"/>
      <c r="T70" s="13"/>
      <c r="U70" s="13"/>
      <c r="V70" s="13"/>
      <c r="W70" s="13"/>
      <c r="X70" s="35"/>
      <c r="Y70" s="35"/>
      <c r="Z70" s="35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</row>
    <row r="71" spans="2:48" x14ac:dyDescent="0.25">
      <c r="B71" s="3" t="s">
        <v>102</v>
      </c>
      <c r="C71" s="13">
        <v>-73</v>
      </c>
      <c r="D71" s="13"/>
      <c r="E71" s="13"/>
      <c r="F71" s="13"/>
      <c r="G71" s="13">
        <v>175</v>
      </c>
      <c r="H71" s="13"/>
      <c r="I71" s="13"/>
      <c r="J71" s="13"/>
      <c r="K71" s="13">
        <v>1100</v>
      </c>
      <c r="L71" s="13"/>
      <c r="M71" s="13"/>
      <c r="N71" s="13"/>
      <c r="O71" s="13">
        <v>-2090</v>
      </c>
      <c r="P71" s="13">
        <v>-2147</v>
      </c>
      <c r="Q71" s="13">
        <v>-1920</v>
      </c>
      <c r="R71" s="13">
        <v>-1924</v>
      </c>
      <c r="S71" s="13"/>
      <c r="T71" s="13"/>
      <c r="U71" s="13"/>
      <c r="V71" s="13"/>
      <c r="W71" s="13"/>
      <c r="X71" s="35"/>
      <c r="Y71" s="35"/>
      <c r="Z71" s="35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</row>
    <row r="72" spans="2:48" x14ac:dyDescent="0.25">
      <c r="B72" s="3" t="s">
        <v>121</v>
      </c>
      <c r="C72" s="13">
        <v>-1081</v>
      </c>
      <c r="D72" s="13"/>
      <c r="E72" s="13"/>
      <c r="F72" s="13"/>
      <c r="G72" s="13">
        <v>802</v>
      </c>
      <c r="H72" s="13"/>
      <c r="I72" s="13"/>
      <c r="J72" s="13"/>
      <c r="K72" s="13">
        <v>-4751</v>
      </c>
      <c r="L72" s="13"/>
      <c r="M72" s="13"/>
      <c r="N72" s="13"/>
      <c r="O72" s="13">
        <v>1437</v>
      </c>
      <c r="P72" s="13">
        <v>1041</v>
      </c>
      <c r="Q72" s="13">
        <v>1378</v>
      </c>
      <c r="R72" s="13">
        <v>1663</v>
      </c>
      <c r="S72" s="13"/>
      <c r="T72" s="13"/>
      <c r="U72" s="13"/>
      <c r="V72" s="13"/>
      <c r="W72" s="13"/>
      <c r="X72" s="35"/>
      <c r="Y72" s="35"/>
      <c r="Z72" s="35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</row>
    <row r="73" spans="2:48" x14ac:dyDescent="0.25">
      <c r="B73" s="3" t="s">
        <v>70</v>
      </c>
      <c r="C73" s="13">
        <v>22</v>
      </c>
      <c r="D73" s="13"/>
      <c r="E73" s="13"/>
      <c r="F73" s="13"/>
      <c r="G73" s="13">
        <v>297</v>
      </c>
      <c r="H73" s="13"/>
      <c r="I73" s="13"/>
      <c r="J73" s="13"/>
      <c r="K73" s="13">
        <v>-255</v>
      </c>
      <c r="L73" s="13"/>
      <c r="M73" s="13"/>
      <c r="N73" s="13"/>
      <c r="O73" s="13">
        <v>140</v>
      </c>
      <c r="P73" s="13">
        <v>62</v>
      </c>
      <c r="Q73" s="13">
        <v>167</v>
      </c>
      <c r="R73" s="13">
        <v>661</v>
      </c>
      <c r="S73" s="13"/>
      <c r="T73" s="13"/>
      <c r="U73" s="13"/>
      <c r="V73" s="13"/>
      <c r="W73" s="13"/>
      <c r="X73" s="35"/>
      <c r="Y73" s="35"/>
      <c r="Z73" s="35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</row>
    <row r="74" spans="2:48" x14ac:dyDescent="0.25">
      <c r="B74" s="3" t="s">
        <v>122</v>
      </c>
      <c r="C74" s="13">
        <f>1172+1068-265-425-229-147-81</f>
        <v>1093</v>
      </c>
      <c r="D74" s="13"/>
      <c r="E74" s="13"/>
      <c r="F74" s="13"/>
      <c r="G74" s="13">
        <f>2602-245-115-835-3531-871+37</f>
        <v>-2958</v>
      </c>
      <c r="H74" s="13"/>
      <c r="I74" s="13"/>
      <c r="J74" s="13"/>
      <c r="K74" s="13">
        <f>2794+785+7-982-3530-444+137</f>
        <v>-1233</v>
      </c>
      <c r="L74" s="13"/>
      <c r="M74" s="13"/>
      <c r="N74" s="13"/>
      <c r="O74" s="13">
        <f>4364+3820-776-2373-3216-828-94</f>
        <v>897</v>
      </c>
      <c r="P74" s="13">
        <f>-1969-4073-845+1201+1497-114+86</f>
        <v>-4217</v>
      </c>
      <c r="Q74" s="13">
        <f>-97-609-2647+1907+2210-80+112</f>
        <v>796</v>
      </c>
      <c r="R74" s="13">
        <f>-4615+1446-778-28+3424+577+263</f>
        <v>289</v>
      </c>
      <c r="S74" s="13"/>
      <c r="T74" s="13"/>
      <c r="U74" s="13"/>
      <c r="V74" s="13"/>
      <c r="W74" s="13"/>
      <c r="X74" s="35"/>
      <c r="Y74" s="35"/>
      <c r="Z74" s="35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</row>
    <row r="75" spans="2:48" x14ac:dyDescent="0.25">
      <c r="B75" s="3" t="s">
        <v>123</v>
      </c>
      <c r="C75" s="13">
        <f>SUM(C67:C74)</f>
        <v>12000</v>
      </c>
      <c r="D75" s="13"/>
      <c r="E75" s="13"/>
      <c r="F75" s="13"/>
      <c r="G75" s="13">
        <f>SUM(G67:G74)</f>
        <v>11451</v>
      </c>
      <c r="H75" s="13"/>
      <c r="I75" s="13"/>
      <c r="J75" s="13">
        <v>22677</v>
      </c>
      <c r="K75" s="13">
        <f>SUM(K67:K74)</f>
        <v>19289</v>
      </c>
      <c r="L75" s="13"/>
      <c r="M75" s="13">
        <v>25539</v>
      </c>
      <c r="N75" s="13">
        <f>SUM(N67:N74)</f>
        <v>0</v>
      </c>
      <c r="O75" s="13">
        <f>SUM(O67:O74)</f>
        <v>25106</v>
      </c>
      <c r="P75" s="13">
        <f>SUM(P67:P74)</f>
        <v>19422</v>
      </c>
      <c r="Q75" s="13">
        <f>SUM(Q67:Q74)</f>
        <v>23353</v>
      </c>
      <c r="R75" s="13">
        <f>SUM(R67:R74)</f>
        <v>23614</v>
      </c>
      <c r="S75" s="13">
        <v>23509</v>
      </c>
      <c r="T75" s="13"/>
      <c r="U75" s="13"/>
      <c r="V75" s="13"/>
      <c r="W75" s="13"/>
      <c r="X75" s="35"/>
      <c r="Y75" s="35"/>
      <c r="Z75" s="35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</row>
    <row r="76" spans="2:48" x14ac:dyDescent="0.25">
      <c r="B76" s="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35"/>
      <c r="Y76" s="35"/>
      <c r="Z76" s="35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</row>
    <row r="77" spans="2:48" x14ac:dyDescent="0.25">
      <c r="B77" s="3" t="s">
        <v>124</v>
      </c>
      <c r="C77" s="13">
        <v>-4638</v>
      </c>
      <c r="D77" s="13"/>
      <c r="E77" s="13"/>
      <c r="F77" s="13"/>
      <c r="G77" s="13">
        <v>-6005</v>
      </c>
      <c r="H77" s="13"/>
      <c r="I77" s="13"/>
      <c r="J77" s="13">
        <v>-5479</v>
      </c>
      <c r="K77" s="13">
        <v>-5942</v>
      </c>
      <c r="L77" s="13">
        <v>-5496</v>
      </c>
      <c r="M77" s="13">
        <v>-6819</v>
      </c>
      <c r="N77" s="13">
        <v>-6383</v>
      </c>
      <c r="O77" s="13">
        <v>-9786</v>
      </c>
      <c r="P77" s="13">
        <v>-6828</v>
      </c>
      <c r="Q77" s="13">
        <v>-7276</v>
      </c>
      <c r="R77" s="13">
        <v>-7595</v>
      </c>
      <c r="S77" s="13">
        <v>-6289</v>
      </c>
      <c r="T77" s="13"/>
      <c r="U77" s="13"/>
      <c r="V77" s="13"/>
      <c r="W77" s="13"/>
      <c r="X77" s="35"/>
      <c r="Y77" s="35"/>
      <c r="Z77" s="35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</row>
    <row r="78" spans="2:48" x14ac:dyDescent="0.25">
      <c r="B78" s="3" t="s">
        <v>125</v>
      </c>
      <c r="C78" s="13">
        <f>-20883+21006-907+99</f>
        <v>-685</v>
      </c>
      <c r="D78" s="13"/>
      <c r="E78" s="13"/>
      <c r="F78" s="13"/>
      <c r="G78" s="13">
        <f>-37563+41811-572+260</f>
        <v>3936</v>
      </c>
      <c r="H78" s="13"/>
      <c r="I78" s="13"/>
      <c r="J78" s="13"/>
      <c r="K78" s="13"/>
      <c r="L78" s="13"/>
      <c r="M78" s="13"/>
      <c r="N78" s="13"/>
      <c r="O78" s="13">
        <f>-28462+29779-776+12</f>
        <v>553</v>
      </c>
      <c r="P78" s="13">
        <f>-21737+25595-488+113</f>
        <v>3483</v>
      </c>
      <c r="Q78" s="13"/>
      <c r="R78" s="13">
        <f>-11621+13735-903+19</f>
        <v>1230</v>
      </c>
      <c r="S78" s="13"/>
      <c r="T78" s="13"/>
      <c r="U78" s="13"/>
      <c r="V78" s="13"/>
      <c r="W78" s="13"/>
      <c r="X78" s="35"/>
      <c r="Y78" s="35"/>
      <c r="Z78" s="35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</row>
    <row r="79" spans="2:48" x14ac:dyDescent="0.25">
      <c r="B79" s="3" t="s">
        <v>126</v>
      </c>
      <c r="C79" s="13">
        <v>-99</v>
      </c>
      <c r="D79" s="13"/>
      <c r="E79" s="13"/>
      <c r="F79" s="13"/>
      <c r="G79" s="13">
        <v>-190</v>
      </c>
      <c r="H79" s="13"/>
      <c r="I79" s="13"/>
      <c r="J79" s="13"/>
      <c r="K79" s="13"/>
      <c r="L79" s="13"/>
      <c r="M79" s="13"/>
      <c r="N79" s="13"/>
      <c r="O79" s="13">
        <v>-173</v>
      </c>
      <c r="P79" s="13">
        <v>-1063</v>
      </c>
      <c r="Q79" s="13"/>
      <c r="R79" s="13">
        <v>-84</v>
      </c>
      <c r="S79" s="13"/>
      <c r="T79" s="13"/>
      <c r="U79" s="13"/>
      <c r="V79" s="13"/>
      <c r="W79" s="13"/>
      <c r="X79" s="35"/>
      <c r="Y79" s="35"/>
      <c r="Z79" s="35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</row>
    <row r="80" spans="2:48" x14ac:dyDescent="0.25">
      <c r="B80" s="3" t="s">
        <v>70</v>
      </c>
      <c r="C80" s="13">
        <v>34</v>
      </c>
      <c r="D80" s="13"/>
      <c r="E80" s="13"/>
      <c r="F80" s="13"/>
      <c r="G80" s="13">
        <v>412</v>
      </c>
      <c r="H80" s="13"/>
      <c r="I80" s="13"/>
      <c r="J80" s="13"/>
      <c r="K80" s="13"/>
      <c r="L80" s="13"/>
      <c r="M80" s="13"/>
      <c r="N80" s="13"/>
      <c r="O80" s="13">
        <v>355</v>
      </c>
      <c r="P80" s="13">
        <v>221</v>
      </c>
      <c r="Q80" s="13"/>
      <c r="R80" s="13">
        <v>222</v>
      </c>
      <c r="S80" s="13"/>
      <c r="T80" s="13"/>
      <c r="U80" s="13"/>
      <c r="V80" s="13"/>
      <c r="W80" s="13"/>
      <c r="X80" s="35"/>
      <c r="Y80" s="35"/>
      <c r="Z80" s="35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</row>
    <row r="81" spans="2:48" x14ac:dyDescent="0.25">
      <c r="B81" s="3" t="s">
        <v>127</v>
      </c>
      <c r="C81" s="13">
        <f>SUM(C77:C80)</f>
        <v>-5388</v>
      </c>
      <c r="D81" s="13"/>
      <c r="E81" s="13"/>
      <c r="F81" s="13"/>
      <c r="G81" s="13">
        <f>SUM(G77:G80)</f>
        <v>-1847</v>
      </c>
      <c r="H81" s="13"/>
      <c r="I81" s="13"/>
      <c r="J81" s="13"/>
      <c r="K81" s="13"/>
      <c r="L81" s="13"/>
      <c r="M81" s="13"/>
      <c r="N81" s="13"/>
      <c r="O81" s="13">
        <f>SUM(O77:O80)</f>
        <v>-9051</v>
      </c>
      <c r="P81" s="13">
        <f>SUM(P77:P80)</f>
        <v>-4187</v>
      </c>
      <c r="Q81" s="13"/>
      <c r="R81" s="13">
        <f>SUM(R77:R80)</f>
        <v>-6227</v>
      </c>
      <c r="S81" s="13"/>
      <c r="T81" s="13"/>
      <c r="U81" s="13"/>
      <c r="V81" s="13"/>
      <c r="W81" s="13"/>
      <c r="X81" s="35"/>
      <c r="Y81" s="35"/>
      <c r="Z81" s="35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</row>
    <row r="82" spans="2:48" x14ac:dyDescent="0.25">
      <c r="B82" s="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35"/>
      <c r="Y82" s="35"/>
      <c r="Z82" s="35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</row>
    <row r="83" spans="2:48" x14ac:dyDescent="0.25">
      <c r="B83" s="3" t="s">
        <v>120</v>
      </c>
      <c r="C83" s="13">
        <v>-1175</v>
      </c>
      <c r="D83" s="13"/>
      <c r="E83" s="13"/>
      <c r="F83" s="13"/>
      <c r="G83" s="13">
        <v>-1241</v>
      </c>
      <c r="H83" s="13"/>
      <c r="I83" s="13"/>
      <c r="J83" s="13"/>
      <c r="K83" s="13"/>
      <c r="L83" s="13"/>
      <c r="M83" s="13"/>
      <c r="N83" s="13"/>
      <c r="O83" s="13">
        <v>-2916</v>
      </c>
      <c r="P83" s="13">
        <v>-2264</v>
      </c>
      <c r="Q83" s="13"/>
      <c r="R83" s="13">
        <v>-2079</v>
      </c>
      <c r="S83" s="13"/>
      <c r="T83" s="13"/>
      <c r="U83" s="13"/>
      <c r="V83" s="13"/>
      <c r="W83" s="13"/>
      <c r="X83" s="35"/>
      <c r="Y83" s="35"/>
      <c r="Z83" s="35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</row>
    <row r="84" spans="2:48" x14ac:dyDescent="0.25">
      <c r="B84" s="3" t="s">
        <v>128</v>
      </c>
      <c r="C84" s="13">
        <v>-3025</v>
      </c>
      <c r="D84" s="13"/>
      <c r="E84" s="13"/>
      <c r="F84" s="13"/>
      <c r="G84" s="13">
        <v>-8496</v>
      </c>
      <c r="H84" s="13"/>
      <c r="I84" s="13"/>
      <c r="J84" s="13"/>
      <c r="K84" s="13"/>
      <c r="L84" s="13"/>
      <c r="M84" s="13"/>
      <c r="N84" s="13"/>
      <c r="O84" s="13">
        <v>-13300</v>
      </c>
      <c r="P84" s="13">
        <v>-15197</v>
      </c>
      <c r="Q84" s="13"/>
      <c r="R84" s="13">
        <v>-15407</v>
      </c>
      <c r="S84" s="13"/>
      <c r="T84" s="13"/>
      <c r="U84" s="13"/>
      <c r="V84" s="13"/>
      <c r="W84" s="13"/>
      <c r="X84" s="35"/>
      <c r="Y84" s="35"/>
      <c r="Z84" s="35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</row>
    <row r="85" spans="2:48" x14ac:dyDescent="0.25">
      <c r="B85" s="3" t="s">
        <v>129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35"/>
      <c r="Y85" s="35"/>
      <c r="Z85" s="35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</row>
    <row r="86" spans="2:48" x14ac:dyDescent="0.25">
      <c r="B86" s="3" t="s">
        <v>9</v>
      </c>
      <c r="C86" s="13">
        <f>315-345</f>
        <v>-30</v>
      </c>
      <c r="D86" s="13"/>
      <c r="E86" s="13"/>
      <c r="F86" s="13"/>
      <c r="G86" s="13">
        <f>1898-1947</f>
        <v>-49</v>
      </c>
      <c r="H86" s="13"/>
      <c r="I86" s="13"/>
      <c r="J86" s="13"/>
      <c r="K86" s="13"/>
      <c r="L86" s="13"/>
      <c r="M86" s="13"/>
      <c r="N86" s="13"/>
      <c r="O86" s="13">
        <f>16422-16420</f>
        <v>2</v>
      </c>
      <c r="P86" s="13">
        <f>12806-13162</f>
        <v>-356</v>
      </c>
      <c r="Q86" s="13"/>
      <c r="R86" s="13">
        <f>8550-8718</f>
        <v>-168</v>
      </c>
      <c r="S86" s="13"/>
      <c r="T86" s="13"/>
      <c r="U86" s="13"/>
      <c r="V86" s="13"/>
      <c r="W86" s="13"/>
      <c r="X86" s="35"/>
      <c r="Y86" s="35"/>
      <c r="Z86" s="35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</row>
    <row r="87" spans="2:48" x14ac:dyDescent="0.25">
      <c r="B87" s="3" t="s">
        <v>130</v>
      </c>
      <c r="C87" s="13">
        <v>47</v>
      </c>
      <c r="D87" s="13"/>
      <c r="E87" s="13"/>
      <c r="F87" s="13"/>
      <c r="G87" s="13">
        <v>1600</v>
      </c>
      <c r="H87" s="13"/>
      <c r="I87" s="13"/>
      <c r="J87" s="13"/>
      <c r="K87" s="13"/>
      <c r="L87" s="13"/>
      <c r="M87" s="13"/>
      <c r="N87" s="13"/>
      <c r="O87" s="13">
        <v>0</v>
      </c>
      <c r="P87" s="13">
        <v>0</v>
      </c>
      <c r="Q87" s="13"/>
      <c r="R87" s="13">
        <v>25</v>
      </c>
      <c r="S87" s="13"/>
      <c r="T87" s="13"/>
      <c r="U87" s="13"/>
      <c r="V87" s="13"/>
      <c r="W87" s="13"/>
      <c r="X87" s="35"/>
      <c r="Y87" s="35"/>
      <c r="Z87" s="35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</row>
    <row r="88" spans="2:48" x14ac:dyDescent="0.25">
      <c r="B88" s="3" t="s">
        <v>131</v>
      </c>
      <c r="C88" s="13">
        <f>SUM(C83:C87)</f>
        <v>-4183</v>
      </c>
      <c r="D88" s="13"/>
      <c r="E88" s="13"/>
      <c r="F88" s="13"/>
      <c r="G88" s="13">
        <f>SUM(G83:G87)</f>
        <v>-8186</v>
      </c>
      <c r="H88" s="13"/>
      <c r="I88" s="13"/>
      <c r="J88" s="13"/>
      <c r="K88" s="13"/>
      <c r="L88" s="13"/>
      <c r="M88" s="13"/>
      <c r="N88" s="13"/>
      <c r="O88" s="13">
        <f>SUM(O83:O87)</f>
        <v>-16214</v>
      </c>
      <c r="P88" s="13">
        <f>SUM(P83:P87)</f>
        <v>-17817</v>
      </c>
      <c r="Q88" s="13"/>
      <c r="R88" s="13">
        <f>SUM(R83:R87)</f>
        <v>-17629</v>
      </c>
      <c r="S88" s="13"/>
      <c r="T88" s="13"/>
      <c r="U88" s="13"/>
      <c r="V88" s="13"/>
      <c r="W88" s="13"/>
      <c r="X88" s="35"/>
      <c r="Y88" s="35"/>
      <c r="Z88" s="35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</row>
    <row r="89" spans="2:48" x14ac:dyDescent="0.25">
      <c r="B89" s="3" t="s">
        <v>69</v>
      </c>
      <c r="C89" s="13">
        <v>18</v>
      </c>
      <c r="D89" s="13"/>
      <c r="E89" s="13"/>
      <c r="F89" s="13"/>
      <c r="G89" s="13">
        <v>-272</v>
      </c>
      <c r="H89" s="13"/>
      <c r="I89" s="13"/>
      <c r="J89" s="13"/>
      <c r="K89" s="13"/>
      <c r="L89" s="13"/>
      <c r="M89" s="13"/>
      <c r="N89" s="13"/>
      <c r="O89" s="13">
        <v>100</v>
      </c>
      <c r="P89" s="13">
        <v>-368</v>
      </c>
      <c r="Q89" s="13"/>
      <c r="R89" s="13">
        <v>137</v>
      </c>
      <c r="S89" s="13"/>
      <c r="T89" s="13"/>
      <c r="U89" s="13"/>
      <c r="V89" s="13"/>
      <c r="W89" s="13"/>
      <c r="X89" s="35"/>
      <c r="Y89" s="35"/>
      <c r="Z89" s="35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</row>
    <row r="90" spans="2:48" x14ac:dyDescent="0.25">
      <c r="B90" s="3" t="s">
        <v>132</v>
      </c>
      <c r="C90" s="13">
        <f>+C89+C88+C81+C75</f>
        <v>2447</v>
      </c>
      <c r="D90" s="13"/>
      <c r="E90" s="13"/>
      <c r="F90" s="13"/>
      <c r="G90" s="13">
        <f>+G89+G88+G81+G75</f>
        <v>1146</v>
      </c>
      <c r="H90" s="13"/>
      <c r="I90" s="13"/>
      <c r="J90" s="13"/>
      <c r="K90" s="13"/>
      <c r="L90" s="13"/>
      <c r="M90" s="13"/>
      <c r="N90" s="13"/>
      <c r="O90" s="13">
        <f>+O89+O88+O81+O75</f>
        <v>-59</v>
      </c>
      <c r="P90" s="13">
        <f>+P89+P88+P81+P75</f>
        <v>-2950</v>
      </c>
      <c r="Q90" s="13"/>
      <c r="R90" s="13">
        <f>+R89+R88+R81+R75</f>
        <v>-105</v>
      </c>
      <c r="S90" s="13"/>
      <c r="T90" s="13"/>
      <c r="U90" s="13"/>
      <c r="V90" s="13"/>
      <c r="W90" s="13"/>
      <c r="X90" s="35"/>
      <c r="Y90" s="35"/>
      <c r="Z90" s="35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</row>
    <row r="91" spans="2:48" x14ac:dyDescent="0.25">
      <c r="B91" s="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35"/>
      <c r="Y91" s="35"/>
      <c r="Z91" s="35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</row>
    <row r="92" spans="2:48" x14ac:dyDescent="0.25">
      <c r="B92" s="3" t="s">
        <v>133</v>
      </c>
      <c r="C92" s="13"/>
      <c r="D92" s="13"/>
      <c r="E92" s="13"/>
      <c r="F92" s="13"/>
      <c r="G92" s="13"/>
      <c r="H92" s="13"/>
      <c r="I92" s="13"/>
      <c r="J92" s="13">
        <f>J75-J77</f>
        <v>28156</v>
      </c>
      <c r="K92" s="13">
        <f>K75-K77</f>
        <v>25231</v>
      </c>
      <c r="L92" s="13"/>
      <c r="M92" s="13">
        <f>M75-M77</f>
        <v>32358</v>
      </c>
      <c r="N92" s="13">
        <f>N75-N77</f>
        <v>6383</v>
      </c>
      <c r="O92" s="13">
        <f>O75+O77</f>
        <v>15320</v>
      </c>
      <c r="P92" s="13">
        <f>P75+P77</f>
        <v>12594</v>
      </c>
      <c r="Q92" s="13">
        <f>Q75+Q77</f>
        <v>16077</v>
      </c>
      <c r="R92" s="13">
        <f>R75+R77</f>
        <v>16019</v>
      </c>
      <c r="S92" s="13">
        <f>S75+S77</f>
        <v>17220</v>
      </c>
      <c r="T92" s="13"/>
      <c r="U92" s="13"/>
      <c r="V92" s="13"/>
      <c r="W92" s="13"/>
      <c r="X92" s="35"/>
      <c r="Y92" s="35"/>
      <c r="Z92" s="35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</row>
    <row r="93" spans="2:48" x14ac:dyDescent="0.25"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35"/>
      <c r="Y93" s="35"/>
      <c r="Z93" s="35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</row>
    <row r="94" spans="2:48" x14ac:dyDescent="0.25"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35"/>
      <c r="Y94" s="35"/>
      <c r="Z94" s="35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</row>
    <row r="95" spans="2:48" x14ac:dyDescent="0.25">
      <c r="B95" s="3" t="s">
        <v>134</v>
      </c>
      <c r="C95" s="13">
        <v>103459</v>
      </c>
      <c r="D95" s="13"/>
      <c r="E95" s="13"/>
      <c r="F95" s="13"/>
      <c r="G95" s="13">
        <v>123048</v>
      </c>
      <c r="H95" s="13"/>
      <c r="I95" s="13"/>
      <c r="J95" s="13"/>
      <c r="K95" s="13">
        <v>139995</v>
      </c>
      <c r="L95" s="13">
        <v>144056</v>
      </c>
      <c r="M95" s="13">
        <v>150028</v>
      </c>
      <c r="N95" s="13">
        <v>156500</v>
      </c>
      <c r="O95" s="13">
        <v>163906</v>
      </c>
      <c r="P95" s="13">
        <v>174014</v>
      </c>
      <c r="Q95" s="13">
        <v>186779</v>
      </c>
      <c r="R95" s="13">
        <v>190234</v>
      </c>
      <c r="S95" s="13">
        <v>190711</v>
      </c>
      <c r="T95" s="13"/>
      <c r="U95" s="13"/>
      <c r="V95" s="13"/>
      <c r="W95" s="13"/>
      <c r="X95" s="35"/>
      <c r="Y95" s="35"/>
      <c r="Z95" s="35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</row>
    <row r="96" spans="2:48" x14ac:dyDescent="0.25">
      <c r="B96" s="3" t="s">
        <v>135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>
        <f>+O95/K95-1</f>
        <v>0.17079895710561099</v>
      </c>
      <c r="P96" s="13">
        <f>+P95/L95-1</f>
        <v>0.20796079302493475</v>
      </c>
      <c r="Q96" s="13">
        <f>+Q95/M95-1</f>
        <v>0.24496094062441687</v>
      </c>
      <c r="R96" s="13">
        <f>+R95/N95-1</f>
        <v>0.21555271565495215</v>
      </c>
      <c r="S96" s="13">
        <f>+S95/O95-1</f>
        <v>0.16353885763791443</v>
      </c>
      <c r="T96" s="13"/>
      <c r="U96" s="13"/>
      <c r="V96" s="13"/>
      <c r="W96" s="13"/>
      <c r="X96" s="35"/>
      <c r="Y96" s="35"/>
      <c r="Z96" s="35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</row>
    <row r="97" spans="2:48" x14ac:dyDescent="0.25">
      <c r="B97" s="3" t="s">
        <v>136</v>
      </c>
      <c r="C97" s="13"/>
      <c r="D97" s="13"/>
      <c r="E97" s="13"/>
      <c r="F97" s="13"/>
      <c r="G97" s="13">
        <f>+G12/G95*1000</f>
        <v>334.49548143813797</v>
      </c>
      <c r="H97" s="13"/>
      <c r="I97" s="13"/>
      <c r="J97" s="13"/>
      <c r="K97" s="13">
        <f t="shared" ref="K97:S97" si="77">+K12/K95*1000</f>
        <v>395.11411121825779</v>
      </c>
      <c r="L97" s="13">
        <f t="shared" si="77"/>
        <v>429.55517298828232</v>
      </c>
      <c r="M97" s="13">
        <f t="shared" si="77"/>
        <v>434.03897939051376</v>
      </c>
      <c r="N97" s="13">
        <f t="shared" si="77"/>
        <v>481.30990415335464</v>
      </c>
      <c r="O97" s="13">
        <f t="shared" si="77"/>
        <v>414.93905043134475</v>
      </c>
      <c r="P97" s="13">
        <f t="shared" si="77"/>
        <v>400.45628512648409</v>
      </c>
      <c r="Q97" s="13">
        <f t="shared" si="77"/>
        <v>369.91310586307884</v>
      </c>
      <c r="R97" s="13">
        <f t="shared" si="77"/>
        <v>399.76029521536634</v>
      </c>
      <c r="S97" s="13">
        <f t="shared" si="77"/>
        <v>365.93064899245451</v>
      </c>
      <c r="T97" s="13"/>
      <c r="U97" s="13"/>
      <c r="V97" s="13"/>
      <c r="W97" s="13"/>
      <c r="X97" s="35"/>
      <c r="Y97" s="35"/>
      <c r="Z97" s="35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</row>
    <row r="98" spans="2:48" x14ac:dyDescent="0.25"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35"/>
      <c r="Y98" s="35"/>
      <c r="Z98" s="35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</row>
    <row r="99" spans="2:48" x14ac:dyDescent="0.25"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35"/>
      <c r="Y99" s="35"/>
      <c r="Z99" s="35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</row>
    <row r="100" spans="2:48" x14ac:dyDescent="0.25">
      <c r="B100" s="3" t="s">
        <v>137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35"/>
      <c r="Y100" s="35"/>
      <c r="Z100" s="35"/>
      <c r="AA100" s="14"/>
      <c r="AB100" s="14"/>
      <c r="AC100" s="14"/>
      <c r="AD100" s="14"/>
      <c r="AE100" s="14"/>
      <c r="AF100" s="14"/>
      <c r="AG100" s="14">
        <v>37.94</v>
      </c>
      <c r="AH100" s="14">
        <v>38.590000000000003</v>
      </c>
      <c r="AI100" s="14">
        <v>52.32</v>
      </c>
      <c r="AJ100" s="14">
        <v>51.78</v>
      </c>
      <c r="AK100" s="14">
        <v>66.849999999999994</v>
      </c>
      <c r="AL100" s="14">
        <v>87.59</v>
      </c>
      <c r="AM100" s="14">
        <v>144.68</v>
      </c>
      <c r="AN100" s="14">
        <v>88.73</v>
      </c>
      <c r="AO100" s="14"/>
      <c r="AP100" s="14"/>
      <c r="AQ100" s="14"/>
      <c r="AR100" s="14"/>
      <c r="AS100" s="14"/>
      <c r="AT100" s="14"/>
      <c r="AU100" s="14"/>
      <c r="AV100" s="14"/>
    </row>
    <row r="101" spans="2:48" x14ac:dyDescent="0.25"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35"/>
      <c r="Y101" s="35"/>
      <c r="Z101" s="35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>
        <f>AN100/AG100-1</f>
        <v>1.3386926726410122</v>
      </c>
      <c r="AO101" s="14"/>
      <c r="AP101" s="14"/>
      <c r="AQ101" s="14"/>
      <c r="AR101" s="14"/>
      <c r="AS101" s="14"/>
      <c r="AT101" s="14"/>
      <c r="AU101" s="14"/>
      <c r="AV101" s="14"/>
    </row>
    <row r="102" spans="2:48" x14ac:dyDescent="0.25"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35"/>
      <c r="Y102" s="35"/>
      <c r="Z102" s="35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</row>
    <row r="103" spans="2:48" x14ac:dyDescent="0.25">
      <c r="B103" t="s">
        <v>138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35"/>
      <c r="Y103" s="35"/>
      <c r="Z103" s="35"/>
      <c r="AA103" s="14"/>
      <c r="AB103" s="14"/>
      <c r="AC103" s="14"/>
      <c r="AD103" s="14"/>
      <c r="AE103" s="14"/>
      <c r="AF103" s="14"/>
      <c r="AG103" s="14">
        <v>5007.41</v>
      </c>
      <c r="AH103" s="14">
        <v>5383.12</v>
      </c>
      <c r="AI103" s="14">
        <v>6903.39</v>
      </c>
      <c r="AJ103" s="14">
        <v>6635.28</v>
      </c>
      <c r="AK103" s="14">
        <v>8972.6</v>
      </c>
      <c r="AL103" s="14">
        <v>12888.28</v>
      </c>
      <c r="AM103" s="14">
        <v>15644.97</v>
      </c>
      <c r="AN103" s="14">
        <v>10466.48</v>
      </c>
      <c r="AO103" s="14"/>
      <c r="AP103" s="14"/>
      <c r="AQ103" s="14"/>
      <c r="AR103" s="14"/>
      <c r="AS103" s="14"/>
      <c r="AT103" s="14"/>
      <c r="AU103" s="14"/>
      <c r="AV103" s="14"/>
    </row>
    <row r="104" spans="2:48" x14ac:dyDescent="0.25"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>
        <f>AN103/AG103-1</f>
        <v>1.0901983260807482</v>
      </c>
      <c r="AO104" s="14"/>
      <c r="AP104" s="14"/>
      <c r="AQ104" s="14"/>
      <c r="AR104" s="14"/>
      <c r="AS104" s="14"/>
      <c r="AT104" s="14"/>
      <c r="AU104" s="14"/>
      <c r="AV104" s="14"/>
    </row>
    <row r="105" spans="2:48" x14ac:dyDescent="0.25"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</row>
    <row r="106" spans="2:48" x14ac:dyDescent="0.25"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</row>
    <row r="107" spans="2:48" x14ac:dyDescent="0.25"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</row>
    <row r="108" spans="2:48" x14ac:dyDescent="0.25"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</row>
    <row r="109" spans="2:48" x14ac:dyDescent="0.25"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</row>
    <row r="110" spans="2:48" x14ac:dyDescent="0.25"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</row>
    <row r="111" spans="2:48" x14ac:dyDescent="0.25"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</row>
    <row r="112" spans="2:48" x14ac:dyDescent="0.25"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</row>
    <row r="113" spans="3:48" x14ac:dyDescent="0.25"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</row>
    <row r="114" spans="3:48" x14ac:dyDescent="0.25"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</row>
    <row r="115" spans="3:48" x14ac:dyDescent="0.25"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</row>
    <row r="116" spans="3:48" x14ac:dyDescent="0.25"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</row>
    <row r="117" spans="3:48" x14ac:dyDescent="0.25"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</row>
    <row r="118" spans="3:48" x14ac:dyDescent="0.25"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</row>
    <row r="119" spans="3:48" x14ac:dyDescent="0.25"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</row>
    <row r="120" spans="3:48" x14ac:dyDescent="0.25"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</row>
    <row r="121" spans="3:48" x14ac:dyDescent="0.25"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</row>
    <row r="122" spans="3:48" x14ac:dyDescent="0.25"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</row>
    <row r="123" spans="3:48" x14ac:dyDescent="0.25"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</row>
    <row r="124" spans="3:48" x14ac:dyDescent="0.25"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</row>
    <row r="125" spans="3:48" x14ac:dyDescent="0.25"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</row>
    <row r="126" spans="3:48" x14ac:dyDescent="0.25"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</row>
    <row r="127" spans="3:48" x14ac:dyDescent="0.25"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</row>
    <row r="128" spans="3:48" x14ac:dyDescent="0.25"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</row>
    <row r="129" spans="3:48" x14ac:dyDescent="0.25"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jacharles</dc:creator>
  <cp:lastModifiedBy>Jacob Charles</cp:lastModifiedBy>
  <dcterms:created xsi:type="dcterms:W3CDTF">2023-07-09T22:46:07Z</dcterms:created>
  <dcterms:modified xsi:type="dcterms:W3CDTF">2024-08-10T19:43:49Z</dcterms:modified>
</cp:coreProperties>
</file>