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13099D0E-3555-4643-9637-6FFF6065A199}" xr6:coauthVersionLast="47" xr6:coauthVersionMax="47" xr10:uidLastSave="{00000000-0000-0000-0000-000000000000}"/>
  <bookViews>
    <workbookView xWindow="14430" yWindow="0" windowWidth="24075" windowHeight="20985" activeTab="1" xr2:uid="{CA272A53-6244-429C-A241-B4996EB13F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J17" i="2"/>
  <c r="J18" i="2"/>
  <c r="J16" i="2"/>
  <c r="J31" i="2" s="1"/>
  <c r="J14" i="2"/>
  <c r="L7" i="1"/>
  <c r="H31" i="2"/>
  <c r="I31" i="2"/>
  <c r="L31" i="2"/>
  <c r="G19" i="2"/>
  <c r="G30" i="2" s="1"/>
  <c r="G15" i="2"/>
  <c r="K13" i="2"/>
  <c r="I19" i="2"/>
  <c r="I30" i="2" s="1"/>
  <c r="K19" i="2"/>
  <c r="K30" i="2" s="1"/>
  <c r="L19" i="2"/>
  <c r="L30" i="2" s="1"/>
  <c r="H19" i="2"/>
  <c r="H30" i="2" s="1"/>
  <c r="I15" i="2"/>
  <c r="L15" i="2"/>
  <c r="H13" i="2"/>
  <c r="H15" i="2" s="1"/>
  <c r="P27" i="2"/>
  <c r="O27" i="2"/>
  <c r="P31" i="2"/>
  <c r="O31" i="2"/>
  <c r="O19" i="2"/>
  <c r="O30" i="2" s="1"/>
  <c r="P19" i="2"/>
  <c r="P30" i="2" s="1"/>
  <c r="N19" i="2"/>
  <c r="N30" i="2" s="1"/>
  <c r="O15" i="2"/>
  <c r="P15" i="2"/>
  <c r="N15" i="2"/>
  <c r="O5" i="2"/>
  <c r="N5" i="2" s="1"/>
  <c r="O4" i="2"/>
  <c r="N4" i="2" s="1"/>
  <c r="O3" i="2"/>
  <c r="N3" i="2" s="1"/>
  <c r="O2" i="2"/>
  <c r="P2" i="2" s="1"/>
  <c r="Q2" i="2" s="1"/>
  <c r="L6" i="1"/>
  <c r="J19" i="2" l="1"/>
  <c r="J30" i="2" s="1"/>
  <c r="J13" i="2"/>
  <c r="J15" i="2" s="1"/>
  <c r="J20" i="2" s="1"/>
  <c r="J23" i="2" s="1"/>
  <c r="J25" i="2" s="1"/>
  <c r="K31" i="2"/>
  <c r="J27" i="2"/>
  <c r="K27" i="2"/>
  <c r="L20" i="2"/>
  <c r="L23" i="2" s="1"/>
  <c r="L25" i="2" s="1"/>
  <c r="H28" i="2"/>
  <c r="H20" i="2"/>
  <c r="H23" i="2" s="1"/>
  <c r="H25" i="2" s="1"/>
  <c r="I27" i="2"/>
  <c r="I20" i="2"/>
  <c r="I28" i="2"/>
  <c r="L27" i="2"/>
  <c r="N20" i="2"/>
  <c r="N23" i="2" s="1"/>
  <c r="N25" i="2" s="1"/>
  <c r="H27" i="2"/>
  <c r="L9" i="1"/>
  <c r="G20" i="2"/>
  <c r="G23" i="2" s="1"/>
  <c r="G25" i="2" s="1"/>
  <c r="K15" i="2"/>
  <c r="O20" i="2"/>
  <c r="O23" i="2" s="1"/>
  <c r="O25" i="2" s="1"/>
  <c r="P28" i="2"/>
  <c r="P20" i="2"/>
  <c r="O28" i="2"/>
  <c r="O32" i="2" l="1"/>
  <c r="J28" i="2"/>
  <c r="I29" i="2"/>
  <c r="I23" i="2"/>
  <c r="I25" i="2" s="1"/>
  <c r="J29" i="2"/>
  <c r="H32" i="2"/>
  <c r="K20" i="2"/>
  <c r="K28" i="2"/>
  <c r="L28" i="2"/>
  <c r="H29" i="2"/>
  <c r="O29" i="2"/>
  <c r="P29" i="2"/>
  <c r="P23" i="2"/>
  <c r="P25" i="2" s="1"/>
  <c r="P32" i="2" s="1"/>
  <c r="K23" i="2" l="1"/>
  <c r="K25" i="2" s="1"/>
  <c r="K29" i="2"/>
  <c r="L29" i="2"/>
  <c r="I32" i="2"/>
  <c r="J32" i="2"/>
  <c r="K32" i="2" l="1"/>
  <c r="L32" i="2"/>
</calcChain>
</file>

<file path=xl/sharedStrings.xml><?xml version="1.0" encoding="utf-8"?>
<sst xmlns="http://schemas.openxmlformats.org/spreadsheetml/2006/main" count="139" uniqueCount="138">
  <si>
    <t>Intel Corp</t>
  </si>
  <si>
    <t>Price</t>
  </si>
  <si>
    <t>SO</t>
  </si>
  <si>
    <t>MC</t>
  </si>
  <si>
    <t>Cash</t>
  </si>
  <si>
    <t>Debt</t>
  </si>
  <si>
    <t>EV</t>
  </si>
  <si>
    <t>f.y</t>
  </si>
  <si>
    <t>ticker</t>
  </si>
  <si>
    <t>INTC</t>
  </si>
  <si>
    <t>in millions</t>
  </si>
  <si>
    <t xml:space="preserve">"We are an industry leader" </t>
  </si>
  <si>
    <t>lol</t>
  </si>
  <si>
    <t xml:space="preserve">CEO </t>
  </si>
  <si>
    <t>Pat Gelsinger</t>
  </si>
  <si>
    <t xml:space="preserve"> </t>
  </si>
  <si>
    <t>continued to prioritize investments critical to their IDM 2.0 transortmation</t>
  </si>
  <si>
    <t>internal foundry model</t>
  </si>
  <si>
    <t>under this model, tend to resahape their operational dynamixs and establish transparency and accountablility thorugh standalong p&amp;l reporting for their manufascturing group in 2024</t>
  </si>
  <si>
    <t>goal to deliver 5 technology nodes in 4 years to regain transistor performance and power performance leadership by 2025</t>
  </si>
  <si>
    <t>key milestones on product roadmap:</t>
  </si>
  <si>
    <t>intel core ultra processors</t>
  </si>
  <si>
    <t>13th gern intel core mobile processor family</t>
  </si>
  <si>
    <t>14th gen intrl core desktop processor family</t>
  </si>
  <si>
    <t>4th gen intel Xeon scalable processors</t>
  </si>
  <si>
    <t>4th gen intel Xeon Scalable processors with Intel vRAN boost</t>
  </si>
  <si>
    <t>5th Gen Intel Xeon Scalable processors for data center, cloud and edge</t>
  </si>
  <si>
    <t>2 new intel Arc Pro graphics processing units, intel arc pro a60 and into pro a60m</t>
  </si>
  <si>
    <t>expannging existing operations in Arizona, new mexico, oregon</t>
  </si>
  <si>
    <t>investing in 2 new leading edge chip factories in Ohio</t>
  </si>
  <si>
    <t>4 of major project proposals est. to represent &gt;$100B of US manufacturing and research investments over nxt 5 years</t>
  </si>
  <si>
    <t>$33B investment in germany: leading edfe wafer fabrication mega site</t>
  </si>
  <si>
    <t>$4.6B in assemble and test facility in Poland</t>
  </si>
  <si>
    <t>announced start of high volume manufacturing using Inel 4 tech and EUV tec in Ireland</t>
  </si>
  <si>
    <t>sold 32.4% minority stake in their IMS nanofabreication business</t>
  </si>
  <si>
    <t>got investments from Bain capital and TSMC</t>
  </si>
  <si>
    <t>- $1.6B</t>
  </si>
  <si>
    <t>unlocking value:</t>
  </si>
  <si>
    <t>strategy</t>
  </si>
  <si>
    <t>strategically positioning themselves to create a resilient global semiconductor supply chain by investing in geographically balance manuyfacturing capacity</t>
  </si>
  <si>
    <t>uniquely positioned with the debpth and breadth of their silicon, platforms and software, and packaging and process technology w/ at scale manufacturing</t>
  </si>
  <si>
    <t>strategy to win focused on 4 key themes:</t>
  </si>
  <si>
    <t>product leadership</t>
  </si>
  <si>
    <t>open platforms</t>
  </si>
  <si>
    <t>manufacturing at scale</t>
  </si>
  <si>
    <t>their people</t>
  </si>
  <si>
    <t>aim to deliver open software and hardware</t>
  </si>
  <si>
    <t>lead and democratize compute with intel x86 and xPU</t>
  </si>
  <si>
    <t>bring AI to where the data is being generated and used</t>
  </si>
  <si>
    <t>CXL Thunderbolt</t>
  </si>
  <si>
    <t>PCI express</t>
  </si>
  <si>
    <t>contributed to the design, build and validation of open source products to stuff like Linux and Android</t>
  </si>
  <si>
    <t>oneAPI</t>
  </si>
  <si>
    <t>IDM 2.0</t>
  </si>
  <si>
    <t>focus on innovation and execution</t>
  </si>
  <si>
    <t>Smart Capital</t>
  </si>
  <si>
    <t>smart capacity invesments</t>
  </si>
  <si>
    <t>government incentives</t>
  </si>
  <si>
    <t>SCIP</t>
  </si>
  <si>
    <t>Customer commitments</t>
  </si>
  <si>
    <t>External Foundries</t>
  </si>
  <si>
    <t>various forms of capital</t>
  </si>
  <si>
    <t>financial</t>
  </si>
  <si>
    <t>intellectual</t>
  </si>
  <si>
    <t>manufacturing</t>
  </si>
  <si>
    <t>human</t>
  </si>
  <si>
    <t xml:space="preserve">invest signifucantly in r&amp;d and IP </t>
  </si>
  <si>
    <t>build manufacturing capacity efficiently to meet the growing long-term global demand for semi conductors aligned with IDM 2.0 strat</t>
  </si>
  <si>
    <t>leverage financial capital to invest in themselves and exit businesses to opptimize portfolio</t>
  </si>
  <si>
    <t xml:space="preserve">both to drive strategy and long term value creation </t>
  </si>
  <si>
    <t>social and relationship</t>
  </si>
  <si>
    <t>natural</t>
  </si>
  <si>
    <t>areas key to product leadership</t>
  </si>
  <si>
    <t>process and packaging</t>
  </si>
  <si>
    <t>xPU architecture</t>
  </si>
  <si>
    <t>software</t>
  </si>
  <si>
    <t>IP rights</t>
  </si>
  <si>
    <t>MD&amp;A</t>
  </si>
  <si>
    <t>intel customers</t>
  </si>
  <si>
    <t>OEMs</t>
  </si>
  <si>
    <t>ODMs</t>
  </si>
  <si>
    <t>Cloud service providers</t>
  </si>
  <si>
    <t>other manufacturers and service providers</t>
  </si>
  <si>
    <t>industrial and communication equipment manufacturers</t>
  </si>
  <si>
    <t>other cloud service providers</t>
  </si>
  <si>
    <t>market their products through global sales and marketing organizations and indirectly thorugh channel partners</t>
  </si>
  <si>
    <t>market trends and strategy</t>
  </si>
  <si>
    <t>2023 pc demand and supply levels beginning to normalize</t>
  </si>
  <si>
    <t>remain positive on long term outlook for PCs</t>
  </si>
  <si>
    <t>200M commercial devices are more than 4 years old</t>
  </si>
  <si>
    <t>processor competition</t>
  </si>
  <si>
    <t>AMD</t>
  </si>
  <si>
    <t>ARM arch</t>
  </si>
  <si>
    <t>Quallcom</t>
  </si>
  <si>
    <t>Apple</t>
  </si>
  <si>
    <t>M1 &amp; M2 products</t>
  </si>
  <si>
    <t>expect competitive environment to continure to intensify in 2024</t>
  </si>
  <si>
    <t>notebook rev</t>
  </si>
  <si>
    <t>desktop rev</t>
  </si>
  <si>
    <t>other rev</t>
  </si>
  <si>
    <t># in millions</t>
  </si>
  <si>
    <t>net rev</t>
  </si>
  <si>
    <t>cost of sales</t>
  </si>
  <si>
    <t>gross margin</t>
  </si>
  <si>
    <t>r&amp;d</t>
  </si>
  <si>
    <t>mg&amp;a</t>
  </si>
  <si>
    <t>restructring &amp; other</t>
  </si>
  <si>
    <t>op expenses</t>
  </si>
  <si>
    <t>op income</t>
  </si>
  <si>
    <t>gains on equity invstmnts</t>
  </si>
  <si>
    <t>interest &amp; other</t>
  </si>
  <si>
    <t>income before taxes</t>
  </si>
  <si>
    <t>provision (benefit) taxes</t>
  </si>
  <si>
    <t>net income</t>
  </si>
  <si>
    <t>yoy rev</t>
  </si>
  <si>
    <t>yoy gross margin</t>
  </si>
  <si>
    <t>yoy op income</t>
  </si>
  <si>
    <t>r&amp;d / expenses</t>
  </si>
  <si>
    <t>yoy net income</t>
  </si>
  <si>
    <t>yoy r&amp;d</t>
  </si>
  <si>
    <t>Main</t>
  </si>
  <si>
    <t>q224</t>
  </si>
  <si>
    <t>q124</t>
  </si>
  <si>
    <t>q423</t>
  </si>
  <si>
    <t>q323</t>
  </si>
  <si>
    <t>q223</t>
  </si>
  <si>
    <t>q123</t>
  </si>
  <si>
    <t>Q224</t>
  </si>
  <si>
    <t>q422</t>
  </si>
  <si>
    <t>q322</t>
  </si>
  <si>
    <t>q222</t>
  </si>
  <si>
    <t>q122</t>
  </si>
  <si>
    <t>datacenter &amp; ai rev</t>
  </si>
  <si>
    <t>network and edge rev</t>
  </si>
  <si>
    <t>mobileye rev</t>
  </si>
  <si>
    <t>all other rev</t>
  </si>
  <si>
    <t>intel foundry services rev</t>
  </si>
  <si>
    <t>check these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</si>
</sst>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" fontId="0" fillId="0" borderId="0" xfId="0" applyNumberFormat="1"/>
    <xf numFmtId="3" fontId="0" fillId="0" borderId="0" xfId="0" applyNumberFormat="1"/>
    <xf numFmtId="0" fontId="0" fillId="0" borderId="0" xfId="0" quotePrefix="1"/>
    <xf numFmtId="0" fontId="2" fillId="0" borderId="0" xfId="0" applyFont="1"/>
    <xf numFmtId="37" fontId="0" fillId="0" borderId="0" xfId="0" applyNumberFormat="1"/>
    <xf numFmtId="3" fontId="2" fillId="0" borderId="0" xfId="0" applyNumberFormat="1" applyFont="1"/>
    <xf numFmtId="9" fontId="0" fillId="0" borderId="0" xfId="1" applyFont="1"/>
    <xf numFmtId="0" fontId="4" fillId="0" borderId="0" xfId="2"/>
    <xf numFmtId="37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3467-9CE6-46BC-A3D1-C5F0D3921F38}">
  <dimension ref="B1:M102"/>
  <sheetViews>
    <sheetView topLeftCell="G3" zoomScale="150" zoomScaleNormal="150" workbookViewId="0">
      <selection activeCell="L7" sqref="L7"/>
    </sheetView>
  </sheetViews>
  <sheetFormatPr defaultRowHeight="15" x14ac:dyDescent="0.25"/>
  <cols>
    <col min="13" max="13" width="14.28515625" bestFit="1" customWidth="1"/>
  </cols>
  <sheetData>
    <row r="1" spans="2:13" x14ac:dyDescent="0.25">
      <c r="L1" t="s">
        <v>10</v>
      </c>
    </row>
    <row r="2" spans="2:13" ht="26.25" x14ac:dyDescent="0.4">
      <c r="B2" s="1" t="s">
        <v>0</v>
      </c>
    </row>
    <row r="4" spans="2:13" x14ac:dyDescent="0.25">
      <c r="B4" t="s">
        <v>7</v>
      </c>
      <c r="C4" s="2">
        <v>45656</v>
      </c>
      <c r="K4" t="s">
        <v>1</v>
      </c>
      <c r="L4">
        <v>18.89</v>
      </c>
    </row>
    <row r="5" spans="2:13" x14ac:dyDescent="0.25">
      <c r="B5" t="s">
        <v>8</v>
      </c>
      <c r="C5" t="s">
        <v>9</v>
      </c>
      <c r="K5" t="s">
        <v>2</v>
      </c>
      <c r="L5" s="3">
        <v>4276</v>
      </c>
    </row>
    <row r="6" spans="2:13" x14ac:dyDescent="0.25">
      <c r="B6" t="s">
        <v>13</v>
      </c>
      <c r="C6" t="s">
        <v>14</v>
      </c>
      <c r="K6" t="s">
        <v>3</v>
      </c>
      <c r="L6">
        <f>L5*L4</f>
        <v>80773.64</v>
      </c>
      <c r="M6" s="3"/>
    </row>
    <row r="7" spans="2:13" x14ac:dyDescent="0.25">
      <c r="B7" t="s">
        <v>15</v>
      </c>
      <c r="K7" t="s">
        <v>4</v>
      </c>
      <c r="L7">
        <f>11287+17986</f>
        <v>29273</v>
      </c>
      <c r="M7" t="s">
        <v>127</v>
      </c>
    </row>
    <row r="8" spans="2:13" x14ac:dyDescent="0.25">
      <c r="K8" t="s">
        <v>5</v>
      </c>
      <c r="L8">
        <v>48334</v>
      </c>
      <c r="M8" t="s">
        <v>127</v>
      </c>
    </row>
    <row r="9" spans="2:13" x14ac:dyDescent="0.25">
      <c r="K9" t="s">
        <v>6</v>
      </c>
      <c r="L9">
        <f>L6+L8-L7</f>
        <v>99834.64</v>
      </c>
    </row>
    <row r="12" spans="2:13" x14ac:dyDescent="0.25">
      <c r="B12" t="s">
        <v>11</v>
      </c>
      <c r="E12" t="s">
        <v>12</v>
      </c>
    </row>
    <row r="14" spans="2:13" x14ac:dyDescent="0.25">
      <c r="B14" t="s">
        <v>16</v>
      </c>
    </row>
    <row r="15" spans="2:13" x14ac:dyDescent="0.25">
      <c r="C15" t="s">
        <v>17</v>
      </c>
    </row>
    <row r="16" spans="2:13" x14ac:dyDescent="0.25">
      <c r="D16" t="s">
        <v>18</v>
      </c>
    </row>
    <row r="18" spans="2:4" x14ac:dyDescent="0.25">
      <c r="B18" t="s">
        <v>19</v>
      </c>
    </row>
    <row r="19" spans="2:4" x14ac:dyDescent="0.25">
      <c r="C19" t="s">
        <v>20</v>
      </c>
    </row>
    <row r="20" spans="2:4" x14ac:dyDescent="0.25">
      <c r="D20" t="s">
        <v>21</v>
      </c>
    </row>
    <row r="21" spans="2:4" x14ac:dyDescent="0.25">
      <c r="D21" t="s">
        <v>22</v>
      </c>
    </row>
    <row r="22" spans="2:4" x14ac:dyDescent="0.25">
      <c r="D22" t="s">
        <v>23</v>
      </c>
    </row>
    <row r="23" spans="2:4" x14ac:dyDescent="0.25">
      <c r="D23" t="s">
        <v>24</v>
      </c>
    </row>
    <row r="24" spans="2:4" x14ac:dyDescent="0.25">
      <c r="D24" t="s">
        <v>25</v>
      </c>
    </row>
    <row r="25" spans="2:4" x14ac:dyDescent="0.25">
      <c r="D25" t="s">
        <v>26</v>
      </c>
    </row>
    <row r="26" spans="2:4" x14ac:dyDescent="0.25">
      <c r="D26" t="s">
        <v>27</v>
      </c>
    </row>
    <row r="28" spans="2:4" x14ac:dyDescent="0.25">
      <c r="B28" t="s">
        <v>28</v>
      </c>
    </row>
    <row r="29" spans="2:4" x14ac:dyDescent="0.25">
      <c r="B29" t="s">
        <v>29</v>
      </c>
    </row>
    <row r="30" spans="2:4" x14ac:dyDescent="0.25">
      <c r="B30" t="s">
        <v>30</v>
      </c>
    </row>
    <row r="31" spans="2:4" x14ac:dyDescent="0.25">
      <c r="B31" t="s">
        <v>31</v>
      </c>
    </row>
    <row r="32" spans="2:4" x14ac:dyDescent="0.25">
      <c r="B32" t="s">
        <v>32</v>
      </c>
    </row>
    <row r="33" spans="2:8" x14ac:dyDescent="0.25">
      <c r="B33" t="s">
        <v>33</v>
      </c>
    </row>
    <row r="35" spans="2:8" x14ac:dyDescent="0.25">
      <c r="B35" s="5" t="s">
        <v>37</v>
      </c>
    </row>
    <row r="36" spans="2:8" x14ac:dyDescent="0.25">
      <c r="B36" t="s">
        <v>34</v>
      </c>
      <c r="H36" s="4" t="s">
        <v>36</v>
      </c>
    </row>
    <row r="37" spans="2:8" x14ac:dyDescent="0.25">
      <c r="B37" t="s">
        <v>35</v>
      </c>
    </row>
    <row r="39" spans="2:8" x14ac:dyDescent="0.25">
      <c r="B39" s="5" t="s">
        <v>38</v>
      </c>
    </row>
    <row r="40" spans="2:8" x14ac:dyDescent="0.25">
      <c r="B40" t="s">
        <v>39</v>
      </c>
    </row>
    <row r="41" spans="2:8" x14ac:dyDescent="0.25">
      <c r="B41" t="s">
        <v>40</v>
      </c>
    </row>
    <row r="42" spans="2:8" x14ac:dyDescent="0.25">
      <c r="B42" t="s">
        <v>41</v>
      </c>
    </row>
    <row r="43" spans="2:8" x14ac:dyDescent="0.25">
      <c r="C43" t="s">
        <v>42</v>
      </c>
    </row>
    <row r="44" spans="2:8" x14ac:dyDescent="0.25">
      <c r="D44" t="s">
        <v>47</v>
      </c>
    </row>
    <row r="45" spans="2:8" x14ac:dyDescent="0.25">
      <c r="D45" t="s">
        <v>48</v>
      </c>
    </row>
    <row r="46" spans="2:8" x14ac:dyDescent="0.25">
      <c r="C46" t="s">
        <v>43</v>
      </c>
    </row>
    <row r="47" spans="2:8" x14ac:dyDescent="0.25">
      <c r="D47" t="s">
        <v>46</v>
      </c>
    </row>
    <row r="48" spans="2:8" x14ac:dyDescent="0.25">
      <c r="D48" t="s">
        <v>49</v>
      </c>
    </row>
    <row r="49" spans="2:4" x14ac:dyDescent="0.25">
      <c r="D49" t="s">
        <v>50</v>
      </c>
    </row>
    <row r="50" spans="2:4" x14ac:dyDescent="0.25">
      <c r="D50" t="s">
        <v>51</v>
      </c>
    </row>
    <row r="51" spans="2:4" x14ac:dyDescent="0.25">
      <c r="D51" t="s">
        <v>52</v>
      </c>
    </row>
    <row r="52" spans="2:4" x14ac:dyDescent="0.25">
      <c r="C52" t="s">
        <v>44</v>
      </c>
    </row>
    <row r="53" spans="2:4" x14ac:dyDescent="0.25">
      <c r="D53" t="s">
        <v>53</v>
      </c>
    </row>
    <row r="54" spans="2:4" x14ac:dyDescent="0.25">
      <c r="C54" t="s">
        <v>45</v>
      </c>
    </row>
    <row r="55" spans="2:4" x14ac:dyDescent="0.25">
      <c r="B55" t="s">
        <v>54</v>
      </c>
    </row>
    <row r="56" spans="2:4" x14ac:dyDescent="0.25">
      <c r="C56" t="s">
        <v>55</v>
      </c>
    </row>
    <row r="57" spans="2:4" x14ac:dyDescent="0.25">
      <c r="D57" t="s">
        <v>56</v>
      </c>
    </row>
    <row r="58" spans="2:4" x14ac:dyDescent="0.25">
      <c r="D58" t="s">
        <v>57</v>
      </c>
    </row>
    <row r="59" spans="2:4" x14ac:dyDescent="0.25">
      <c r="D59" t="s">
        <v>58</v>
      </c>
    </row>
    <row r="60" spans="2:4" x14ac:dyDescent="0.25">
      <c r="D60" t="s">
        <v>59</v>
      </c>
    </row>
    <row r="61" spans="2:4" x14ac:dyDescent="0.25">
      <c r="D61" t="s">
        <v>60</v>
      </c>
    </row>
    <row r="62" spans="2:4" x14ac:dyDescent="0.25">
      <c r="B62" t="s">
        <v>61</v>
      </c>
    </row>
    <row r="63" spans="2:4" x14ac:dyDescent="0.25">
      <c r="C63" t="s">
        <v>62</v>
      </c>
    </row>
    <row r="64" spans="2:4" x14ac:dyDescent="0.25">
      <c r="D64" t="s">
        <v>68</v>
      </c>
    </row>
    <row r="65" spans="2:4" x14ac:dyDescent="0.25">
      <c r="D65" t="s">
        <v>69</v>
      </c>
    </row>
    <row r="66" spans="2:4" x14ac:dyDescent="0.25">
      <c r="C66" t="s">
        <v>63</v>
      </c>
    </row>
    <row r="67" spans="2:4" x14ac:dyDescent="0.25">
      <c r="D67" t="s">
        <v>66</v>
      </c>
    </row>
    <row r="68" spans="2:4" x14ac:dyDescent="0.25">
      <c r="C68" t="s">
        <v>64</v>
      </c>
    </row>
    <row r="69" spans="2:4" x14ac:dyDescent="0.25">
      <c r="D69" t="s">
        <v>67</v>
      </c>
    </row>
    <row r="70" spans="2:4" x14ac:dyDescent="0.25">
      <c r="C70" t="s">
        <v>65</v>
      </c>
    </row>
    <row r="71" spans="2:4" x14ac:dyDescent="0.25">
      <c r="C71" t="s">
        <v>70</v>
      </c>
    </row>
    <row r="72" spans="2:4" x14ac:dyDescent="0.25">
      <c r="C72" t="s">
        <v>71</v>
      </c>
    </row>
    <row r="74" spans="2:4" x14ac:dyDescent="0.25">
      <c r="B74" t="s">
        <v>72</v>
      </c>
    </row>
    <row r="75" spans="2:4" x14ac:dyDescent="0.25">
      <c r="C75" t="s">
        <v>73</v>
      </c>
    </row>
    <row r="76" spans="2:4" x14ac:dyDescent="0.25">
      <c r="C76" t="s">
        <v>74</v>
      </c>
    </row>
    <row r="77" spans="2:4" x14ac:dyDescent="0.25">
      <c r="C77" t="s">
        <v>75</v>
      </c>
    </row>
    <row r="78" spans="2:4" x14ac:dyDescent="0.25">
      <c r="C78" t="s">
        <v>76</v>
      </c>
    </row>
    <row r="81" spans="2:5" x14ac:dyDescent="0.25">
      <c r="B81" t="s">
        <v>77</v>
      </c>
    </row>
    <row r="82" spans="2:5" x14ac:dyDescent="0.25">
      <c r="C82" t="s">
        <v>78</v>
      </c>
    </row>
    <row r="83" spans="2:5" x14ac:dyDescent="0.25">
      <c r="D83" t="s">
        <v>79</v>
      </c>
    </row>
    <row r="84" spans="2:5" x14ac:dyDescent="0.25">
      <c r="D84" t="s">
        <v>80</v>
      </c>
    </row>
    <row r="85" spans="2:5" x14ac:dyDescent="0.25">
      <c r="D85" t="s">
        <v>81</v>
      </c>
    </row>
    <row r="86" spans="2:5" x14ac:dyDescent="0.25">
      <c r="D86" t="s">
        <v>82</v>
      </c>
    </row>
    <row r="87" spans="2:5" x14ac:dyDescent="0.25">
      <c r="E87" t="s">
        <v>83</v>
      </c>
    </row>
    <row r="88" spans="2:5" x14ac:dyDescent="0.25">
      <c r="D88" t="s">
        <v>84</v>
      </c>
    </row>
    <row r="89" spans="2:5" x14ac:dyDescent="0.25">
      <c r="C89" t="s">
        <v>85</v>
      </c>
    </row>
    <row r="91" spans="2:5" x14ac:dyDescent="0.25">
      <c r="B91" t="s">
        <v>86</v>
      </c>
    </row>
    <row r="92" spans="2:5" x14ac:dyDescent="0.25">
      <c r="C92" t="s">
        <v>87</v>
      </c>
    </row>
    <row r="93" spans="2:5" x14ac:dyDescent="0.25">
      <c r="C93" t="s">
        <v>88</v>
      </c>
    </row>
    <row r="94" spans="2:5" x14ac:dyDescent="0.25">
      <c r="C94" t="s">
        <v>89</v>
      </c>
    </row>
    <row r="96" spans="2:5" x14ac:dyDescent="0.25">
      <c r="B96" t="s">
        <v>90</v>
      </c>
    </row>
    <row r="97" spans="3:5" x14ac:dyDescent="0.25">
      <c r="C97" t="s">
        <v>91</v>
      </c>
    </row>
    <row r="98" spans="3:5" x14ac:dyDescent="0.25">
      <c r="C98" t="s">
        <v>92</v>
      </c>
    </row>
    <row r="99" spans="3:5" x14ac:dyDescent="0.25">
      <c r="D99" t="s">
        <v>93</v>
      </c>
    </row>
    <row r="100" spans="3:5" x14ac:dyDescent="0.25">
      <c r="D100" t="s">
        <v>94</v>
      </c>
    </row>
    <row r="101" spans="3:5" x14ac:dyDescent="0.25">
      <c r="E101" t="s">
        <v>95</v>
      </c>
    </row>
    <row r="102" spans="3:5" x14ac:dyDescent="0.25">
      <c r="C10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4B1D-20CF-45BB-8B2C-E1E075C773C3}">
  <dimension ref="A1:Q32"/>
  <sheetViews>
    <sheetView tabSelected="1" zoomScale="190" zoomScaleNormal="19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5" x14ac:dyDescent="0.25"/>
  <cols>
    <col min="2" max="2" width="23.7109375" bestFit="1" customWidth="1"/>
    <col min="3" max="6" width="10.42578125" customWidth="1"/>
  </cols>
  <sheetData>
    <row r="1" spans="1:17" x14ac:dyDescent="0.25">
      <c r="A1" s="9" t="s">
        <v>120</v>
      </c>
      <c r="P1" t="s">
        <v>100</v>
      </c>
    </row>
    <row r="2" spans="1:17" x14ac:dyDescent="0.25">
      <c r="C2" t="s">
        <v>131</v>
      </c>
      <c r="D2" t="s">
        <v>130</v>
      </c>
      <c r="E2" t="s">
        <v>129</v>
      </c>
      <c r="F2" t="s">
        <v>128</v>
      </c>
      <c r="G2" t="s">
        <v>126</v>
      </c>
      <c r="H2" t="s">
        <v>125</v>
      </c>
      <c r="I2" t="s">
        <v>124</v>
      </c>
      <c r="J2" t="s">
        <v>123</v>
      </c>
      <c r="K2" t="s">
        <v>122</v>
      </c>
      <c r="L2" t="s">
        <v>121</v>
      </c>
      <c r="N2">
        <v>2021</v>
      </c>
      <c r="O2">
        <f t="shared" ref="O2:Q2" si="0">N2+1</f>
        <v>2022</v>
      </c>
      <c r="P2">
        <f t="shared" si="0"/>
        <v>2023</v>
      </c>
      <c r="Q2">
        <f t="shared" si="0"/>
        <v>2024</v>
      </c>
    </row>
    <row r="3" spans="1:17" x14ac:dyDescent="0.25">
      <c r="B3" t="s">
        <v>97</v>
      </c>
      <c r="E3">
        <v>3222</v>
      </c>
      <c r="H3">
        <v>3896</v>
      </c>
      <c r="I3">
        <v>4503</v>
      </c>
      <c r="L3">
        <v>4480</v>
      </c>
      <c r="N3" s="3">
        <f>O3+6700</f>
        <v>25500</v>
      </c>
      <c r="O3" s="3">
        <f>P3+1800</f>
        <v>18800</v>
      </c>
      <c r="P3" s="3">
        <v>17000</v>
      </c>
    </row>
    <row r="4" spans="1:17" x14ac:dyDescent="0.25">
      <c r="B4" t="s">
        <v>98</v>
      </c>
      <c r="E4">
        <v>4408</v>
      </c>
      <c r="H4">
        <v>2370</v>
      </c>
      <c r="I4">
        <v>2753</v>
      </c>
      <c r="L4">
        <v>2527</v>
      </c>
      <c r="N4" s="3">
        <f>O4+1800</f>
        <v>12495</v>
      </c>
      <c r="O4" s="3">
        <f>P4+495</f>
        <v>10695</v>
      </c>
      <c r="P4" s="3">
        <v>10200</v>
      </c>
    </row>
    <row r="5" spans="1:17" x14ac:dyDescent="0.25">
      <c r="B5" t="s">
        <v>99</v>
      </c>
      <c r="E5">
        <v>498</v>
      </c>
      <c r="H5">
        <v>514</v>
      </c>
      <c r="I5">
        <v>611</v>
      </c>
      <c r="L5">
        <v>403</v>
      </c>
      <c r="N5" s="3">
        <f>O5+870</f>
        <v>3199</v>
      </c>
      <c r="O5" s="3">
        <f>P5+229</f>
        <v>2329</v>
      </c>
      <c r="P5" s="3">
        <v>2100</v>
      </c>
    </row>
    <row r="6" spans="1:17" x14ac:dyDescent="0.25">
      <c r="B6" t="s">
        <v>132</v>
      </c>
      <c r="E6">
        <v>4255</v>
      </c>
      <c r="H6">
        <v>3155</v>
      </c>
      <c r="I6">
        <v>3814</v>
      </c>
      <c r="L6">
        <v>3045</v>
      </c>
      <c r="N6" s="3"/>
      <c r="O6" s="3"/>
      <c r="P6" s="3"/>
    </row>
    <row r="7" spans="1:17" x14ac:dyDescent="0.25">
      <c r="B7" t="s">
        <v>133</v>
      </c>
      <c r="E7">
        <v>2133</v>
      </c>
      <c r="H7">
        <v>1364</v>
      </c>
      <c r="I7">
        <v>1450</v>
      </c>
      <c r="L7">
        <v>1344</v>
      </c>
      <c r="N7" s="3"/>
      <c r="O7" s="3"/>
      <c r="P7" s="3"/>
    </row>
    <row r="8" spans="1:17" x14ac:dyDescent="0.25">
      <c r="B8" t="s">
        <v>134</v>
      </c>
      <c r="E8">
        <v>450</v>
      </c>
      <c r="H8">
        <v>454</v>
      </c>
      <c r="I8">
        <v>530</v>
      </c>
      <c r="L8">
        <v>440</v>
      </c>
      <c r="N8" s="3"/>
      <c r="O8" s="3"/>
      <c r="P8" s="3"/>
    </row>
    <row r="9" spans="1:17" x14ac:dyDescent="0.25">
      <c r="A9" t="s">
        <v>137</v>
      </c>
      <c r="B9" t="s">
        <v>136</v>
      </c>
      <c r="E9">
        <v>78</v>
      </c>
      <c r="H9" s="5">
        <v>4172</v>
      </c>
      <c r="I9">
        <v>311</v>
      </c>
      <c r="L9" s="5">
        <v>4320</v>
      </c>
      <c r="N9" s="3"/>
      <c r="O9" s="3"/>
      <c r="P9" s="3"/>
    </row>
    <row r="10" spans="1:17" x14ac:dyDescent="0.25">
      <c r="B10" t="s">
        <v>135</v>
      </c>
      <c r="E10">
        <v>294</v>
      </c>
      <c r="I10">
        <v>186</v>
      </c>
      <c r="L10">
        <f>968-L8</f>
        <v>528</v>
      </c>
      <c r="N10" s="3"/>
      <c r="O10" s="3"/>
      <c r="P10" s="3"/>
    </row>
    <row r="11" spans="1:17" x14ac:dyDescent="0.25">
      <c r="N11" s="3"/>
      <c r="O11" s="3"/>
      <c r="P11" s="3"/>
    </row>
    <row r="13" spans="1:17" x14ac:dyDescent="0.25">
      <c r="B13" t="s">
        <v>101</v>
      </c>
      <c r="G13" s="6">
        <v>11715</v>
      </c>
      <c r="H13" s="6">
        <f>L13+116</f>
        <v>12949</v>
      </c>
      <c r="I13" s="6">
        <v>14158</v>
      </c>
      <c r="J13" s="3">
        <f>(P13-(SUM(G13:I13)))</f>
        <v>15406</v>
      </c>
      <c r="K13" s="6">
        <f>25557-L13</f>
        <v>12724</v>
      </c>
      <c r="L13" s="6">
        <v>12833</v>
      </c>
      <c r="N13" s="3">
        <v>79024</v>
      </c>
      <c r="O13" s="3">
        <v>63054</v>
      </c>
      <c r="P13" s="3">
        <v>54228</v>
      </c>
    </row>
    <row r="14" spans="1:17" x14ac:dyDescent="0.25">
      <c r="B14" t="s">
        <v>102</v>
      </c>
      <c r="G14" s="6">
        <v>-7707</v>
      </c>
      <c r="H14" s="6">
        <v>-8311</v>
      </c>
      <c r="I14" s="6">
        <v>-8140</v>
      </c>
      <c r="J14" s="6">
        <f>P14-SUM(G14:I14)</f>
        <v>-8359</v>
      </c>
      <c r="K14" s="6">
        <v>-7507</v>
      </c>
      <c r="L14" s="6">
        <v>-8286</v>
      </c>
      <c r="N14" s="6">
        <v>-35209</v>
      </c>
      <c r="O14" s="6">
        <v>-36188</v>
      </c>
      <c r="P14" s="6">
        <v>-32517</v>
      </c>
      <c r="Q14" s="3"/>
    </row>
    <row r="15" spans="1:17" s="5" customFormat="1" x14ac:dyDescent="0.25">
      <c r="B15" s="5" t="s">
        <v>103</v>
      </c>
      <c r="G15" s="10">
        <f>SUM(G13:G14)</f>
        <v>4008</v>
      </c>
      <c r="H15" s="10">
        <f>SUM(H13:H14)</f>
        <v>4638</v>
      </c>
      <c r="I15" s="10">
        <f t="shared" ref="I15:L15" si="1">SUM(I13:I14)</f>
        <v>6018</v>
      </c>
      <c r="J15" s="10">
        <f t="shared" si="1"/>
        <v>7047</v>
      </c>
      <c r="K15" s="10">
        <f t="shared" si="1"/>
        <v>5217</v>
      </c>
      <c r="L15" s="10">
        <f t="shared" si="1"/>
        <v>4547</v>
      </c>
      <c r="N15" s="7">
        <f>SUM(N13,N14)</f>
        <v>43815</v>
      </c>
      <c r="O15" s="7">
        <f t="shared" ref="O15:P15" si="2">SUM(O13,O14)</f>
        <v>26866</v>
      </c>
      <c r="P15" s="7">
        <f t="shared" si="2"/>
        <v>21711</v>
      </c>
    </row>
    <row r="16" spans="1:17" x14ac:dyDescent="0.25">
      <c r="B16" t="s">
        <v>104</v>
      </c>
      <c r="G16" s="6">
        <v>-4109</v>
      </c>
      <c r="H16" s="6">
        <v>-4080</v>
      </c>
      <c r="I16" s="6">
        <v>-3870</v>
      </c>
      <c r="J16" s="6">
        <f>P16-SUM(G16:I16)</f>
        <v>-3987</v>
      </c>
      <c r="K16" s="6">
        <v>-4382</v>
      </c>
      <c r="L16" s="6">
        <v>-4239</v>
      </c>
      <c r="N16" s="6">
        <v>-15190</v>
      </c>
      <c r="O16" s="6">
        <v>-17528</v>
      </c>
      <c r="P16" s="6">
        <v>-16046</v>
      </c>
    </row>
    <row r="17" spans="2:17" x14ac:dyDescent="0.25">
      <c r="B17" t="s">
        <v>105</v>
      </c>
      <c r="G17" s="6">
        <v>-1303</v>
      </c>
      <c r="H17" s="6">
        <v>-1374</v>
      </c>
      <c r="I17" s="6">
        <v>-1340</v>
      </c>
      <c r="J17" s="6">
        <f t="shared" ref="J17:J18" si="3">P17-SUM(G17:I17)</f>
        <v>-1617</v>
      </c>
      <c r="K17" s="6">
        <v>-1556</v>
      </c>
      <c r="L17" s="6">
        <v>-1329</v>
      </c>
      <c r="N17" s="6">
        <v>-6543</v>
      </c>
      <c r="O17" s="6">
        <v>-7002</v>
      </c>
      <c r="P17" s="6">
        <v>-5634</v>
      </c>
    </row>
    <row r="18" spans="2:17" x14ac:dyDescent="0.25">
      <c r="B18" t="s">
        <v>106</v>
      </c>
      <c r="G18" s="6">
        <v>-64</v>
      </c>
      <c r="H18" s="6">
        <v>-200</v>
      </c>
      <c r="I18" s="6">
        <v>-816</v>
      </c>
      <c r="J18" s="6">
        <f t="shared" si="3"/>
        <v>1142</v>
      </c>
      <c r="K18" s="6">
        <v>-348</v>
      </c>
      <c r="L18" s="6">
        <v>-943</v>
      </c>
      <c r="N18" s="6">
        <v>-2626</v>
      </c>
      <c r="O18" s="6">
        <v>-2</v>
      </c>
      <c r="P18" s="6">
        <v>62</v>
      </c>
    </row>
    <row r="19" spans="2:17" x14ac:dyDescent="0.25">
      <c r="B19" t="s">
        <v>107</v>
      </c>
      <c r="G19" s="6">
        <f>SUM(G16:G18)</f>
        <v>-5476</v>
      </c>
      <c r="H19" s="6">
        <f>SUM(H16:H18)</f>
        <v>-5654</v>
      </c>
      <c r="I19" s="6">
        <f t="shared" ref="I19:L19" si="4">SUM(I16:I18)</f>
        <v>-6026</v>
      </c>
      <c r="J19" s="6">
        <f t="shared" si="4"/>
        <v>-4462</v>
      </c>
      <c r="K19" s="6">
        <f t="shared" si="4"/>
        <v>-6286</v>
      </c>
      <c r="L19" s="6">
        <f t="shared" si="4"/>
        <v>-6511</v>
      </c>
      <c r="N19" s="6">
        <f>SUM(N16:N18)</f>
        <v>-24359</v>
      </c>
      <c r="O19" s="6">
        <f t="shared" ref="O19:P19" si="5">SUM(O16:O18)</f>
        <v>-24532</v>
      </c>
      <c r="P19" s="6">
        <f t="shared" si="5"/>
        <v>-21618</v>
      </c>
    </row>
    <row r="20" spans="2:17" s="5" customFormat="1" x14ac:dyDescent="0.25">
      <c r="B20" s="5" t="s">
        <v>108</v>
      </c>
      <c r="G20" s="6">
        <f>G15+G19</f>
        <v>-1468</v>
      </c>
      <c r="H20" s="10">
        <f>H15+H19</f>
        <v>-1016</v>
      </c>
      <c r="I20" s="10">
        <f t="shared" ref="I20:L20" si="6">I15+I19</f>
        <v>-8</v>
      </c>
      <c r="J20" s="10">
        <f t="shared" si="6"/>
        <v>2585</v>
      </c>
      <c r="K20" s="10">
        <f t="shared" si="6"/>
        <v>-1069</v>
      </c>
      <c r="L20" s="10">
        <f t="shared" si="6"/>
        <v>-1964</v>
      </c>
      <c r="N20" s="7">
        <f>N15+N19</f>
        <v>19456</v>
      </c>
      <c r="O20" s="7">
        <f t="shared" ref="O20:P20" si="7">O15+O19</f>
        <v>2334</v>
      </c>
      <c r="P20" s="7">
        <f t="shared" si="7"/>
        <v>93</v>
      </c>
    </row>
    <row r="21" spans="2:17" x14ac:dyDescent="0.25">
      <c r="B21" t="s">
        <v>109</v>
      </c>
      <c r="G21" s="6">
        <v>169</v>
      </c>
      <c r="H21" s="6">
        <v>-24</v>
      </c>
      <c r="I21" s="6">
        <v>-191</v>
      </c>
      <c r="J21" s="6"/>
      <c r="K21" s="6">
        <v>205</v>
      </c>
      <c r="L21" s="6">
        <v>-120</v>
      </c>
      <c r="N21" s="6">
        <v>2729</v>
      </c>
      <c r="O21" s="6">
        <v>4268</v>
      </c>
      <c r="P21" s="6">
        <v>40</v>
      </c>
    </row>
    <row r="22" spans="2:17" x14ac:dyDescent="0.25">
      <c r="B22" t="s">
        <v>110</v>
      </c>
      <c r="G22" s="6">
        <v>141</v>
      </c>
      <c r="H22" s="6">
        <v>224</v>
      </c>
      <c r="I22" s="6">
        <v>147</v>
      </c>
      <c r="J22" s="6"/>
      <c r="K22" s="6">
        <v>145</v>
      </c>
      <c r="L22" s="6">
        <v>80</v>
      </c>
      <c r="N22" s="6">
        <v>-482</v>
      </c>
      <c r="O22" s="6">
        <v>1166</v>
      </c>
      <c r="P22" s="6">
        <v>629</v>
      </c>
    </row>
    <row r="23" spans="2:17" s="5" customFormat="1" x14ac:dyDescent="0.25">
      <c r="B23" s="5" t="s">
        <v>111</v>
      </c>
      <c r="G23" s="6">
        <f>SUM(G20:G22)</f>
        <v>-1158</v>
      </c>
      <c r="H23" s="6">
        <f>SUM(H20:H22)</f>
        <v>-816</v>
      </c>
      <c r="I23" s="6">
        <f t="shared" ref="I23:L23" si="8">SUM(I20:I22)</f>
        <v>-52</v>
      </c>
      <c r="J23" s="6">
        <f t="shared" si="8"/>
        <v>2585</v>
      </c>
      <c r="K23" s="6">
        <f t="shared" si="8"/>
        <v>-719</v>
      </c>
      <c r="L23" s="6">
        <f t="shared" si="8"/>
        <v>-2004</v>
      </c>
      <c r="N23" s="7">
        <f>SUM(N20:N22)</f>
        <v>21703</v>
      </c>
      <c r="O23" s="7">
        <f t="shared" ref="O23:P23" si="9">SUM(O20:O22)</f>
        <v>7768</v>
      </c>
      <c r="P23" s="7">
        <f t="shared" si="9"/>
        <v>762</v>
      </c>
    </row>
    <row r="24" spans="2:17" x14ac:dyDescent="0.25">
      <c r="B24" t="s">
        <v>112</v>
      </c>
      <c r="G24" s="6">
        <v>-1610</v>
      </c>
      <c r="H24" s="6">
        <v>2289</v>
      </c>
      <c r="I24" s="6">
        <v>362</v>
      </c>
      <c r="J24" s="6"/>
      <c r="K24" s="6">
        <v>282</v>
      </c>
      <c r="L24" s="6">
        <v>350</v>
      </c>
      <c r="N24" s="6">
        <v>-482</v>
      </c>
      <c r="O24">
        <v>249</v>
      </c>
      <c r="P24">
        <v>913</v>
      </c>
      <c r="Q24">
        <v>-1</v>
      </c>
    </row>
    <row r="25" spans="2:17" s="5" customFormat="1" x14ac:dyDescent="0.25">
      <c r="B25" s="5" t="s">
        <v>113</v>
      </c>
      <c r="G25" s="10">
        <f>SUM(G23:G24)</f>
        <v>-2768</v>
      </c>
      <c r="H25" s="10">
        <f>SUM(H23:H24)</f>
        <v>1473</v>
      </c>
      <c r="I25" s="10">
        <f t="shared" ref="I25:L25" si="10">SUM(I23:I24)</f>
        <v>310</v>
      </c>
      <c r="J25" s="10">
        <f t="shared" si="10"/>
        <v>2585</v>
      </c>
      <c r="K25" s="10">
        <f t="shared" si="10"/>
        <v>-437</v>
      </c>
      <c r="L25" s="10">
        <f t="shared" si="10"/>
        <v>-1654</v>
      </c>
      <c r="N25" s="7">
        <f>SUM(N23:N24)</f>
        <v>21221</v>
      </c>
      <c r="O25" s="7">
        <f t="shared" ref="O25:P25" si="11">SUM(O23:O24)</f>
        <v>8017</v>
      </c>
      <c r="P25" s="7">
        <f t="shared" si="11"/>
        <v>1675</v>
      </c>
    </row>
    <row r="27" spans="2:17" x14ac:dyDescent="0.25">
      <c r="B27" t="s">
        <v>114</v>
      </c>
      <c r="G27" s="8"/>
      <c r="H27" s="8">
        <f t="shared" ref="H27:L27" si="12">H13/G13-1</f>
        <v>0.10533504054630805</v>
      </c>
      <c r="I27" s="8">
        <f t="shared" si="12"/>
        <v>9.3366283110664972E-2</v>
      </c>
      <c r="J27" s="8">
        <f t="shared" si="12"/>
        <v>8.8148043508970098E-2</v>
      </c>
      <c r="K27" s="8">
        <f t="shared" si="12"/>
        <v>-0.17408801765545889</v>
      </c>
      <c r="L27" s="8">
        <f t="shared" si="12"/>
        <v>8.5664885256209189E-3</v>
      </c>
      <c r="M27" s="8"/>
      <c r="N27" s="8"/>
      <c r="O27" s="8">
        <f>O13/N13-1</f>
        <v>-0.20209050415063778</v>
      </c>
      <c r="P27" s="8">
        <f>P13/O13-1</f>
        <v>-0.13997525930155108</v>
      </c>
    </row>
    <row r="28" spans="2:17" x14ac:dyDescent="0.25">
      <c r="B28" t="s">
        <v>115</v>
      </c>
      <c r="G28" s="8"/>
      <c r="H28" s="8">
        <f t="shared" ref="H28:L28" si="13">H15/G15-1</f>
        <v>0.15718562874251507</v>
      </c>
      <c r="I28" s="8">
        <f t="shared" si="13"/>
        <v>0.29754204398447603</v>
      </c>
      <c r="J28" s="8">
        <f t="shared" si="13"/>
        <v>0.17098703888334987</v>
      </c>
      <c r="K28" s="8">
        <f t="shared" si="13"/>
        <v>-0.25968497232865051</v>
      </c>
      <c r="L28" s="8">
        <f t="shared" si="13"/>
        <v>-0.12842629863906463</v>
      </c>
      <c r="M28" s="8"/>
      <c r="N28" s="8"/>
      <c r="O28" s="8">
        <f>O15/N15-1</f>
        <v>-0.38683099395184295</v>
      </c>
      <c r="P28" s="8">
        <f>P15/O15-1</f>
        <v>-0.19187821037742869</v>
      </c>
    </row>
    <row r="29" spans="2:17" x14ac:dyDescent="0.25">
      <c r="B29" t="s">
        <v>116</v>
      </c>
      <c r="G29" s="8"/>
      <c r="H29" s="8">
        <f t="shared" ref="H29:L29" si="14">H20/G20-1</f>
        <v>-0.30790190735694822</v>
      </c>
      <c r="I29" s="8">
        <f t="shared" si="14"/>
        <v>-0.99212598425196852</v>
      </c>
      <c r="J29" s="8">
        <f t="shared" si="14"/>
        <v>-324.125</v>
      </c>
      <c r="K29" s="8">
        <f t="shared" si="14"/>
        <v>-1.4135396518375241</v>
      </c>
      <c r="L29" s="8">
        <f t="shared" si="14"/>
        <v>0.83723105706267531</v>
      </c>
      <c r="M29" s="8"/>
      <c r="N29" s="8"/>
      <c r="O29" s="8">
        <f>O20/N20-1</f>
        <v>-0.88003700657894735</v>
      </c>
      <c r="P29" s="8">
        <f>P20/O20-1</f>
        <v>-0.96015424164524421</v>
      </c>
    </row>
    <row r="30" spans="2:17" x14ac:dyDescent="0.25">
      <c r="B30" t="s">
        <v>117</v>
      </c>
      <c r="G30" s="8">
        <f t="shared" ref="G30:L30" si="15">G16/G19</f>
        <v>0.75036523009495981</v>
      </c>
      <c r="H30" s="8">
        <f t="shared" si="15"/>
        <v>0.72161301733286165</v>
      </c>
      <c r="I30" s="8">
        <f t="shared" si="15"/>
        <v>0.64221705940922669</v>
      </c>
      <c r="J30" s="8">
        <f t="shared" si="15"/>
        <v>0.89354549529359029</v>
      </c>
      <c r="K30" s="8">
        <f t="shared" si="15"/>
        <v>0.69710467706013368</v>
      </c>
      <c r="L30" s="8">
        <f t="shared" si="15"/>
        <v>0.65105206573491015</v>
      </c>
      <c r="M30" s="8"/>
      <c r="N30" s="8">
        <f>N16/N19</f>
        <v>0.62358881727492921</v>
      </c>
      <c r="O30" s="8">
        <f t="shared" ref="O30:P30" si="16">O16/O19</f>
        <v>0.71449535300831568</v>
      </c>
      <c r="P30" s="8">
        <f t="shared" si="16"/>
        <v>0.74225182718105287</v>
      </c>
    </row>
    <row r="31" spans="2:17" x14ac:dyDescent="0.25">
      <c r="B31" t="s">
        <v>119</v>
      </c>
      <c r="G31" s="8"/>
      <c r="H31" s="8">
        <f t="shared" ref="H31:L31" si="17">H16/G16-1</f>
        <v>-7.0576782672182592E-3</v>
      </c>
      <c r="I31" s="8">
        <f t="shared" si="17"/>
        <v>-5.1470588235294157E-2</v>
      </c>
      <c r="J31" s="8">
        <f t="shared" si="17"/>
        <v>3.0232558139534849E-2</v>
      </c>
      <c r="K31" s="8">
        <f t="shared" si="17"/>
        <v>9.9071983947830455E-2</v>
      </c>
      <c r="L31" s="8">
        <f t="shared" si="17"/>
        <v>-3.2633500684618899E-2</v>
      </c>
      <c r="M31" s="8"/>
      <c r="N31" s="8"/>
      <c r="O31" s="8">
        <f>O16/N16-1</f>
        <v>0.15391705069124417</v>
      </c>
      <c r="P31" s="8">
        <f>P16/O16-1</f>
        <v>-8.4550433591967122E-2</v>
      </c>
    </row>
    <row r="32" spans="2:17" x14ac:dyDescent="0.25">
      <c r="B32" t="s">
        <v>118</v>
      </c>
      <c r="G32" s="8"/>
      <c r="H32" s="8">
        <f t="shared" ref="H32:L32" si="18">H25/G25-1</f>
        <v>-1.5321531791907514</v>
      </c>
      <c r="I32" s="8">
        <f t="shared" si="18"/>
        <v>-0.78954514596062464</v>
      </c>
      <c r="J32" s="8">
        <f t="shared" si="18"/>
        <v>7.3387096774193541</v>
      </c>
      <c r="K32" s="8">
        <f t="shared" si="18"/>
        <v>-1.1690522243713732</v>
      </c>
      <c r="L32" s="8">
        <f t="shared" si="18"/>
        <v>2.7848970251716247</v>
      </c>
      <c r="M32" s="8"/>
      <c r="N32" s="8"/>
      <c r="O32" s="8">
        <f>O25/N25-1</f>
        <v>-0.62221384477640074</v>
      </c>
      <c r="P32" s="8">
        <f>P25/O25-1</f>
        <v>-0.79106897842085566</v>
      </c>
    </row>
  </sheetData>
  <hyperlinks>
    <hyperlink ref="A1" location="Sheet1!A1" display="Main" xr:uid="{15117658-F373-4D58-BA5F-D20EBA0EE1E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2024-09-08T18:06:03Z</dcterms:created>
  <dcterms:modified xsi:type="dcterms:W3CDTF">2024-09-11T02:19:01Z</dcterms:modified>
</cp:coreProperties>
</file>