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9D37849E-93F6-4D13-AB1D-8DC4E1725100}" xr6:coauthVersionLast="47" xr6:coauthVersionMax="47" xr10:uidLastSave="{00000000-0000-0000-0000-000000000000}"/>
  <bookViews>
    <workbookView xWindow="17865" yWindow="0" windowWidth="20640" windowHeight="20985" xr2:uid="{BB64DF12-4F8E-4A34-A19B-EF979A154CED}"/>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7" i="2" l="1"/>
  <c r="O42" i="2"/>
  <c r="P42" i="2"/>
  <c r="N42" i="2"/>
  <c r="O41" i="2"/>
  <c r="P41" i="2"/>
  <c r="N41" i="2"/>
  <c r="O34" i="2"/>
  <c r="P34" i="2"/>
  <c r="Q34" i="2"/>
  <c r="N34" i="2"/>
  <c r="Q10" i="2"/>
  <c r="C40" i="2"/>
  <c r="D40" i="2"/>
  <c r="E40" i="2"/>
  <c r="F40" i="2"/>
  <c r="G40" i="2"/>
  <c r="H40" i="2"/>
  <c r="B40" i="2"/>
  <c r="H21" i="2"/>
  <c r="O36" i="2"/>
  <c r="J35" i="2"/>
  <c r="L35" i="2"/>
  <c r="N35" i="2"/>
  <c r="H10" i="2"/>
  <c r="H39" i="2" s="1"/>
  <c r="Q4" i="2"/>
  <c r="H4" i="2"/>
  <c r="K6" i="1"/>
  <c r="P5" i="2"/>
  <c r="L5" i="2"/>
  <c r="M5" i="2"/>
  <c r="L22" i="2"/>
  <c r="L20" i="2"/>
  <c r="L13" i="2"/>
  <c r="L10" i="2"/>
  <c r="L36" i="2" s="1"/>
  <c r="P22" i="2"/>
  <c r="J38" i="2"/>
  <c r="K38" i="2"/>
  <c r="L38" i="2"/>
  <c r="N38" i="2"/>
  <c r="O38" i="2"/>
  <c r="P38" i="2"/>
  <c r="P20" i="2"/>
  <c r="P13" i="2"/>
  <c r="P10" i="2"/>
  <c r="H27" i="2"/>
  <c r="H42" i="2" s="1"/>
  <c r="K37" i="2"/>
  <c r="L37" i="2"/>
  <c r="N37" i="2"/>
  <c r="O37" i="2"/>
  <c r="J37" i="2"/>
  <c r="J22" i="2"/>
  <c r="N22" i="2"/>
  <c r="J20" i="2"/>
  <c r="J13" i="2"/>
  <c r="J10" i="2"/>
  <c r="J36" i="2" s="1"/>
  <c r="J5" i="2"/>
  <c r="N20" i="2"/>
  <c r="N13" i="2"/>
  <c r="N10" i="2"/>
  <c r="N5" i="2"/>
  <c r="K22" i="2"/>
  <c r="K20" i="2"/>
  <c r="K13" i="2"/>
  <c r="K10" i="2"/>
  <c r="K36" i="2" s="1"/>
  <c r="K5" i="2"/>
  <c r="O22" i="2"/>
  <c r="O20" i="2"/>
  <c r="O13" i="2"/>
  <c r="O10" i="2"/>
  <c r="O35" i="2" s="1"/>
  <c r="O5" i="2"/>
  <c r="P36" i="2" l="1"/>
  <c r="K35" i="2"/>
  <c r="N36" i="2"/>
  <c r="P35" i="2"/>
  <c r="L14" i="2"/>
  <c r="L39" i="2"/>
  <c r="L21" i="2"/>
  <c r="L23" i="2" s="1"/>
  <c r="P14" i="2"/>
  <c r="J14" i="2"/>
  <c r="N14" i="2"/>
  <c r="K14" i="2"/>
  <c r="O14" i="2"/>
  <c r="D27" i="2"/>
  <c r="E42" i="2" s="1"/>
  <c r="C27" i="2"/>
  <c r="B27" i="2"/>
  <c r="C37" i="2"/>
  <c r="D37" i="2"/>
  <c r="C38" i="2"/>
  <c r="D38" i="2"/>
  <c r="B38" i="2"/>
  <c r="B37" i="2"/>
  <c r="D22" i="2"/>
  <c r="C22" i="2"/>
  <c r="B22" i="2"/>
  <c r="B20" i="2"/>
  <c r="C20" i="2"/>
  <c r="D20" i="2"/>
  <c r="C13" i="2"/>
  <c r="D13" i="2"/>
  <c r="B13" i="2"/>
  <c r="C10" i="2"/>
  <c r="D10" i="2"/>
  <c r="B10" i="2"/>
  <c r="C5" i="2"/>
  <c r="D5" i="2"/>
  <c r="E5" i="2"/>
  <c r="C2" i="2"/>
  <c r="D2" i="2" s="1"/>
  <c r="E2" i="2" s="1"/>
  <c r="F2" i="2" s="1"/>
  <c r="G2" i="2" s="1"/>
  <c r="H2" i="2" s="1"/>
  <c r="G22" i="2"/>
  <c r="F22" i="2"/>
  <c r="E22" i="2"/>
  <c r="F20" i="2"/>
  <c r="G20" i="2"/>
  <c r="E20" i="2"/>
  <c r="F38" i="2"/>
  <c r="G38" i="2"/>
  <c r="E38" i="2"/>
  <c r="F37" i="2"/>
  <c r="G37" i="2"/>
  <c r="E37" i="2"/>
  <c r="F13" i="2"/>
  <c r="G13" i="2"/>
  <c r="E13" i="2"/>
  <c r="F10" i="2"/>
  <c r="G10" i="2"/>
  <c r="E10" i="2"/>
  <c r="F5" i="2"/>
  <c r="G5" i="2"/>
  <c r="B5" i="2"/>
  <c r="G42" i="2"/>
  <c r="F42" i="2"/>
  <c r="K5" i="1"/>
  <c r="E36" i="2" l="1"/>
  <c r="E35" i="2"/>
  <c r="H34" i="2"/>
  <c r="G36" i="2"/>
  <c r="H9" i="2" s="1"/>
  <c r="G35" i="2"/>
  <c r="H8" i="2" s="1"/>
  <c r="H35" i="2" s="1"/>
  <c r="D35" i="2"/>
  <c r="D36" i="2"/>
  <c r="F35" i="2"/>
  <c r="F36" i="2"/>
  <c r="B36" i="2"/>
  <c r="B35" i="2"/>
  <c r="C36" i="2"/>
  <c r="C35" i="2"/>
  <c r="E34" i="2"/>
  <c r="N21" i="2"/>
  <c r="N39" i="2"/>
  <c r="P21" i="2"/>
  <c r="P39" i="2"/>
  <c r="K21" i="2"/>
  <c r="K39" i="2"/>
  <c r="J21" i="2"/>
  <c r="J39" i="2"/>
  <c r="O21" i="2"/>
  <c r="O39" i="2"/>
  <c r="K8" i="1"/>
  <c r="K9" i="1" s="1"/>
  <c r="P23" i="2"/>
  <c r="D34" i="2"/>
  <c r="B14" i="2"/>
  <c r="B39" i="2" s="1"/>
  <c r="D14" i="2"/>
  <c r="D21" i="2" s="1"/>
  <c r="D23" i="2" s="1"/>
  <c r="C14" i="2"/>
  <c r="C34" i="2"/>
  <c r="D42" i="2"/>
  <c r="C42" i="2"/>
  <c r="F14" i="2"/>
  <c r="E14" i="2"/>
  <c r="G34" i="2"/>
  <c r="G14" i="2"/>
  <c r="F34" i="2"/>
  <c r="H36" i="2" l="1"/>
  <c r="D39" i="2"/>
  <c r="B21" i="2"/>
  <c r="B23" i="2" s="1"/>
  <c r="J23" i="2"/>
  <c r="O23" i="2"/>
  <c r="K23" i="2"/>
  <c r="N23" i="2"/>
  <c r="C21" i="2"/>
  <c r="C39" i="2"/>
  <c r="G39" i="2"/>
  <c r="G21" i="2"/>
  <c r="H41" i="2" s="1"/>
  <c r="E39" i="2"/>
  <c r="E21" i="2"/>
  <c r="F39" i="2"/>
  <c r="F21" i="2"/>
  <c r="E23" i="2" l="1"/>
  <c r="E41" i="2"/>
  <c r="C41" i="2"/>
  <c r="D41" i="2"/>
  <c r="C23" i="2"/>
  <c r="G41" i="2"/>
  <c r="G23" i="2"/>
  <c r="F41" i="2"/>
  <c r="F23" i="2"/>
</calcChain>
</file>

<file path=xl/sharedStrings.xml><?xml version="1.0" encoding="utf-8"?>
<sst xmlns="http://schemas.openxmlformats.org/spreadsheetml/2006/main" count="116" uniqueCount="116">
  <si>
    <t>Rapid7 Inc</t>
  </si>
  <si>
    <t>Price</t>
  </si>
  <si>
    <t>SO</t>
  </si>
  <si>
    <t>MC</t>
  </si>
  <si>
    <t>Cash</t>
  </si>
  <si>
    <t>Debt</t>
  </si>
  <si>
    <t>EV</t>
  </si>
  <si>
    <t>CEO</t>
  </si>
  <si>
    <t>Corey Thomas</t>
  </si>
  <si>
    <t xml:space="preserve">fy </t>
  </si>
  <si>
    <t>Business</t>
  </si>
  <si>
    <t xml:space="preserve">global cybersecu software and services provider on a mission to offer customers greater clarity and control of their attack surface through their comprehensive and consolidated security offerings. </t>
  </si>
  <si>
    <t xml:space="preserve">rapid7 extends and expands the expertise of the SOC across information sec, cloud ops and IT teams, enabling them to better understand the attacker and leverage that information to take control of their fragmented attack surface. </t>
  </si>
  <si>
    <t>Customers</t>
  </si>
  <si>
    <t>rapid7 insight agent</t>
  </si>
  <si>
    <t>rapid7 insight network sensor</t>
  </si>
  <si>
    <t>rapid7 cloud event data haversting</t>
  </si>
  <si>
    <t>2rd party integrations aned ecosystem</t>
  </si>
  <si>
    <t>orchestration and automation</t>
  </si>
  <si>
    <t>offerings:</t>
  </si>
  <si>
    <t>rapid7 managed threat compete (MDR and MVM)</t>
  </si>
  <si>
    <t>rapid7 threat complete</t>
  </si>
  <si>
    <t>insightIDR</t>
  </si>
  <si>
    <t>insightVM</t>
  </si>
  <si>
    <t>rapid7  cloud risk complete</t>
  </si>
  <si>
    <t>insightCloudsec</t>
  </si>
  <si>
    <t>insightAppsec</t>
  </si>
  <si>
    <t>opens oruce ocmomunity</t>
  </si>
  <si>
    <t>metasploit</t>
  </si>
  <si>
    <t>project lorelei</t>
  </si>
  <si>
    <t>project sonar</t>
  </si>
  <si>
    <t>velociraptor open source digital forensic and incident response/</t>
  </si>
  <si>
    <t>professional services</t>
  </si>
  <si>
    <t>pen testing</t>
  </si>
  <si>
    <t>cybersecurity maturity assessments</t>
  </si>
  <si>
    <t>tabletop</t>
  </si>
  <si>
    <t>IR services</t>
  </si>
  <si>
    <t>manufacturing industry their largest customer - 15% of revenue</t>
  </si>
  <si>
    <t>45 % of revenue come from customers with revenue greater than 1B or more than 2500 employees</t>
  </si>
  <si>
    <t>customer driven shift to consolidated security platforms</t>
  </si>
  <si>
    <t>underwernt a restructuring plan in AUG 2023</t>
  </si>
  <si>
    <t>business model</t>
  </si>
  <si>
    <t>cloud based subs</t>
  </si>
  <si>
    <t>managed services</t>
  </si>
  <si>
    <t>licensed on prem software consists of term licenses.</t>
  </si>
  <si>
    <t>products offered through their consolidated offerings.</t>
  </si>
  <si>
    <t># in thousands (not customers tho)</t>
  </si>
  <si>
    <t>rev growtth yoy</t>
  </si>
  <si>
    <t>fcf</t>
  </si>
  <si>
    <t>fcf yoy</t>
  </si>
  <si>
    <t>ARR</t>
  </si>
  <si>
    <t>ARR per customer</t>
  </si>
  <si>
    <t>product revenue</t>
  </si>
  <si>
    <t>total revenue</t>
  </si>
  <si>
    <t>cost of prod</t>
  </si>
  <si>
    <t>cost of prof serv</t>
  </si>
  <si>
    <t>total cost of rev</t>
  </si>
  <si>
    <t>total gross %</t>
  </si>
  <si>
    <t>gross profit</t>
  </si>
  <si>
    <t>R&amp;D</t>
  </si>
  <si>
    <t>s&amp;m</t>
  </si>
  <si>
    <t>g&amp;a</t>
  </si>
  <si>
    <t>imp. of long lived assets</t>
  </si>
  <si>
    <t>restructuring</t>
  </si>
  <si>
    <t>total op loss</t>
  </si>
  <si>
    <t>loss from operations</t>
  </si>
  <si>
    <t>loss from op yoy</t>
  </si>
  <si>
    <t>income (expense)</t>
  </si>
  <si>
    <t>net loss</t>
  </si>
  <si>
    <t># in thou</t>
  </si>
  <si>
    <t>adjusted EBITDA</t>
  </si>
  <si>
    <t>ev/fcf</t>
  </si>
  <si>
    <t>q224</t>
  </si>
  <si>
    <t>q223</t>
  </si>
  <si>
    <t>q124</t>
  </si>
  <si>
    <t>q123</t>
  </si>
  <si>
    <t>prod serv revenue</t>
  </si>
  <si>
    <t>q423</t>
  </si>
  <si>
    <t>q323</t>
  </si>
  <si>
    <t>q324</t>
  </si>
  <si>
    <t>acquisitions</t>
  </si>
  <si>
    <t>Noetic Cyber</t>
  </si>
  <si>
    <t>Date</t>
  </si>
  <si>
    <t>company</t>
  </si>
  <si>
    <t>price</t>
  </si>
  <si>
    <t>bio</t>
  </si>
  <si>
    <t>cyber asset attack sufrace management</t>
  </si>
  <si>
    <t>51M</t>
  </si>
  <si>
    <t>Minerva Labs</t>
  </si>
  <si>
    <t>anti evasion and ransomware prevention tech</t>
  </si>
  <si>
    <t>34.6M</t>
  </si>
  <si>
    <t>q3 '24 earnings call notes</t>
  </si>
  <si>
    <t>Threat Detection Response business their area of strength and double digit growth -drove majority of growth in q3</t>
  </si>
  <si>
    <t>q424</t>
  </si>
  <si>
    <t>strong continued demand for consolidated offering across both threat detection and trisk management - together scaled to make up over 175M of ARR</t>
  </si>
  <si>
    <t>avg ARR / customer who own one of consolidated offerings is abt 150k</t>
  </si>
  <si>
    <t>2024 priorities / focuses:</t>
  </si>
  <si>
    <t>innovating to deliver world class detection response experience to their customers</t>
  </si>
  <si>
    <t>accelerating cloud security adoption</t>
  </si>
  <si>
    <t>expanding tyheir partner ecosystem for scale and efficient demand generation - 90% of new ARR bookings were sold through partner ecosystem</t>
  </si>
  <si>
    <t>rapid7 Partner Academy: equips their partners with technical expertise around the command platform</t>
  </si>
  <si>
    <t xml:space="preserve">many customers lack a firm grasp of the assets across their hybrid IT environments: Gartner estimates that less than 20% of organizations can clearly identify and inventory a majority of their assets. </t>
  </si>
  <si>
    <t>expect to start 2025 with a stronger pipeline than last year based on how demand generation is currently trending</t>
  </si>
  <si>
    <t>early 2025 expectation: flat to mild ARR growth rate</t>
  </si>
  <si>
    <t>product / total rev</t>
  </si>
  <si>
    <t>service / total rev</t>
  </si>
  <si>
    <t>op margin</t>
  </si>
  <si>
    <t>gross product margin %</t>
  </si>
  <si>
    <t>gross service margin%</t>
  </si>
  <si>
    <t>have 11,000+  customers --&gt; market oportuniry 70k</t>
  </si>
  <si>
    <t>set up next year is focused on the growth risk acceleration</t>
  </si>
  <si>
    <t>expect to see more fcf dollars as they go forward</t>
  </si>
  <si>
    <t>collect more data for more systems than anywhere else in the world</t>
  </si>
  <si>
    <t>MDR?</t>
  </si>
  <si>
    <t>have business with FED</t>
  </si>
  <si>
    <t>D&amp;R business is half of their ARR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</si>
</sst>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_);\(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8"/>
      <color theme="1"/>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8" fontId="0" fillId="0" borderId="0" xfId="0" applyNumberFormat="1"/>
    <xf numFmtId="16" fontId="0" fillId="0" borderId="0" xfId="0" applyNumberFormat="1"/>
    <xf numFmtId="6" fontId="0" fillId="0" borderId="0" xfId="0" applyNumberFormat="1"/>
    <xf numFmtId="0" fontId="2" fillId="0" borderId="0" xfId="0" applyFont="1"/>
    <xf numFmtId="9" fontId="0" fillId="0" borderId="0" xfId="1" applyFont="1"/>
    <xf numFmtId="164" fontId="0" fillId="0" borderId="0" xfId="0" applyNumberFormat="1"/>
    <xf numFmtId="164" fontId="2" fillId="0" borderId="0" xfId="0" applyNumberFormat="1" applyFont="1"/>
    <xf numFmtId="2" fontId="0" fillId="0" borderId="0" xfId="0" applyNumberFormat="1"/>
    <xf numFmtId="0" fontId="2" fillId="0" borderId="1" xfId="0" applyFont="1" applyBorder="1"/>
    <xf numFmtId="0" fontId="0" fillId="0" borderId="1" xfId="0" applyBorder="1"/>
    <xf numFmtId="164" fontId="0" fillId="0" borderId="1" xfId="0" applyNumberFormat="1" applyBorder="1"/>
    <xf numFmtId="164" fontId="2" fillId="0" borderId="1" xfId="0" applyNumberFormat="1" applyFont="1" applyBorder="1"/>
    <xf numFmtId="9" fontId="0" fillId="0" borderId="1" xfId="1" applyFont="1" applyBorder="1"/>
    <xf numFmtId="9" fontId="2" fillId="0" borderId="0" xfId="1" applyFont="1"/>
    <xf numFmtId="0" fontId="0" fillId="2" borderId="0" xfId="0" applyFill="1"/>
    <xf numFmtId="0" fontId="2" fillId="2" borderId="0" xfId="0" applyFont="1" applyFill="1"/>
    <xf numFmtId="0" fontId="2" fillId="0" borderId="0" xfId="0" applyFont="1" applyAlignment="1">
      <alignment horizontal="center"/>
    </xf>
    <xf numFmtId="17" fontId="0" fillId="0" borderId="0" xfId="0" applyNumberFormat="1"/>
    <xf numFmtId="0" fontId="0" fillId="0" borderId="2" xfId="0" applyBorder="1"/>
    <xf numFmtId="9" fontId="1" fillId="0" borderId="0" xfId="1" applyFont="1"/>
    <xf numFmtId="9" fontId="1" fillId="0" borderId="1" xfId="1" applyFont="1" applyBorder="1"/>
    <xf numFmtId="0" fontId="2" fillId="0" borderId="0"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9B9F-7FC2-42E4-AED4-1E861F7949C0}">
  <dimension ref="A1:L82"/>
  <sheetViews>
    <sheetView tabSelected="1" topLeftCell="A54" zoomScale="130" zoomScaleNormal="130" workbookViewId="0">
      <selection activeCell="B82" sqref="B82"/>
    </sheetView>
  </sheetViews>
  <sheetFormatPr defaultRowHeight="15" x14ac:dyDescent="0.25"/>
  <cols>
    <col min="3" max="3" width="12" bestFit="1" customWidth="1"/>
    <col min="11" max="11" width="18.28515625" bestFit="1" customWidth="1"/>
  </cols>
  <sheetData>
    <row r="1" spans="2:12" x14ac:dyDescent="0.25">
      <c r="K1" t="s">
        <v>69</v>
      </c>
    </row>
    <row r="2" spans="2:12" ht="24" x14ac:dyDescent="0.4">
      <c r="B2" s="1" t="s">
        <v>0</v>
      </c>
    </row>
    <row r="3" spans="2:12" x14ac:dyDescent="0.25">
      <c r="J3" t="s">
        <v>1</v>
      </c>
      <c r="K3" s="2">
        <v>38.26</v>
      </c>
    </row>
    <row r="4" spans="2:12" x14ac:dyDescent="0.25">
      <c r="B4" t="s">
        <v>7</v>
      </c>
      <c r="C4" t="s">
        <v>8</v>
      </c>
      <c r="J4" t="s">
        <v>2</v>
      </c>
      <c r="K4">
        <v>63207</v>
      </c>
    </row>
    <row r="5" spans="2:12" x14ac:dyDescent="0.25">
      <c r="B5" t="s">
        <v>9</v>
      </c>
      <c r="C5" s="3">
        <v>45657</v>
      </c>
      <c r="J5" t="s">
        <v>3</v>
      </c>
      <c r="K5" s="4">
        <f>K4*K3</f>
        <v>2418299.8199999998</v>
      </c>
    </row>
    <row r="6" spans="2:12" x14ac:dyDescent="0.25">
      <c r="J6" t="s">
        <v>4</v>
      </c>
      <c r="K6">
        <f>222571+221122</f>
        <v>443693</v>
      </c>
    </row>
    <row r="7" spans="2:12" x14ac:dyDescent="0.25">
      <c r="J7" t="s">
        <v>5</v>
      </c>
      <c r="K7">
        <v>573629</v>
      </c>
    </row>
    <row r="8" spans="2:12" x14ac:dyDescent="0.25">
      <c r="J8" t="s">
        <v>6</v>
      </c>
      <c r="K8" s="4">
        <f>K5+K7-K6-34</f>
        <v>2548201.8199999998</v>
      </c>
      <c r="L8" s="2"/>
    </row>
    <row r="9" spans="2:12" x14ac:dyDescent="0.25">
      <c r="J9" t="s">
        <v>71</v>
      </c>
      <c r="K9" s="9">
        <f>K8/model!G27</f>
        <v>30.323462170074016</v>
      </c>
    </row>
    <row r="15" spans="2:12" x14ac:dyDescent="0.25">
      <c r="B15" s="5" t="s">
        <v>10</v>
      </c>
    </row>
    <row r="16" spans="2:12" x14ac:dyDescent="0.25">
      <c r="B16" t="s">
        <v>11</v>
      </c>
    </row>
    <row r="17" spans="2:4" x14ac:dyDescent="0.25">
      <c r="B17" t="s">
        <v>12</v>
      </c>
    </row>
    <row r="18" spans="2:4" x14ac:dyDescent="0.25">
      <c r="B18" t="s">
        <v>14</v>
      </c>
    </row>
    <row r="19" spans="2:4" x14ac:dyDescent="0.25">
      <c r="B19" t="s">
        <v>15</v>
      </c>
    </row>
    <row r="20" spans="2:4" x14ac:dyDescent="0.25">
      <c r="B20" t="s">
        <v>16</v>
      </c>
    </row>
    <row r="21" spans="2:4" x14ac:dyDescent="0.25">
      <c r="B21" t="s">
        <v>17</v>
      </c>
    </row>
    <row r="22" spans="2:4" x14ac:dyDescent="0.25">
      <c r="B22" t="s">
        <v>18</v>
      </c>
    </row>
    <row r="23" spans="2:4" x14ac:dyDescent="0.25">
      <c r="B23" t="s">
        <v>19</v>
      </c>
    </row>
    <row r="24" spans="2:4" x14ac:dyDescent="0.25">
      <c r="C24" t="s">
        <v>20</v>
      </c>
    </row>
    <row r="25" spans="2:4" x14ac:dyDescent="0.25">
      <c r="C25" t="s">
        <v>21</v>
      </c>
    </row>
    <row r="26" spans="2:4" x14ac:dyDescent="0.25">
      <c r="D26" t="s">
        <v>22</v>
      </c>
    </row>
    <row r="27" spans="2:4" x14ac:dyDescent="0.25">
      <c r="D27" t="s">
        <v>23</v>
      </c>
    </row>
    <row r="28" spans="2:4" x14ac:dyDescent="0.25">
      <c r="C28" t="s">
        <v>24</v>
      </c>
    </row>
    <row r="29" spans="2:4" x14ac:dyDescent="0.25">
      <c r="D29" t="s">
        <v>25</v>
      </c>
    </row>
    <row r="30" spans="2:4" x14ac:dyDescent="0.25">
      <c r="D30" t="s">
        <v>26</v>
      </c>
    </row>
    <row r="31" spans="2:4" x14ac:dyDescent="0.25">
      <c r="B31" t="s">
        <v>27</v>
      </c>
    </row>
    <row r="32" spans="2:4" x14ac:dyDescent="0.25">
      <c r="C32" t="s">
        <v>28</v>
      </c>
    </row>
    <row r="33" spans="2:3" x14ac:dyDescent="0.25">
      <c r="C33" t="s">
        <v>29</v>
      </c>
    </row>
    <row r="34" spans="2:3" x14ac:dyDescent="0.25">
      <c r="C34" t="s">
        <v>30</v>
      </c>
    </row>
    <row r="35" spans="2:3" x14ac:dyDescent="0.25">
      <c r="C35" t="s">
        <v>31</v>
      </c>
    </row>
    <row r="36" spans="2:3" x14ac:dyDescent="0.25">
      <c r="B36" t="s">
        <v>32</v>
      </c>
    </row>
    <row r="37" spans="2:3" x14ac:dyDescent="0.25">
      <c r="C37" t="s">
        <v>33</v>
      </c>
    </row>
    <row r="38" spans="2:3" x14ac:dyDescent="0.25">
      <c r="C38" t="s">
        <v>34</v>
      </c>
    </row>
    <row r="39" spans="2:3" x14ac:dyDescent="0.25">
      <c r="C39" t="s">
        <v>35</v>
      </c>
    </row>
    <row r="40" spans="2:3" x14ac:dyDescent="0.25">
      <c r="C40" t="s">
        <v>36</v>
      </c>
    </row>
    <row r="42" spans="2:3" x14ac:dyDescent="0.25">
      <c r="B42" t="s">
        <v>37</v>
      </c>
    </row>
    <row r="43" spans="2:3" x14ac:dyDescent="0.25">
      <c r="B43" t="s">
        <v>38</v>
      </c>
    </row>
    <row r="45" spans="2:3" x14ac:dyDescent="0.25">
      <c r="B45" t="s">
        <v>39</v>
      </c>
    </row>
    <row r="47" spans="2:3" x14ac:dyDescent="0.25">
      <c r="B47" t="s">
        <v>40</v>
      </c>
    </row>
    <row r="49" spans="2:5" x14ac:dyDescent="0.25">
      <c r="B49" t="s">
        <v>41</v>
      </c>
    </row>
    <row r="50" spans="2:5" x14ac:dyDescent="0.25">
      <c r="C50" t="s">
        <v>42</v>
      </c>
    </row>
    <row r="51" spans="2:5" x14ac:dyDescent="0.25">
      <c r="C51" t="s">
        <v>43</v>
      </c>
    </row>
    <row r="52" spans="2:5" x14ac:dyDescent="0.25">
      <c r="C52" t="s">
        <v>44</v>
      </c>
    </row>
    <row r="53" spans="2:5" x14ac:dyDescent="0.25">
      <c r="C53" t="s">
        <v>45</v>
      </c>
    </row>
    <row r="58" spans="2:5" x14ac:dyDescent="0.25">
      <c r="B58" s="18" t="s">
        <v>80</v>
      </c>
      <c r="C58" s="18"/>
      <c r="D58" s="18"/>
      <c r="E58" s="18"/>
    </row>
    <row r="59" spans="2:5" x14ac:dyDescent="0.25">
      <c r="B59" s="20" t="s">
        <v>82</v>
      </c>
      <c r="C59" s="20" t="s">
        <v>83</v>
      </c>
      <c r="D59" s="20" t="s">
        <v>84</v>
      </c>
      <c r="E59" s="20" t="s">
        <v>85</v>
      </c>
    </row>
    <row r="60" spans="2:5" x14ac:dyDescent="0.25">
      <c r="B60" s="19">
        <v>45474</v>
      </c>
      <c r="C60" t="s">
        <v>81</v>
      </c>
      <c r="D60" t="s">
        <v>87</v>
      </c>
      <c r="E60" t="s">
        <v>86</v>
      </c>
    </row>
    <row r="61" spans="2:5" x14ac:dyDescent="0.25">
      <c r="B61" s="19">
        <v>44986</v>
      </c>
      <c r="C61" t="s">
        <v>88</v>
      </c>
      <c r="D61" t="s">
        <v>90</v>
      </c>
      <c r="E61" t="s">
        <v>89</v>
      </c>
    </row>
    <row r="64" spans="2:5" x14ac:dyDescent="0.25">
      <c r="B64" s="20" t="s">
        <v>91</v>
      </c>
    </row>
    <row r="65" spans="1:4" x14ac:dyDescent="0.25">
      <c r="B65" t="s">
        <v>92</v>
      </c>
    </row>
    <row r="66" spans="1:4" x14ac:dyDescent="0.25">
      <c r="B66" t="s">
        <v>94</v>
      </c>
    </row>
    <row r="67" spans="1:4" x14ac:dyDescent="0.25">
      <c r="C67" t="s">
        <v>95</v>
      </c>
    </row>
    <row r="68" spans="1:4" x14ac:dyDescent="0.25">
      <c r="B68" t="s">
        <v>96</v>
      </c>
    </row>
    <row r="69" spans="1:4" x14ac:dyDescent="0.25">
      <c r="C69" t="s">
        <v>97</v>
      </c>
    </row>
    <row r="70" spans="1:4" x14ac:dyDescent="0.25">
      <c r="C70" t="s">
        <v>99</v>
      </c>
    </row>
    <row r="71" spans="1:4" x14ac:dyDescent="0.25">
      <c r="D71" t="s">
        <v>100</v>
      </c>
    </row>
    <row r="72" spans="1:4" x14ac:dyDescent="0.25">
      <c r="C72" t="s">
        <v>98</v>
      </c>
    </row>
    <row r="73" spans="1:4" x14ac:dyDescent="0.25">
      <c r="B73" t="s">
        <v>101</v>
      </c>
    </row>
    <row r="74" spans="1:4" x14ac:dyDescent="0.25">
      <c r="B74" t="s">
        <v>102</v>
      </c>
    </row>
    <row r="75" spans="1:4" x14ac:dyDescent="0.25">
      <c r="B75" t="s">
        <v>103</v>
      </c>
    </row>
    <row r="76" spans="1:4" x14ac:dyDescent="0.25">
      <c r="A76" s="5"/>
      <c r="B76" s="5" t="s">
        <v>109</v>
      </c>
    </row>
    <row r="77" spans="1:4" x14ac:dyDescent="0.25">
      <c r="B77" t="s">
        <v>110</v>
      </c>
    </row>
    <row r="78" spans="1:4" x14ac:dyDescent="0.25">
      <c r="B78" t="s">
        <v>111</v>
      </c>
    </row>
    <row r="79" spans="1:4" x14ac:dyDescent="0.25">
      <c r="B79" t="s">
        <v>112</v>
      </c>
    </row>
    <row r="80" spans="1:4" x14ac:dyDescent="0.25">
      <c r="B80" t="s">
        <v>113</v>
      </c>
    </row>
    <row r="81" spans="2:2" x14ac:dyDescent="0.25">
      <c r="B81" t="s">
        <v>114</v>
      </c>
    </row>
    <row r="82" spans="2:2" x14ac:dyDescent="0.25">
      <c r="B82" t="s">
        <v>115</v>
      </c>
    </row>
  </sheetData>
  <mergeCells count="1">
    <mergeCell ref="B58:E5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6320-FE13-4ACB-86E1-0D668F5D5E2C}">
  <dimension ref="A1:Q42"/>
  <sheetViews>
    <sheetView topLeftCell="A2" zoomScale="175" zoomScaleNormal="175" workbookViewId="0">
      <pane xSplit="1" ySplit="1" topLeftCell="H15" activePane="bottomRight" state="frozen"/>
      <selection activeCell="H18" sqref="H18"/>
      <selection pane="topRight" activeCell="H18" sqref="H18"/>
      <selection pane="bottomLeft" activeCell="H18" sqref="H18"/>
      <selection pane="bottomRight" activeCell="P37" sqref="P37"/>
    </sheetView>
  </sheetViews>
  <sheetFormatPr defaultRowHeight="15" x14ac:dyDescent="0.25"/>
  <cols>
    <col min="1" max="1" width="22.28515625" bestFit="1" customWidth="1"/>
    <col min="8" max="8" width="9.140625" style="5"/>
    <col min="14" max="14" width="10.7109375" bestFit="1" customWidth="1"/>
    <col min="16" max="16" width="9.140625" style="11"/>
  </cols>
  <sheetData>
    <row r="1" spans="1:17" x14ac:dyDescent="0.25">
      <c r="F1" t="s">
        <v>46</v>
      </c>
    </row>
    <row r="2" spans="1:17" x14ac:dyDescent="0.25">
      <c r="B2" s="5">
        <v>2018</v>
      </c>
      <c r="C2" s="5">
        <f>B2+1</f>
        <v>2019</v>
      </c>
      <c r="D2" s="5">
        <f t="shared" ref="D2:H2" si="0">C2+1</f>
        <v>2020</v>
      </c>
      <c r="E2" s="5">
        <f t="shared" si="0"/>
        <v>2021</v>
      </c>
      <c r="F2" s="5">
        <f t="shared" si="0"/>
        <v>2022</v>
      </c>
      <c r="G2" s="10">
        <f t="shared" si="0"/>
        <v>2023</v>
      </c>
      <c r="H2" s="17">
        <f t="shared" si="0"/>
        <v>2024</v>
      </c>
      <c r="J2" t="s">
        <v>75</v>
      </c>
      <c r="K2" t="s">
        <v>73</v>
      </c>
      <c r="L2" t="s">
        <v>78</v>
      </c>
      <c r="M2" t="s">
        <v>77</v>
      </c>
      <c r="N2" t="s">
        <v>74</v>
      </c>
      <c r="O2" t="s">
        <v>72</v>
      </c>
      <c r="P2" s="11" t="s">
        <v>79</v>
      </c>
      <c r="Q2" s="16" t="s">
        <v>93</v>
      </c>
    </row>
    <row r="3" spans="1:17" x14ac:dyDescent="0.25">
      <c r="A3" t="s">
        <v>13</v>
      </c>
      <c r="C3">
        <v>9022</v>
      </c>
      <c r="D3">
        <v>9736</v>
      </c>
      <c r="F3">
        <v>10929</v>
      </c>
      <c r="G3" s="11">
        <v>11526</v>
      </c>
      <c r="J3">
        <v>11034</v>
      </c>
      <c r="K3">
        <v>11287</v>
      </c>
      <c r="L3">
        <v>11412</v>
      </c>
      <c r="N3">
        <v>11462</v>
      </c>
      <c r="O3">
        <v>11484</v>
      </c>
      <c r="P3" s="11">
        <v>11619</v>
      </c>
    </row>
    <row r="4" spans="1:17" x14ac:dyDescent="0.25">
      <c r="A4" t="s">
        <v>50</v>
      </c>
      <c r="C4">
        <v>338714</v>
      </c>
      <c r="D4">
        <v>432946</v>
      </c>
      <c r="F4">
        <v>714231</v>
      </c>
      <c r="G4" s="11">
        <v>805670</v>
      </c>
      <c r="H4" s="5">
        <f>AVERAGE(835000,845000)</f>
        <v>840000</v>
      </c>
      <c r="J4">
        <v>727853</v>
      </c>
      <c r="K4">
        <v>750850</v>
      </c>
      <c r="L4">
        <v>776760</v>
      </c>
      <c r="N4">
        <v>807196</v>
      </c>
      <c r="O4">
        <v>815630</v>
      </c>
      <c r="P4" s="11">
        <v>823104</v>
      </c>
      <c r="Q4" s="5">
        <f>AVERAGE(835000,845000)</f>
        <v>840000</v>
      </c>
    </row>
    <row r="5" spans="1:17" x14ac:dyDescent="0.25">
      <c r="A5" t="s">
        <v>51</v>
      </c>
      <c r="B5" t="e">
        <f>B4/B3</f>
        <v>#DIV/0!</v>
      </c>
      <c r="C5">
        <f t="shared" ref="C5:E5" si="1">C4/C3</f>
        <v>37.543116825537574</v>
      </c>
      <c r="D5">
        <f t="shared" si="1"/>
        <v>44.468570254724732</v>
      </c>
      <c r="E5" t="e">
        <f t="shared" si="1"/>
        <v>#DIV/0!</v>
      </c>
      <c r="F5">
        <f t="shared" ref="F5:G5" si="2">F4/F3</f>
        <v>65.351907768322818</v>
      </c>
      <c r="G5" s="11">
        <f t="shared" si="2"/>
        <v>69.900225576956444</v>
      </c>
      <c r="J5">
        <f t="shared" ref="J5" si="3">J4/J3</f>
        <v>65.964564074678265</v>
      </c>
      <c r="K5">
        <f t="shared" ref="K5:M5" si="4">K4/K3</f>
        <v>66.523434039160094</v>
      </c>
      <c r="L5">
        <f t="shared" si="4"/>
        <v>68.065194532071501</v>
      </c>
      <c r="M5" t="e">
        <f t="shared" si="4"/>
        <v>#DIV/0!</v>
      </c>
      <c r="N5">
        <f t="shared" ref="N5" si="5">N4/N3</f>
        <v>70.423660792182872</v>
      </c>
      <c r="O5">
        <f t="shared" ref="O5:P5" si="6">O4/O3</f>
        <v>71.023162661093693</v>
      </c>
      <c r="P5" s="11">
        <f t="shared" si="6"/>
        <v>70.841208365608054</v>
      </c>
    </row>
    <row r="6" spans="1:17" x14ac:dyDescent="0.25">
      <c r="G6" s="11"/>
    </row>
    <row r="7" spans="1:17" x14ac:dyDescent="0.25">
      <c r="G7" s="11"/>
    </row>
    <row r="8" spans="1:17" x14ac:dyDescent="0.25">
      <c r="A8" t="s">
        <v>52</v>
      </c>
      <c r="B8">
        <v>210794</v>
      </c>
      <c r="C8">
        <v>297897</v>
      </c>
      <c r="D8">
        <v>382922</v>
      </c>
      <c r="E8">
        <v>500843</v>
      </c>
      <c r="F8">
        <v>647535</v>
      </c>
      <c r="G8" s="11">
        <v>740168</v>
      </c>
      <c r="H8" s="5">
        <f>H10*G35</f>
        <v>799454.19033132016</v>
      </c>
      <c r="J8">
        <v>173772</v>
      </c>
      <c r="K8">
        <v>181701</v>
      </c>
      <c r="L8">
        <v>189876</v>
      </c>
      <c r="N8">
        <v>196918</v>
      </c>
      <c r="O8">
        <v>200067</v>
      </c>
      <c r="P8" s="11">
        <v>205593</v>
      </c>
    </row>
    <row r="9" spans="1:17" x14ac:dyDescent="0.25">
      <c r="A9" t="s">
        <v>76</v>
      </c>
      <c r="B9">
        <v>33297</v>
      </c>
      <c r="C9">
        <v>29050</v>
      </c>
      <c r="D9">
        <v>28564</v>
      </c>
      <c r="E9">
        <v>34561</v>
      </c>
      <c r="F9">
        <v>37548</v>
      </c>
      <c r="G9" s="11">
        <v>37539</v>
      </c>
      <c r="H9" s="5">
        <f>H10*G36</f>
        <v>40545.809668679853</v>
      </c>
      <c r="J9">
        <v>9402</v>
      </c>
      <c r="K9">
        <v>8721</v>
      </c>
      <c r="L9">
        <v>8967</v>
      </c>
      <c r="N9">
        <v>8183</v>
      </c>
      <c r="O9">
        <v>7924</v>
      </c>
      <c r="P9" s="11">
        <v>9061</v>
      </c>
    </row>
    <row r="10" spans="1:17" x14ac:dyDescent="0.25">
      <c r="A10" s="5" t="s">
        <v>53</v>
      </c>
      <c r="B10" s="5">
        <f>SUM(B8:B9)</f>
        <v>244091</v>
      </c>
      <c r="C10" s="5">
        <f t="shared" ref="C10:D10" si="7">SUM(C8:C9)</f>
        <v>326947</v>
      </c>
      <c r="D10" s="5">
        <f t="shared" si="7"/>
        <v>411486</v>
      </c>
      <c r="E10" s="5">
        <f>SUM(E8:E9)</f>
        <v>535404</v>
      </c>
      <c r="F10" s="5">
        <f t="shared" ref="F10:G10" si="8">SUM(F8:F9)</f>
        <v>685083</v>
      </c>
      <c r="G10" s="10">
        <f t="shared" si="8"/>
        <v>777707</v>
      </c>
      <c r="H10" s="5">
        <f>(839000+841000)/2</f>
        <v>840000</v>
      </c>
      <c r="J10" s="5">
        <f t="shared" ref="J10" si="9">SUM(J8:J9)</f>
        <v>183174</v>
      </c>
      <c r="K10" s="5">
        <f t="shared" ref="K10:L10" si="10">SUM(K8:K9)</f>
        <v>190422</v>
      </c>
      <c r="L10" s="5">
        <f t="shared" si="10"/>
        <v>198843</v>
      </c>
      <c r="N10" s="5">
        <f t="shared" ref="N10" si="11">SUM(N8:N9)</f>
        <v>205101</v>
      </c>
      <c r="O10" s="5">
        <f t="shared" ref="O10:P10" si="12">SUM(O8:O9)</f>
        <v>207991</v>
      </c>
      <c r="P10" s="10">
        <f t="shared" si="12"/>
        <v>214654</v>
      </c>
      <c r="Q10" s="23">
        <f>AVERAGE(211000,213000)</f>
        <v>212000</v>
      </c>
    </row>
    <row r="11" spans="1:17" x14ac:dyDescent="0.25">
      <c r="A11" t="s">
        <v>54</v>
      </c>
      <c r="B11" s="7">
        <v>-47488</v>
      </c>
      <c r="C11" s="7">
        <v>-68179</v>
      </c>
      <c r="D11" s="7">
        <v>-96864</v>
      </c>
      <c r="E11" s="7">
        <v>-140773</v>
      </c>
      <c r="F11" s="7">
        <v>-182212</v>
      </c>
      <c r="G11" s="12">
        <v>-202904</v>
      </c>
      <c r="H11" s="8"/>
      <c r="J11" s="7">
        <v>-48188</v>
      </c>
      <c r="K11" s="7">
        <v>-51148</v>
      </c>
      <c r="L11" s="7">
        <v>-51261</v>
      </c>
      <c r="N11" s="7">
        <v>-54655</v>
      </c>
      <c r="O11" s="7">
        <v>-54982</v>
      </c>
      <c r="P11" s="12">
        <v>-56653</v>
      </c>
    </row>
    <row r="12" spans="1:17" x14ac:dyDescent="0.25">
      <c r="A12" t="s">
        <v>55</v>
      </c>
      <c r="B12" s="7">
        <v>-23595</v>
      </c>
      <c r="C12" s="7">
        <v>-22967</v>
      </c>
      <c r="D12" s="7">
        <v>-24653</v>
      </c>
      <c r="E12" s="7">
        <v>-28175</v>
      </c>
      <c r="F12" s="7">
        <v>-32137</v>
      </c>
      <c r="G12" s="12">
        <v>-28837</v>
      </c>
      <c r="J12" s="7">
        <v>-7811</v>
      </c>
      <c r="K12" s="7">
        <v>-7016</v>
      </c>
      <c r="L12" s="7">
        <v>-6569</v>
      </c>
      <c r="N12" s="7">
        <v>-6248</v>
      </c>
      <c r="O12" s="7">
        <v>-5866</v>
      </c>
      <c r="P12" s="12">
        <v>-6364</v>
      </c>
    </row>
    <row r="13" spans="1:17" x14ac:dyDescent="0.25">
      <c r="A13" s="5" t="s">
        <v>56</v>
      </c>
      <c r="B13" s="8">
        <f>SUM(B11:B12)</f>
        <v>-71083</v>
      </c>
      <c r="C13" s="8">
        <f t="shared" ref="C13:D13" si="13">SUM(C11:C12)</f>
        <v>-91146</v>
      </c>
      <c r="D13" s="8">
        <f t="shared" si="13"/>
        <v>-121517</v>
      </c>
      <c r="E13" s="8">
        <f>SUM(E11:E12)</f>
        <v>-168948</v>
      </c>
      <c r="F13" s="8">
        <f t="shared" ref="F13:G13" si="14">SUM(F11:F12)</f>
        <v>-214349</v>
      </c>
      <c r="G13" s="13">
        <f t="shared" si="14"/>
        <v>-231741</v>
      </c>
      <c r="J13" s="8">
        <f t="shared" ref="J13" si="15">SUM(J11:J12)</f>
        <v>-55999</v>
      </c>
      <c r="K13" s="8">
        <f t="shared" ref="K13:L13" si="16">SUM(K11:K12)</f>
        <v>-58164</v>
      </c>
      <c r="L13" s="8">
        <f t="shared" si="16"/>
        <v>-57830</v>
      </c>
      <c r="N13" s="8">
        <f t="shared" ref="N13" si="17">SUM(N11:N12)</f>
        <v>-60903</v>
      </c>
      <c r="O13" s="8">
        <f t="shared" ref="O13:P13" si="18">SUM(O11:O12)</f>
        <v>-60848</v>
      </c>
      <c r="P13" s="13">
        <f t="shared" si="18"/>
        <v>-63017</v>
      </c>
    </row>
    <row r="14" spans="1:17" x14ac:dyDescent="0.25">
      <c r="A14" s="5" t="s">
        <v>58</v>
      </c>
      <c r="B14" s="8">
        <f>B10+B13</f>
        <v>173008</v>
      </c>
      <c r="C14" s="8">
        <f t="shared" ref="C14:D14" si="19">C10+C13</f>
        <v>235801</v>
      </c>
      <c r="D14" s="8">
        <f t="shared" si="19"/>
        <v>289969</v>
      </c>
      <c r="E14" s="8">
        <f>E10+E13</f>
        <v>366456</v>
      </c>
      <c r="F14" s="8">
        <f t="shared" ref="F14:G14" si="20">F10+F13</f>
        <v>470734</v>
      </c>
      <c r="G14" s="13">
        <f t="shared" si="20"/>
        <v>545966</v>
      </c>
      <c r="J14" s="8">
        <f t="shared" ref="J14" si="21">J10+J13</f>
        <v>127175</v>
      </c>
      <c r="K14" s="8">
        <f t="shared" ref="K14:L14" si="22">K10+K13</f>
        <v>132258</v>
      </c>
      <c r="L14" s="8">
        <f t="shared" si="22"/>
        <v>141013</v>
      </c>
      <c r="N14" s="8">
        <f t="shared" ref="N14" si="23">N10+N13</f>
        <v>144198</v>
      </c>
      <c r="O14" s="8">
        <f t="shared" ref="O14:P14" si="24">O10+O13</f>
        <v>147143</v>
      </c>
      <c r="P14" s="13">
        <f t="shared" si="24"/>
        <v>151637</v>
      </c>
    </row>
    <row r="15" spans="1:17" x14ac:dyDescent="0.25">
      <c r="A15" t="s">
        <v>59</v>
      </c>
      <c r="B15" s="7">
        <v>-67743</v>
      </c>
      <c r="C15" s="7">
        <v>-79364</v>
      </c>
      <c r="D15" s="7">
        <v>-108568</v>
      </c>
      <c r="E15" s="7">
        <v>-160779</v>
      </c>
      <c r="F15" s="7">
        <v>-189970</v>
      </c>
      <c r="G15" s="12">
        <v>-176776</v>
      </c>
      <c r="J15" s="7">
        <v>-46346</v>
      </c>
      <c r="K15" s="7">
        <v>-50762</v>
      </c>
      <c r="L15" s="7">
        <v>-39940</v>
      </c>
      <c r="N15" s="7">
        <v>-40990</v>
      </c>
      <c r="O15" s="7">
        <v>-40056</v>
      </c>
      <c r="P15" s="12">
        <v>-44565</v>
      </c>
    </row>
    <row r="16" spans="1:17" x14ac:dyDescent="0.25">
      <c r="A16" t="s">
        <v>60</v>
      </c>
      <c r="B16" s="7">
        <v>-123310</v>
      </c>
      <c r="C16" s="7">
        <v>-157722</v>
      </c>
      <c r="D16" s="7">
        <v>-195981</v>
      </c>
      <c r="E16" s="7">
        <v>-247453</v>
      </c>
      <c r="F16" s="7">
        <v>-307409</v>
      </c>
      <c r="G16" s="12">
        <v>-312636</v>
      </c>
      <c r="J16" s="7">
        <v>-80587</v>
      </c>
      <c r="K16" s="7">
        <v>-83036</v>
      </c>
      <c r="L16" s="7">
        <v>-75699</v>
      </c>
      <c r="N16" s="7">
        <v>-72805</v>
      </c>
      <c r="O16" s="7">
        <v>-77795</v>
      </c>
      <c r="P16" s="12">
        <v>-74521</v>
      </c>
    </row>
    <row r="17" spans="1:16" x14ac:dyDescent="0.25">
      <c r="A17" t="s">
        <v>61</v>
      </c>
      <c r="B17" s="7">
        <v>-34993</v>
      </c>
      <c r="C17" s="7">
        <v>-44710</v>
      </c>
      <c r="D17" s="7">
        <v>-59519</v>
      </c>
      <c r="E17" s="7">
        <v>-78289</v>
      </c>
      <c r="F17" s="7">
        <v>-84969</v>
      </c>
      <c r="G17" s="12">
        <v>-84276</v>
      </c>
      <c r="J17" s="7">
        <v>-24207</v>
      </c>
      <c r="K17" s="7">
        <v>-22888</v>
      </c>
      <c r="L17" s="7">
        <v>-17866</v>
      </c>
      <c r="N17" s="7">
        <v>-19835</v>
      </c>
      <c r="O17" s="7">
        <v>-22412</v>
      </c>
      <c r="P17" s="12">
        <v>-18590</v>
      </c>
    </row>
    <row r="18" spans="1:16" x14ac:dyDescent="0.25">
      <c r="A18" t="s">
        <v>62</v>
      </c>
      <c r="B18" s="7">
        <v>0</v>
      </c>
      <c r="C18" s="7">
        <v>0</v>
      </c>
      <c r="D18" s="7">
        <v>0</v>
      </c>
      <c r="E18" s="7">
        <v>0</v>
      </c>
      <c r="F18" s="7">
        <v>0</v>
      </c>
      <c r="G18" s="12">
        <v>-30784</v>
      </c>
      <c r="J18" s="7">
        <v>0</v>
      </c>
      <c r="K18" s="7">
        <v>-27231</v>
      </c>
      <c r="L18" s="7">
        <v>-3553</v>
      </c>
      <c r="N18" s="7">
        <v>0</v>
      </c>
      <c r="O18" s="7">
        <v>0</v>
      </c>
      <c r="P18" s="12">
        <v>0</v>
      </c>
    </row>
    <row r="19" spans="1:16" x14ac:dyDescent="0.25">
      <c r="A19" t="s">
        <v>63</v>
      </c>
      <c r="B19" s="7">
        <v>0</v>
      </c>
      <c r="C19" s="7">
        <v>0</v>
      </c>
      <c r="D19" s="7">
        <v>0</v>
      </c>
      <c r="E19" s="7">
        <v>0</v>
      </c>
      <c r="F19" s="7">
        <v>0</v>
      </c>
      <c r="G19" s="12">
        <v>-22227</v>
      </c>
      <c r="J19" s="7">
        <v>0</v>
      </c>
      <c r="K19" s="7">
        <v>0</v>
      </c>
      <c r="L19" s="7">
        <v>-19996</v>
      </c>
      <c r="N19" s="7">
        <v>0</v>
      </c>
      <c r="O19" s="7">
        <v>0</v>
      </c>
      <c r="P19" s="12">
        <v>0</v>
      </c>
    </row>
    <row r="20" spans="1:16" x14ac:dyDescent="0.25">
      <c r="A20" t="s">
        <v>64</v>
      </c>
      <c r="B20" s="7">
        <f>SUM(B15:B19)</f>
        <v>-226046</v>
      </c>
      <c r="C20" s="7">
        <f t="shared" ref="C20:D20" si="25">SUM(C15:C17)</f>
        <v>-281796</v>
      </c>
      <c r="D20" s="7">
        <f t="shared" si="25"/>
        <v>-364068</v>
      </c>
      <c r="E20" s="7">
        <f>SUM(E15:E19)</f>
        <v>-486521</v>
      </c>
      <c r="F20" s="7">
        <f t="shared" ref="F20:G20" si="26">SUM(F15:F19)</f>
        <v>-582348</v>
      </c>
      <c r="G20" s="12">
        <f t="shared" si="26"/>
        <v>-626699</v>
      </c>
      <c r="J20" s="7">
        <f t="shared" ref="J20" si="27">SUM(J15:J19)</f>
        <v>-151140</v>
      </c>
      <c r="K20" s="7">
        <f t="shared" ref="K20:L20" si="28">SUM(K15:K19)</f>
        <v>-183917</v>
      </c>
      <c r="L20" s="7">
        <f t="shared" si="28"/>
        <v>-157054</v>
      </c>
      <c r="N20" s="7">
        <f t="shared" ref="N20" si="29">SUM(N15:N19)</f>
        <v>-133630</v>
      </c>
      <c r="O20" s="7">
        <f t="shared" ref="O20:P20" si="30">SUM(O15:O19)</f>
        <v>-140263</v>
      </c>
      <c r="P20" s="12">
        <f t="shared" si="30"/>
        <v>-137676</v>
      </c>
    </row>
    <row r="21" spans="1:16" s="5" customFormat="1" x14ac:dyDescent="0.25">
      <c r="A21" s="5" t="s">
        <v>65</v>
      </c>
      <c r="B21" s="8">
        <f>B14+B20</f>
        <v>-53038</v>
      </c>
      <c r="C21" s="8">
        <f t="shared" ref="C21:D21" si="31">C14+C20</f>
        <v>-45995</v>
      </c>
      <c r="D21" s="8">
        <f t="shared" si="31"/>
        <v>-74099</v>
      </c>
      <c r="E21" s="8">
        <f>E14+E20</f>
        <v>-120065</v>
      </c>
      <c r="F21" s="8">
        <f t="shared" ref="F21:G21" si="32">F14+F20</f>
        <v>-111614</v>
      </c>
      <c r="G21" s="13">
        <f t="shared" si="32"/>
        <v>-80733</v>
      </c>
      <c r="H21" s="5">
        <f>AVERAGE(157000,159000)</f>
        <v>158000</v>
      </c>
      <c r="J21" s="8">
        <f t="shared" ref="J21" si="33">J14+J20</f>
        <v>-23965</v>
      </c>
      <c r="K21" s="8">
        <f t="shared" ref="K21:L21" si="34">K14+K20</f>
        <v>-51659</v>
      </c>
      <c r="L21" s="8">
        <f t="shared" si="34"/>
        <v>-16041</v>
      </c>
      <c r="N21" s="8">
        <f t="shared" ref="N21" si="35">N14+N20</f>
        <v>10568</v>
      </c>
      <c r="O21" s="8">
        <f t="shared" ref="O21:P21" si="36">O14+O20</f>
        <v>6880</v>
      </c>
      <c r="P21" s="13">
        <f t="shared" si="36"/>
        <v>13961</v>
      </c>
    </row>
    <row r="22" spans="1:16" x14ac:dyDescent="0.25">
      <c r="A22" t="s">
        <v>67</v>
      </c>
      <c r="B22" s="7">
        <f>3229-4934-336</f>
        <v>-2041</v>
      </c>
      <c r="C22" s="7">
        <f>6014-13389-433</f>
        <v>-7808</v>
      </c>
      <c r="D22" s="7">
        <f>1454-24137-81</f>
        <v>-22764</v>
      </c>
      <c r="E22" s="7">
        <f>365-14292-1921</f>
        <v>-15848</v>
      </c>
      <c r="F22" s="7">
        <f>1813-10982-1522</f>
        <v>-10691</v>
      </c>
      <c r="G22" s="12">
        <f>10177-64700-14522</f>
        <v>-69045</v>
      </c>
      <c r="J22" s="7">
        <f>1668-2717-307-594</f>
        <v>-1950</v>
      </c>
      <c r="K22" s="7">
        <f>1787-2773-13268-869</f>
        <v>-15123</v>
      </c>
      <c r="L22" s="7">
        <f>2545-56515-4518-2082</f>
        <v>-60570</v>
      </c>
      <c r="N22" s="7">
        <f>4720-2670-1435-8925</f>
        <v>-8310</v>
      </c>
      <c r="O22" s="7">
        <f>5221-2673-695-538</f>
        <v>1315</v>
      </c>
      <c r="P22" s="12">
        <f>5571-2837+2811-2952</f>
        <v>2593</v>
      </c>
    </row>
    <row r="23" spans="1:16" s="5" customFormat="1" x14ac:dyDescent="0.25">
      <c r="A23" s="5" t="s">
        <v>68</v>
      </c>
      <c r="B23" s="8">
        <f>B22+B21</f>
        <v>-55079</v>
      </c>
      <c r="C23" s="8">
        <f t="shared" ref="C23:D23" si="37">C22+C21</f>
        <v>-53803</v>
      </c>
      <c r="D23" s="8">
        <f t="shared" si="37"/>
        <v>-96863</v>
      </c>
      <c r="E23" s="8">
        <f>E22+E21</f>
        <v>-135913</v>
      </c>
      <c r="F23" s="8">
        <f t="shared" ref="F23:G23" si="38">F22+F21</f>
        <v>-122305</v>
      </c>
      <c r="G23" s="13">
        <f t="shared" si="38"/>
        <v>-149778</v>
      </c>
      <c r="J23" s="8">
        <f t="shared" ref="J23" si="39">J22+J21</f>
        <v>-25915</v>
      </c>
      <c r="K23" s="8">
        <f t="shared" ref="K23:L23" si="40">K22+K21</f>
        <v>-66782</v>
      </c>
      <c r="L23" s="8">
        <f t="shared" si="40"/>
        <v>-76611</v>
      </c>
      <c r="N23" s="8">
        <f t="shared" ref="N23" si="41">N22+N21</f>
        <v>2258</v>
      </c>
      <c r="O23" s="8">
        <f t="shared" ref="O23:P23" si="42">O22+O21</f>
        <v>8195</v>
      </c>
      <c r="P23" s="13">
        <f t="shared" si="42"/>
        <v>16554</v>
      </c>
    </row>
    <row r="24" spans="1:16" x14ac:dyDescent="0.25">
      <c r="G24" s="11"/>
    </row>
    <row r="25" spans="1:16" x14ac:dyDescent="0.25">
      <c r="G25" s="11"/>
    </row>
    <row r="26" spans="1:16" x14ac:dyDescent="0.25">
      <c r="A26" t="s">
        <v>70</v>
      </c>
      <c r="B26">
        <v>-13428</v>
      </c>
      <c r="C26">
        <v>12453</v>
      </c>
      <c r="D26">
        <v>15525</v>
      </c>
      <c r="E26">
        <v>23795</v>
      </c>
      <c r="F26">
        <v>49441</v>
      </c>
      <c r="G26" s="11">
        <v>126661</v>
      </c>
    </row>
    <row r="27" spans="1:16" x14ac:dyDescent="0.25">
      <c r="A27" t="s">
        <v>48</v>
      </c>
      <c r="B27">
        <f>6066-12813-3265</f>
        <v>-10012</v>
      </c>
      <c r="C27">
        <f>-1420-29428-6087</f>
        <v>-36935</v>
      </c>
      <c r="D27">
        <f>-4887-13802-6130</f>
        <v>-24819</v>
      </c>
      <c r="E27">
        <v>35053</v>
      </c>
      <c r="F27">
        <v>40677</v>
      </c>
      <c r="G27" s="11">
        <v>84034</v>
      </c>
      <c r="H27" s="5">
        <f>(145000+155000)/2</f>
        <v>150000</v>
      </c>
      <c r="J27">
        <v>-1219</v>
      </c>
      <c r="K27">
        <v>25581</v>
      </c>
      <c r="L27">
        <v>-582</v>
      </c>
      <c r="N27">
        <v>27534</v>
      </c>
      <c r="O27">
        <v>29205</v>
      </c>
      <c r="P27" s="11">
        <v>38502</v>
      </c>
    </row>
    <row r="28" spans="1:16" x14ac:dyDescent="0.25">
      <c r="G28" s="11"/>
    </row>
    <row r="29" spans="1:16" x14ac:dyDescent="0.25">
      <c r="G29" s="11"/>
    </row>
    <row r="30" spans="1:16" x14ac:dyDescent="0.25">
      <c r="G30" s="11"/>
    </row>
    <row r="31" spans="1:16" x14ac:dyDescent="0.25">
      <c r="G31" s="11"/>
    </row>
    <row r="32" spans="1:16" x14ac:dyDescent="0.25">
      <c r="G32" s="11"/>
    </row>
    <row r="33" spans="1:17" x14ac:dyDescent="0.25">
      <c r="G33" s="11"/>
    </row>
    <row r="34" spans="1:17" x14ac:dyDescent="0.25">
      <c r="A34" t="s">
        <v>47</v>
      </c>
      <c r="C34" s="6">
        <f>C10/B10-1</f>
        <v>0.33944717339025199</v>
      </c>
      <c r="D34" s="6">
        <f t="shared" ref="D34:E34" si="43">D10/C10-1</f>
        <v>0.25857096104261545</v>
      </c>
      <c r="E34" s="6">
        <f t="shared" si="43"/>
        <v>0.30114754815473677</v>
      </c>
      <c r="F34" s="6">
        <f>F10/E10-1</f>
        <v>0.27956272272900473</v>
      </c>
      <c r="G34" s="14">
        <f>G10/F10-1</f>
        <v>0.13520113621269259</v>
      </c>
      <c r="H34" s="15">
        <f>H10/G10-1</f>
        <v>8.0098288944293827E-2</v>
      </c>
      <c r="I34" s="15"/>
      <c r="J34" s="21"/>
      <c r="K34" s="21"/>
      <c r="L34" s="21"/>
      <c r="M34" s="21"/>
      <c r="N34" s="21">
        <f>N10/J10-1</f>
        <v>0.1197058534508173</v>
      </c>
      <c r="O34" s="21">
        <f t="shared" ref="O34:Q34" si="44">O10/K10-1</f>
        <v>9.2263498965455604E-2</v>
      </c>
      <c r="P34" s="22">
        <f t="shared" si="44"/>
        <v>7.9514994241688175E-2</v>
      </c>
      <c r="Q34" s="21" t="e">
        <f t="shared" si="44"/>
        <v>#DIV/0!</v>
      </c>
    </row>
    <row r="35" spans="1:17" x14ac:dyDescent="0.25">
      <c r="A35" t="s">
        <v>104</v>
      </c>
      <c r="B35" s="6">
        <f>B8/B10</f>
        <v>0.86358776030251017</v>
      </c>
      <c r="C35" s="6">
        <f t="shared" ref="C35:P35" si="45">C8/C10</f>
        <v>0.91114767836988875</v>
      </c>
      <c r="D35" s="6">
        <f t="shared" si="45"/>
        <v>0.93058330052541283</v>
      </c>
      <c r="E35" s="6">
        <f t="shared" si="45"/>
        <v>0.93544874524658017</v>
      </c>
      <c r="F35" s="6">
        <f t="shared" si="45"/>
        <v>0.94519204242405663</v>
      </c>
      <c r="G35" s="14">
        <f t="shared" si="45"/>
        <v>0.95173117896585735</v>
      </c>
      <c r="H35" s="15">
        <f t="shared" si="45"/>
        <v>0.95173117896585735</v>
      </c>
      <c r="I35" s="6"/>
      <c r="J35" s="6">
        <f t="shared" si="45"/>
        <v>0.94867175472501553</v>
      </c>
      <c r="K35" s="6">
        <f t="shared" si="45"/>
        <v>0.95420172038945084</v>
      </c>
      <c r="L35" s="6">
        <f t="shared" si="45"/>
        <v>0.95490412033614458</v>
      </c>
      <c r="M35" s="6"/>
      <c r="N35" s="6">
        <f t="shared" si="45"/>
        <v>0.96010258360515066</v>
      </c>
      <c r="O35" s="6">
        <f t="shared" si="45"/>
        <v>0.9619021976912463</v>
      </c>
      <c r="P35" s="14">
        <f t="shared" si="45"/>
        <v>0.95778788189365216</v>
      </c>
    </row>
    <row r="36" spans="1:17" x14ac:dyDescent="0.25">
      <c r="A36" t="s">
        <v>105</v>
      </c>
      <c r="B36" s="6">
        <f>B9/B10</f>
        <v>0.13641223969748986</v>
      </c>
      <c r="C36" s="6">
        <f t="shared" ref="C36:P36" si="46">C9/C10</f>
        <v>8.8852321630111308E-2</v>
      </c>
      <c r="D36" s="6">
        <f t="shared" si="46"/>
        <v>6.9416699474587229E-2</v>
      </c>
      <c r="E36" s="6">
        <f t="shared" si="46"/>
        <v>6.4551254753419843E-2</v>
      </c>
      <c r="F36" s="6">
        <f t="shared" si="46"/>
        <v>5.4807957575943353E-2</v>
      </c>
      <c r="G36" s="14">
        <f t="shared" si="46"/>
        <v>4.8268821034142678E-2</v>
      </c>
      <c r="H36" s="15">
        <f t="shared" si="46"/>
        <v>4.8268821034142685E-2</v>
      </c>
      <c r="I36" s="21"/>
      <c r="J36" s="21">
        <f t="shared" si="46"/>
        <v>5.132824527498444E-2</v>
      </c>
      <c r="K36" s="21">
        <f t="shared" si="46"/>
        <v>4.5798279610549199E-2</v>
      </c>
      <c r="L36" s="21">
        <f t="shared" si="46"/>
        <v>4.5095879663855407E-2</v>
      </c>
      <c r="M36" s="21"/>
      <c r="N36" s="21">
        <f t="shared" si="46"/>
        <v>3.9897416394849367E-2</v>
      </c>
      <c r="O36" s="21">
        <f t="shared" si="46"/>
        <v>3.8097802308753745E-2</v>
      </c>
      <c r="P36" s="22">
        <f t="shared" si="46"/>
        <v>4.2212118106347889E-2</v>
      </c>
    </row>
    <row r="37" spans="1:17" x14ac:dyDescent="0.25">
      <c r="A37" t="s">
        <v>107</v>
      </c>
      <c r="B37" s="6">
        <f>(B8+B11)/B8</f>
        <v>0.77471844549655111</v>
      </c>
      <c r="C37" s="6">
        <f t="shared" ref="C37:D37" si="47">(C8+C11)/C8</f>
        <v>0.77113230411853761</v>
      </c>
      <c r="D37" s="6">
        <f t="shared" si="47"/>
        <v>0.74703986712698667</v>
      </c>
      <c r="E37" s="6">
        <f>(E8+E11)/E8</f>
        <v>0.71892788758153747</v>
      </c>
      <c r="F37" s="6">
        <f t="shared" ref="F37:H37" si="48">(F8+F11)/F8</f>
        <v>0.71860671623927663</v>
      </c>
      <c r="G37" s="14">
        <f t="shared" si="48"/>
        <v>0.72586764085991284</v>
      </c>
      <c r="H37"/>
      <c r="J37" s="6">
        <f>(J8+J11)/J8</f>
        <v>0.72269410491908936</v>
      </c>
      <c r="K37" s="6">
        <f t="shared" ref="K37:P37" si="49">(K8+K11)/K8</f>
        <v>0.71850457619936048</v>
      </c>
      <c r="L37" s="6">
        <f t="shared" si="49"/>
        <v>0.73002907160462616</v>
      </c>
      <c r="M37" s="6"/>
      <c r="N37" s="6">
        <f t="shared" si="49"/>
        <v>0.7224479224855016</v>
      </c>
      <c r="O37" s="6">
        <f t="shared" si="49"/>
        <v>0.72518206400855711</v>
      </c>
      <c r="P37" s="14">
        <f t="shared" si="49"/>
        <v>0.72444100723273652</v>
      </c>
    </row>
    <row r="38" spans="1:17" x14ac:dyDescent="0.25">
      <c r="A38" t="s">
        <v>108</v>
      </c>
      <c r="B38" s="6">
        <f>(B9+B12)/B9</f>
        <v>0.29137760158572845</v>
      </c>
      <c r="C38" s="6">
        <f t="shared" ref="C38:D38" si="50">(C9+C12)/C9</f>
        <v>0.20939759036144578</v>
      </c>
      <c r="D38" s="6">
        <f t="shared" si="50"/>
        <v>0.13692059935583251</v>
      </c>
      <c r="E38" s="6">
        <f>(E9+E12)/E9</f>
        <v>0.18477474610109662</v>
      </c>
      <c r="F38" s="6">
        <f>(F9+F12)/F9</f>
        <v>0.14410887397464578</v>
      </c>
      <c r="G38" s="14">
        <f>(G9+G12)/G9</f>
        <v>0.23181224859479474</v>
      </c>
      <c r="H38" s="15"/>
      <c r="I38" s="6"/>
      <c r="J38" s="6">
        <f>(J9+J12)/J9</f>
        <v>0.16921931503935334</v>
      </c>
      <c r="K38" s="6">
        <f>(K9+K12)/K9</f>
        <v>0.19550510262584567</v>
      </c>
      <c r="L38" s="6">
        <f>(L9+L12)/L9</f>
        <v>0.26742500278800047</v>
      </c>
      <c r="M38" s="6"/>
      <c r="N38" s="6">
        <f>(N9+N12)/N9</f>
        <v>0.23646584382255897</v>
      </c>
      <c r="O38" s="6">
        <f>(O9+O12)/O9</f>
        <v>0.25971731448763252</v>
      </c>
      <c r="P38" s="14">
        <f>(P9+P12)/P9</f>
        <v>0.29764926608542103</v>
      </c>
    </row>
    <row r="39" spans="1:17" x14ac:dyDescent="0.25">
      <c r="A39" t="s">
        <v>57</v>
      </c>
      <c r="B39" s="6">
        <f>B14/B10</f>
        <v>0.70878483844140094</v>
      </c>
      <c r="C39" s="6">
        <f t="shared" ref="C39:D39" si="51">C14/C10</f>
        <v>0.72122087066099394</v>
      </c>
      <c r="D39" s="6">
        <f t="shared" si="51"/>
        <v>0.70468740127246132</v>
      </c>
      <c r="E39" s="6">
        <f>E14/E10</f>
        <v>0.68444763206849402</v>
      </c>
      <c r="F39" s="6">
        <f t="shared" ref="F39:G39" si="52">F14/F10</f>
        <v>0.68711966287296578</v>
      </c>
      <c r="G39" s="14">
        <f t="shared" si="52"/>
        <v>0.70202016954971469</v>
      </c>
      <c r="H39" s="15">
        <f>H14/H10</f>
        <v>0</v>
      </c>
      <c r="I39" s="6"/>
      <c r="J39" s="6">
        <f>J14/J10</f>
        <v>0.6942852151506218</v>
      </c>
      <c r="K39" s="6">
        <f>K14/K10</f>
        <v>0.69455210007247059</v>
      </c>
      <c r="L39" s="6">
        <f>L14/L10</f>
        <v>0.70916753418526179</v>
      </c>
      <c r="M39" s="6"/>
      <c r="N39" s="6">
        <f>N14/N10</f>
        <v>0.70305849313265167</v>
      </c>
      <c r="O39" s="6">
        <f>O14/O10</f>
        <v>0.70744887999961537</v>
      </c>
      <c r="P39" s="14">
        <f>P14/P10</f>
        <v>0.70642522384861217</v>
      </c>
    </row>
    <row r="40" spans="1:17" x14ac:dyDescent="0.25">
      <c r="A40" t="s">
        <v>106</v>
      </c>
      <c r="B40" s="6">
        <f>B21/B10</f>
        <v>-0.21728781479038556</v>
      </c>
      <c r="C40" s="6">
        <f t="shared" ref="C40:H40" si="53">C21/C10</f>
        <v>-0.14068029374791632</v>
      </c>
      <c r="D40" s="6">
        <f t="shared" si="53"/>
        <v>-0.18007660041896931</v>
      </c>
      <c r="E40" s="6">
        <f t="shared" si="53"/>
        <v>-0.22425121963974867</v>
      </c>
      <c r="F40" s="6">
        <f t="shared" si="53"/>
        <v>-0.16292040526476353</v>
      </c>
      <c r="G40" s="14">
        <f t="shared" si="53"/>
        <v>-0.10380901804921391</v>
      </c>
      <c r="H40" s="6">
        <f t="shared" si="53"/>
        <v>0.18809523809523809</v>
      </c>
      <c r="I40" s="6"/>
      <c r="J40" s="6"/>
      <c r="K40" s="6"/>
      <c r="L40" s="6"/>
      <c r="M40" s="6"/>
      <c r="N40" s="6"/>
      <c r="O40" s="6"/>
      <c r="P40" s="14"/>
    </row>
    <row r="41" spans="1:17" x14ac:dyDescent="0.25">
      <c r="A41" t="s">
        <v>66</v>
      </c>
      <c r="C41" s="6">
        <f>C21/B21-1</f>
        <v>-0.13279158339303898</v>
      </c>
      <c r="D41" s="6">
        <f t="shared" ref="D41:E41" si="54">D21/C21-1</f>
        <v>0.61102293727579093</v>
      </c>
      <c r="E41" s="6">
        <f t="shared" si="54"/>
        <v>0.62033225819511739</v>
      </c>
      <c r="F41" s="6">
        <f>F21/E21-1</f>
        <v>-7.0386873776704273E-2</v>
      </c>
      <c r="G41" s="14">
        <f>G21/F21-1</f>
        <v>-0.27667676097980543</v>
      </c>
      <c r="H41" s="15">
        <f>H21/G21-1</f>
        <v>-2.9570683611410451</v>
      </c>
      <c r="I41" s="6"/>
      <c r="J41" s="6"/>
      <c r="K41" s="6"/>
      <c r="L41" s="6"/>
      <c r="M41" s="6"/>
      <c r="N41" s="6">
        <f>(N21-J21)/ABS(J21)</f>
        <v>1.4409764239515961</v>
      </c>
      <c r="O41" s="6">
        <f t="shared" ref="O41:P41" si="55">(O21-K21)/ABS(K21)</f>
        <v>1.133181052672332</v>
      </c>
      <c r="P41" s="14">
        <f t="shared" si="55"/>
        <v>1.8703322735490306</v>
      </c>
    </row>
    <row r="42" spans="1:17" x14ac:dyDescent="0.25">
      <c r="A42" t="s">
        <v>49</v>
      </c>
      <c r="C42" s="6">
        <f>C27/B27-1</f>
        <v>2.6890731122652816</v>
      </c>
      <c r="D42" s="6">
        <f t="shared" ref="D42:E42" si="56">D27/C27-1</f>
        <v>-0.32803573845945577</v>
      </c>
      <c r="E42" s="6">
        <f t="shared" si="56"/>
        <v>-2.4123453805552195</v>
      </c>
      <c r="F42" s="6">
        <f>F27/E27-1</f>
        <v>0.16044275810914899</v>
      </c>
      <c r="G42" s="14">
        <f>G27/F27-1</f>
        <v>1.0658848980996631</v>
      </c>
      <c r="H42" s="15">
        <f>H27/G27-1</f>
        <v>0.78499178903777045</v>
      </c>
      <c r="K42" s="6"/>
      <c r="L42" s="6"/>
      <c r="M42" s="6"/>
      <c r="N42" s="6">
        <f>(N27-J27)/ABS(J27)</f>
        <v>23.587366694011486</v>
      </c>
      <c r="O42" s="6">
        <f t="shared" ref="O42:P42" si="57">(O27-K27)/ABS(K27)</f>
        <v>0.14166764395449749</v>
      </c>
      <c r="P42" s="14">
        <f t="shared" si="57"/>
        <v>67.154639175257728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2024-10-24T01:15:36Z</dcterms:created>
  <dcterms:modified xsi:type="dcterms:W3CDTF">2024-11-12T01:16:56Z</dcterms:modified>
</cp:coreProperties>
</file>