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 Laptop\OneDrive\Desktop\Battle Creek\"/>
    </mc:Choice>
  </mc:AlternateContent>
  <xr:revisionPtr revIDLastSave="0" documentId="13_ncr:1_{0172560A-0B2F-433F-AA14-5FC2ECDF20A3}" xr6:coauthVersionLast="47" xr6:coauthVersionMax="47" xr10:uidLastSave="{00000000-0000-0000-0000-000000000000}"/>
  <bookViews>
    <workbookView xWindow="-120" yWindow="-120" windowWidth="20730" windowHeight="11160" tabRatio="845" firstSheet="26" activeTab="33" xr2:uid="{98C2E430-01B8-4CDD-831C-6F4E8FD8D71C}"/>
  </bookViews>
  <sheets>
    <sheet name="Info" sheetId="1" r:id="rId1"/>
    <sheet name="TEMPLATE" sheetId="12" r:id="rId2"/>
    <sheet name="Altherr" sheetId="68" r:id="rId3"/>
    <sheet name="Batka" sheetId="53" r:id="rId4"/>
    <sheet name="Berghorst" sheetId="69" r:id="rId5"/>
    <sheet name="Bixby" sheetId="2" r:id="rId6"/>
    <sheet name="Braden" sheetId="67" r:id="rId7"/>
    <sheet name="Canar" sheetId="38" r:id="rId8"/>
    <sheet name="Conroy" sheetId="13" r:id="rId9"/>
    <sheet name="Cowan" sheetId="14" r:id="rId10"/>
    <sheet name="Davies" sheetId="15" r:id="rId11"/>
    <sheet name="De La Cruz" sheetId="16" r:id="rId12"/>
    <sheet name="DeCello" sheetId="39" r:id="rId13"/>
    <sheet name="Dolney" sheetId="17" r:id="rId14"/>
    <sheet name="Garcia" sheetId="40" r:id="rId15"/>
    <sheet name="Getz" sheetId="41" r:id="rId16"/>
    <sheet name="Gibbs" sheetId="48" r:id="rId17"/>
    <sheet name="Gomez Jr." sheetId="49" r:id="rId18"/>
    <sheet name="Grabanski" sheetId="42" r:id="rId19"/>
    <sheet name="Graves" sheetId="63" r:id="rId20"/>
    <sheet name="Habelitz" sheetId="18" r:id="rId21"/>
    <sheet name="Hann" sheetId="55" r:id="rId22"/>
    <sheet name="Hancock" sheetId="10" r:id="rId23"/>
    <sheet name="Jackson" sheetId="43" r:id="rId24"/>
    <sheet name="Kark" sheetId="45" r:id="rId25"/>
    <sheet name="Knorr" sheetId="19" r:id="rId26"/>
    <sheet name="Knust" sheetId="21" r:id="rId27"/>
    <sheet name="Lanoux" sheetId="22" r:id="rId28"/>
    <sheet name="Lycan" sheetId="24" r:id="rId29"/>
    <sheet name="Martin" sheetId="25" r:id="rId30"/>
    <sheet name="Matkin" sheetId="62" r:id="rId31"/>
    <sheet name="Merced" sheetId="54" r:id="rId32"/>
    <sheet name="Meinderts" sheetId="26" r:id="rId33"/>
    <sheet name="Mills" sheetId="46" r:id="rId34"/>
    <sheet name="Newman" sheetId="27" r:id="rId35"/>
    <sheet name="Nichols" sheetId="65" r:id="rId36"/>
    <sheet name="Nies" sheetId="28" r:id="rId37"/>
    <sheet name="Peterson" sheetId="50" r:id="rId38"/>
    <sheet name="Pyatt" sheetId="47" r:id="rId39"/>
    <sheet name="Quinn" sheetId="29" r:id="rId40"/>
    <sheet name="Richardson" sheetId="33" r:id="rId41"/>
    <sheet name="Ross" sheetId="30" r:id="rId42"/>
    <sheet name="Sanchez" sheetId="31" r:id="rId43"/>
    <sheet name="Schaefer" sheetId="32" r:id="rId44"/>
    <sheet name="Sotres" sheetId="64" r:id="rId45"/>
    <sheet name="Stager" sheetId="37" r:id="rId46"/>
    <sheet name="Stich Jr." sheetId="34" r:id="rId47"/>
    <sheet name="Tejeda" sheetId="56" r:id="rId48"/>
    <sheet name="Tukis" sheetId="57" r:id="rId49"/>
    <sheet name="Vargas" sheetId="66" r:id="rId50"/>
    <sheet name="Weiss" sheetId="35" r:id="rId51"/>
    <sheet name="Whelan" sheetId="36" r:id="rId52"/>
    <sheet name="CoPitchRAW" sheetId="5" r:id="rId53"/>
    <sheet name="CoBatRAW" sheetId="7" r:id="rId54"/>
    <sheet name="SuPitchRAW" sheetId="8" r:id="rId55"/>
    <sheet name="SuBatRAW" sheetId="9" r:id="rId5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" i="17" l="1"/>
  <c r="A52" i="1"/>
  <c r="B22" i="69"/>
  <c r="C2" i="1" a="1"/>
  <c r="C2" i="1" s="1"/>
  <c r="C4" i="1" a="1"/>
  <c r="C4" i="1" s="1"/>
  <c r="A4" i="1"/>
  <c r="A2" i="1"/>
  <c r="A6" i="1"/>
  <c r="A35" i="1"/>
  <c r="A44" i="1"/>
  <c r="A49" i="1"/>
  <c r="A19" i="1"/>
  <c r="A30" i="1"/>
  <c r="B22" i="32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C22" i="47"/>
  <c r="B22" i="47"/>
  <c r="S22" i="50"/>
  <c r="R22" i="50"/>
  <c r="Q22" i="50"/>
  <c r="P22" i="50"/>
  <c r="O22" i="50"/>
  <c r="N22" i="50"/>
  <c r="M22" i="50"/>
  <c r="L22" i="50"/>
  <c r="K22" i="50"/>
  <c r="J22" i="50"/>
  <c r="I22" i="50"/>
  <c r="H22" i="50"/>
  <c r="G22" i="50"/>
  <c r="F22" i="50"/>
  <c r="E22" i="50"/>
  <c r="D22" i="50"/>
  <c r="C22" i="50"/>
  <c r="B22" i="50"/>
  <c r="B22" i="28"/>
  <c r="S22" i="46"/>
  <c r="R22" i="46"/>
  <c r="Q22" i="46"/>
  <c r="P22" i="46"/>
  <c r="O22" i="46"/>
  <c r="N22" i="46"/>
  <c r="M22" i="46"/>
  <c r="L22" i="46"/>
  <c r="K22" i="46"/>
  <c r="J22" i="46"/>
  <c r="I22" i="46"/>
  <c r="H22" i="46"/>
  <c r="G22" i="46"/>
  <c r="F22" i="46"/>
  <c r="E22" i="46"/>
  <c r="D22" i="46"/>
  <c r="C22" i="46"/>
  <c r="B22" i="46"/>
  <c r="B22" i="26"/>
  <c r="B22" i="25"/>
  <c r="B25" i="22"/>
  <c r="S25" i="45"/>
  <c r="R25" i="45"/>
  <c r="Q25" i="45"/>
  <c r="P25" i="45"/>
  <c r="O25" i="45"/>
  <c r="N25" i="45"/>
  <c r="M25" i="45"/>
  <c r="L25" i="45"/>
  <c r="K25" i="45"/>
  <c r="J25" i="45"/>
  <c r="I25" i="45"/>
  <c r="H25" i="45"/>
  <c r="G25" i="45"/>
  <c r="F25" i="45"/>
  <c r="E25" i="45"/>
  <c r="D25" i="45"/>
  <c r="C25" i="45"/>
  <c r="B25" i="45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C22" i="42"/>
  <c r="B22" i="42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C22" i="48"/>
  <c r="B22" i="48"/>
  <c r="S22" i="39"/>
  <c r="R22" i="39"/>
  <c r="Q22" i="39"/>
  <c r="P22" i="39"/>
  <c r="O22" i="39"/>
  <c r="N22" i="39"/>
  <c r="M22" i="39"/>
  <c r="L22" i="39"/>
  <c r="K22" i="39"/>
  <c r="J22" i="39"/>
  <c r="I22" i="39"/>
  <c r="H22" i="39"/>
  <c r="G22" i="39"/>
  <c r="F22" i="39"/>
  <c r="E22" i="39"/>
  <c r="D22" i="39"/>
  <c r="C22" i="39"/>
  <c r="B22" i="39"/>
  <c r="B22" i="16"/>
  <c r="B18" i="15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R22" i="69" l="1" a="1"/>
  <c r="R22" i="69" s="1"/>
  <c r="K18" i="68" a="1"/>
  <c r="K18" i="68" s="1"/>
  <c r="N2" i="69"/>
  <c r="R18" i="69" a="1"/>
  <c r="R18" i="69" s="1"/>
  <c r="F7" i="68" a="1"/>
  <c r="F7" i="68" s="1"/>
  <c r="E18" i="68" a="1"/>
  <c r="E18" i="68" s="1"/>
  <c r="M18" i="68" a="1"/>
  <c r="M18" i="68" s="1"/>
  <c r="D18" i="69" a="1"/>
  <c r="D18" i="69" s="1"/>
  <c r="C22" i="69" a="1"/>
  <c r="C22" i="69" s="1"/>
  <c r="K22" i="69" a="1"/>
  <c r="K22" i="69" s="1"/>
  <c r="N18" i="68" a="1"/>
  <c r="N18" i="68" s="1"/>
  <c r="F8" i="68"/>
  <c r="F18" i="68" a="1"/>
  <c r="F18" i="68" s="1"/>
  <c r="E18" i="69" a="1"/>
  <c r="E18" i="69" s="1"/>
  <c r="D22" i="69" a="1"/>
  <c r="D22" i="69" s="1"/>
  <c r="F9" i="68"/>
  <c r="G18" i="68" a="1"/>
  <c r="G18" i="68" s="1"/>
  <c r="O18" i="68" a="1"/>
  <c r="O18" i="68" s="1"/>
  <c r="F18" i="69" a="1"/>
  <c r="F18" i="69" s="1"/>
  <c r="N18" i="69" a="1"/>
  <c r="N18" i="69" s="1"/>
  <c r="E22" i="69" a="1"/>
  <c r="E22" i="69" s="1"/>
  <c r="M22" i="69" a="1"/>
  <c r="M22" i="69" s="1"/>
  <c r="F10" i="68"/>
  <c r="H18" i="68" a="1"/>
  <c r="H18" i="68" s="1"/>
  <c r="P18" i="68" a="1"/>
  <c r="P18" i="68" s="1"/>
  <c r="G18" i="69" a="1"/>
  <c r="G18" i="69" s="1"/>
  <c r="O18" i="69" a="1"/>
  <c r="O18" i="69" s="1"/>
  <c r="F22" i="69" a="1"/>
  <c r="F22" i="69" s="1"/>
  <c r="N22" i="69" a="1"/>
  <c r="N22" i="69" s="1"/>
  <c r="F11" i="68"/>
  <c r="I18" i="68" a="1"/>
  <c r="I18" i="68" s="1"/>
  <c r="Q18" i="68" a="1"/>
  <c r="Q18" i="68" s="1"/>
  <c r="H18" i="69" a="1"/>
  <c r="H18" i="69" s="1"/>
  <c r="P18" i="69" a="1"/>
  <c r="P18" i="69" s="1"/>
  <c r="G22" i="69" a="1"/>
  <c r="G22" i="69" s="1"/>
  <c r="O22" i="69" a="1"/>
  <c r="O22" i="69" s="1"/>
  <c r="N2" i="68"/>
  <c r="J18" i="68" a="1"/>
  <c r="J18" i="68" s="1"/>
  <c r="R18" i="68" a="1"/>
  <c r="R18" i="68" s="1"/>
  <c r="I18" i="69" a="1"/>
  <c r="I18" i="69" s="1"/>
  <c r="Q18" i="69" a="1"/>
  <c r="Q18" i="69" s="1"/>
  <c r="H22" i="69" a="1"/>
  <c r="H22" i="69" s="1"/>
  <c r="P22" i="69" a="1"/>
  <c r="P22" i="69" s="1"/>
  <c r="F5" i="68"/>
  <c r="J18" i="69" a="1"/>
  <c r="J18" i="69" s="1"/>
  <c r="Q22" i="69" a="1"/>
  <c r="Q22" i="69" s="1"/>
  <c r="F13" i="68"/>
  <c r="C18" i="68"/>
  <c r="F13" i="69"/>
  <c r="I22" i="69" a="1"/>
  <c r="I22" i="69" s="1"/>
  <c r="F6" i="68" a="1"/>
  <c r="F6" i="68" s="1"/>
  <c r="D18" i="68" a="1"/>
  <c r="D18" i="68" s="1"/>
  <c r="L18" i="68" a="1"/>
  <c r="L18" i="68" s="1"/>
  <c r="F5" i="69"/>
  <c r="K18" i="69" a="1"/>
  <c r="K18" i="69" s="1"/>
  <c r="J22" i="69" a="1"/>
  <c r="J22" i="69" s="1"/>
  <c r="B22" i="57"/>
  <c r="B22" i="55"/>
  <c r="A48" i="1"/>
  <c r="A47" i="1"/>
  <c r="A22" i="1"/>
  <c r="A3" i="1"/>
  <c r="L18" i="69" s="1" a="1"/>
  <c r="L18" i="69" s="1"/>
  <c r="A32" i="1"/>
  <c r="B22" i="45"/>
  <c r="B25" i="53"/>
  <c r="B25" i="12"/>
  <c r="C3" i="1" a="1"/>
  <c r="C3" i="1" s="1"/>
  <c r="C18" i="69" l="1"/>
  <c r="F11" i="69"/>
  <c r="F10" i="69"/>
  <c r="F9" i="69"/>
  <c r="F8" i="69"/>
  <c r="F6" i="69" a="1"/>
  <c r="F6" i="69" s="1"/>
  <c r="L22" i="69" a="1"/>
  <c r="L22" i="69" s="1"/>
  <c r="M18" i="69" a="1"/>
  <c r="M18" i="69" s="1"/>
  <c r="F7" i="69" a="1"/>
  <c r="F7" i="69" s="1"/>
  <c r="C8" i="1" a="1"/>
  <c r="C8" i="1" s="1"/>
  <c r="C9" i="1" a="1"/>
  <c r="C9" i="1" s="1"/>
  <c r="C10" i="1" a="1"/>
  <c r="C10" i="1" s="1"/>
  <c r="C11" i="1" a="1"/>
  <c r="C11" i="1" s="1"/>
  <c r="C20" i="1" a="1"/>
  <c r="C20" i="1" s="1"/>
  <c r="C25" i="1" a="1"/>
  <c r="C25" i="1" s="1"/>
  <c r="C26" i="1" a="1"/>
  <c r="C26" i="1" s="1"/>
  <c r="C27" i="1" a="1"/>
  <c r="C27" i="1" s="1"/>
  <c r="C28" i="1" a="1"/>
  <c r="C28" i="1" s="1"/>
  <c r="C29" i="1" a="1"/>
  <c r="C29" i="1" s="1"/>
  <c r="C31" i="1" a="1"/>
  <c r="C31" i="1" s="1"/>
  <c r="C34" i="1" a="1"/>
  <c r="C34" i="1" s="1"/>
  <c r="C36" i="1" a="1"/>
  <c r="C36" i="1" s="1"/>
  <c r="C40" i="1" a="1"/>
  <c r="C40" i="1" s="1"/>
  <c r="C41" i="1" a="1"/>
  <c r="C41" i="1" s="1"/>
  <c r="C42" i="1" a="1"/>
  <c r="C42" i="1" s="1"/>
  <c r="C43" i="1" a="1"/>
  <c r="C43" i="1" s="1"/>
  <c r="C46" i="1" a="1"/>
  <c r="C46" i="1" s="1"/>
  <c r="C50" i="1" a="1"/>
  <c r="C50" i="1" s="1"/>
  <c r="C51" i="1" a="1"/>
  <c r="C51" i="1" s="1"/>
  <c r="C5" i="1" a="1"/>
  <c r="C5" i="1" s="1"/>
  <c r="A37" i="1"/>
  <c r="A17" i="1"/>
  <c r="A16" i="1"/>
  <c r="A38" i="1"/>
  <c r="A33" i="1"/>
  <c r="A24" i="1"/>
  <c r="A23" i="1"/>
  <c r="A18" i="1"/>
  <c r="A15" i="1"/>
  <c r="A14" i="1"/>
  <c r="A12" i="1"/>
  <c r="A7" i="1"/>
  <c r="A45" i="1"/>
  <c r="A21" i="1"/>
  <c r="A8" i="1"/>
  <c r="A9" i="1"/>
  <c r="A10" i="1"/>
  <c r="A11" i="1"/>
  <c r="A13" i="1"/>
  <c r="A20" i="1"/>
  <c r="A25" i="1"/>
  <c r="A26" i="1"/>
  <c r="A27" i="1"/>
  <c r="A28" i="1"/>
  <c r="A29" i="1"/>
  <c r="A31" i="1"/>
  <c r="A34" i="1"/>
  <c r="A36" i="1"/>
  <c r="A39" i="1"/>
  <c r="A40" i="1"/>
  <c r="F10" i="53" s="1"/>
  <c r="A41" i="1"/>
  <c r="A42" i="1"/>
  <c r="A43" i="1"/>
  <c r="A46" i="1"/>
  <c r="A50" i="1"/>
  <c r="A51" i="1"/>
  <c r="A5" i="1"/>
  <c r="R22" i="26" l="1" a="1"/>
  <c r="R22" i="26" s="1"/>
  <c r="E18" i="38" a="1"/>
  <c r="E18" i="38" s="1"/>
  <c r="F10" i="45"/>
  <c r="D18" i="2" a="1"/>
  <c r="D18" i="2" s="1"/>
  <c r="M18" i="38" a="1"/>
  <c r="M18" i="38" s="1"/>
  <c r="F11" i="16"/>
  <c r="F8" i="17"/>
  <c r="G18" i="48" a="1"/>
  <c r="G18" i="48" s="1"/>
  <c r="N2" i="18"/>
  <c r="L18" i="43" a="1"/>
  <c r="L18" i="43" s="1"/>
  <c r="F13" i="22"/>
  <c r="F7" i="13" a="1"/>
  <c r="F7" i="13" s="1"/>
  <c r="P18" i="40" a="1"/>
  <c r="P18" i="40" s="1"/>
  <c r="F7" i="42" a="1"/>
  <c r="F7" i="42" s="1"/>
  <c r="O18" i="10" a="1"/>
  <c r="O18" i="10" s="1"/>
  <c r="C18" i="19"/>
  <c r="P18" i="25" a="1"/>
  <c r="P18" i="25" s="1"/>
  <c r="F9" i="17"/>
  <c r="F18" i="15" a="1"/>
  <c r="F18" i="15" s="1"/>
  <c r="K18" i="39" a="1"/>
  <c r="K18" i="39" s="1"/>
  <c r="F11" i="48"/>
  <c r="O18" i="42" a="1"/>
  <c r="O18" i="42" s="1"/>
  <c r="F18" i="43" a="1"/>
  <c r="F18" i="43" s="1"/>
  <c r="F6" i="21" a="1"/>
  <c r="F6" i="21" s="1"/>
  <c r="F18" i="2" a="1"/>
  <c r="F18" i="2" s="1"/>
  <c r="H18" i="2" a="1"/>
  <c r="H18" i="2" s="1"/>
  <c r="O18" i="14" a="1"/>
  <c r="O18" i="14" s="1"/>
  <c r="F5" i="39"/>
  <c r="R18" i="40" a="1"/>
  <c r="R18" i="40" s="1"/>
  <c r="F9" i="42"/>
  <c r="Q18" i="10" a="1"/>
  <c r="Q18" i="10" s="1"/>
  <c r="E18" i="19" a="1"/>
  <c r="E18" i="19" s="1"/>
  <c r="F22" i="25" a="1"/>
  <c r="F22" i="25" s="1"/>
  <c r="I18" i="2" a="1"/>
  <c r="I18" i="2" s="1"/>
  <c r="P18" i="14" a="1"/>
  <c r="P18" i="14" s="1"/>
  <c r="F6" i="39" a="1"/>
  <c r="F6" i="39" s="1"/>
  <c r="K18" i="40" a="1"/>
  <c r="K18" i="40" s="1"/>
  <c r="F11" i="42"/>
  <c r="R18" i="10" a="1"/>
  <c r="R18" i="10" s="1"/>
  <c r="F18" i="19" a="1"/>
  <c r="F18" i="19" s="1"/>
  <c r="P18" i="26" a="1"/>
  <c r="P18" i="26" s="1"/>
  <c r="J18" i="2" a="1"/>
  <c r="J18" i="2" s="1"/>
  <c r="F13" i="15"/>
  <c r="F18" i="39" a="1"/>
  <c r="F18" i="39" s="1"/>
  <c r="F5" i="41"/>
  <c r="J18" i="42" a="1"/>
  <c r="J18" i="42" s="1"/>
  <c r="I18" i="43" a="1"/>
  <c r="I18" i="43" s="1"/>
  <c r="F11" i="21"/>
  <c r="K18" i="38" a="1"/>
  <c r="K18" i="38" s="1"/>
  <c r="F6" i="40" a="1"/>
  <c r="F6" i="40" s="1"/>
  <c r="C18" i="49"/>
  <c r="D18" i="10" a="1"/>
  <c r="D18" i="10" s="1"/>
  <c r="F9" i="19"/>
  <c r="F18" i="25" a="1"/>
  <c r="F18" i="25" s="1"/>
  <c r="G18" i="39" a="1"/>
  <c r="G18" i="39" s="1"/>
  <c r="F5" i="15"/>
  <c r="F9" i="39"/>
  <c r="F7" i="41" a="1"/>
  <c r="F7" i="41" s="1"/>
  <c r="K18" i="18" a="1"/>
  <c r="K18" i="18" s="1"/>
  <c r="F11" i="19"/>
  <c r="N18" i="21" a="1"/>
  <c r="N18" i="21" s="1"/>
  <c r="N18" i="24" a="1"/>
  <c r="N18" i="24" s="1"/>
  <c r="O22" i="26" a="1"/>
  <c r="O22" i="26" s="1"/>
  <c r="E18" i="50" a="1"/>
  <c r="E18" i="50" s="1"/>
  <c r="F11" i="30"/>
  <c r="Q22" i="32" a="1"/>
  <c r="Q22" i="32" s="1"/>
  <c r="K18" i="36" a="1"/>
  <c r="K18" i="36" s="1"/>
  <c r="R18" i="64" a="1"/>
  <c r="R18" i="64" s="1"/>
  <c r="F7" i="27" a="1"/>
  <c r="F7" i="27" s="1"/>
  <c r="L18" i="47" a="1"/>
  <c r="L18" i="47" s="1"/>
  <c r="C18" i="32"/>
  <c r="E18" i="63" a="1"/>
  <c r="E18" i="63" s="1"/>
  <c r="R21" i="22" a="1"/>
  <c r="R21" i="22" s="1"/>
  <c r="N2" i="29"/>
  <c r="F7" i="65" a="1"/>
  <c r="F7" i="65" s="1"/>
  <c r="F10" i="41"/>
  <c r="F6" i="13" a="1"/>
  <c r="F6" i="13" s="1"/>
  <c r="F22" i="17" a="1"/>
  <c r="F22" i="17" s="1"/>
  <c r="O18" i="48" a="1"/>
  <c r="O18" i="48" s="1"/>
  <c r="F5" i="45"/>
  <c r="E18" i="15" a="1"/>
  <c r="E18" i="15" s="1"/>
  <c r="F9" i="41"/>
  <c r="F6" i="43" a="1"/>
  <c r="F6" i="43" s="1"/>
  <c r="F18" i="26" a="1"/>
  <c r="F18" i="26" s="1"/>
  <c r="O18" i="2" a="1"/>
  <c r="O18" i="2" s="1"/>
  <c r="N2" i="16"/>
  <c r="I18" i="48" a="1"/>
  <c r="I18" i="48" s="1"/>
  <c r="F6" i="18" a="1"/>
  <c r="F6" i="18" s="1"/>
  <c r="N18" i="43" a="1"/>
  <c r="N18" i="43" s="1"/>
  <c r="I18" i="21" a="1"/>
  <c r="I18" i="21" s="1"/>
  <c r="F6" i="14" a="1"/>
  <c r="F6" i="14" s="1"/>
  <c r="P18" i="2" a="1"/>
  <c r="P18" i="2" s="1"/>
  <c r="F9" i="15"/>
  <c r="D18" i="39" a="1"/>
  <c r="D18" i="39" s="1"/>
  <c r="F13" i="41"/>
  <c r="H18" i="42" a="1"/>
  <c r="H18" i="42" s="1"/>
  <c r="F8" i="43"/>
  <c r="M18" i="19" a="1"/>
  <c r="M18" i="19" s="1"/>
  <c r="N18" i="26" a="1"/>
  <c r="N18" i="26" s="1"/>
  <c r="R18" i="2" a="1"/>
  <c r="R18" i="2" s="1"/>
  <c r="F11" i="15"/>
  <c r="E18" i="39" a="1"/>
  <c r="E18" i="39" s="1"/>
  <c r="N2" i="41"/>
  <c r="I18" i="42" a="1"/>
  <c r="I18" i="42" s="1"/>
  <c r="F9" i="43"/>
  <c r="N18" i="19" a="1"/>
  <c r="N18" i="19" s="1"/>
  <c r="F18" i="46" a="1"/>
  <c r="F18" i="46" s="1"/>
  <c r="F13" i="38"/>
  <c r="I18" i="15" a="1"/>
  <c r="I18" i="15" s="1"/>
  <c r="N18" i="39" a="1"/>
  <c r="N18" i="39" s="1"/>
  <c r="F5" i="48"/>
  <c r="R18" i="42" a="1"/>
  <c r="R18" i="42" s="1"/>
  <c r="Q18" i="43" a="1"/>
  <c r="Q18" i="43" s="1"/>
  <c r="R18" i="21" a="1"/>
  <c r="R18" i="21" s="1"/>
  <c r="J18" i="14" a="1"/>
  <c r="J18" i="14" s="1"/>
  <c r="E18" i="40" a="1"/>
  <c r="E18" i="40" s="1"/>
  <c r="K18" i="49" a="1"/>
  <c r="K18" i="49" s="1"/>
  <c r="L18" i="10" a="1"/>
  <c r="L18" i="10" s="1"/>
  <c r="H18" i="19" a="1"/>
  <c r="H18" i="19" s="1"/>
  <c r="P22" i="25" a="1"/>
  <c r="P22" i="25" s="1"/>
  <c r="N2" i="2"/>
  <c r="C18" i="15" a="1"/>
  <c r="C18" i="15" s="1"/>
  <c r="H18" i="39" a="1"/>
  <c r="H18" i="39" s="1"/>
  <c r="F18" i="48" a="1"/>
  <c r="F18" i="48" s="1"/>
  <c r="F5" i="10"/>
  <c r="I18" i="19" a="1"/>
  <c r="I18" i="19" s="1"/>
  <c r="G18" i="22" a="1"/>
  <c r="G18" i="22" s="1"/>
  <c r="F8" i="25"/>
  <c r="F8" i="46"/>
  <c r="N2" i="47"/>
  <c r="I18" i="30" a="1"/>
  <c r="I18" i="30" s="1"/>
  <c r="F11" i="37"/>
  <c r="F6" i="63" a="1"/>
  <c r="F6" i="63" s="1"/>
  <c r="I22" i="64" a="1"/>
  <c r="I22" i="64" s="1"/>
  <c r="F7" i="28" a="1"/>
  <c r="F7" i="28" s="1"/>
  <c r="J18" i="29" a="1"/>
  <c r="J18" i="29" s="1"/>
  <c r="K18" i="32" a="1"/>
  <c r="K18" i="32" s="1"/>
  <c r="M18" i="63" a="1"/>
  <c r="M18" i="63" s="1"/>
  <c r="N28" i="22" a="1"/>
  <c r="N28" i="22" s="1"/>
  <c r="N2" i="33"/>
  <c r="F6" i="64" a="1"/>
  <c r="F6" i="64" s="1"/>
  <c r="F7" i="62" a="1"/>
  <c r="F7" i="62" s="1"/>
  <c r="F5" i="38"/>
  <c r="I18" i="16" a="1"/>
  <c r="I18" i="16" s="1"/>
  <c r="D18" i="18" a="1"/>
  <c r="D18" i="18" s="1"/>
  <c r="I21" i="22" a="1"/>
  <c r="I21" i="22" s="1"/>
  <c r="F18" i="42" a="1"/>
  <c r="F18" i="42" s="1"/>
  <c r="K18" i="19" a="1"/>
  <c r="K18" i="19" s="1"/>
  <c r="F11" i="17"/>
  <c r="F18" i="62" a="1"/>
  <c r="F18" i="62" s="1"/>
  <c r="F10" i="38"/>
  <c r="L18" i="38" a="1"/>
  <c r="L18" i="38" s="1"/>
  <c r="F5" i="14"/>
  <c r="R18" i="16" a="1"/>
  <c r="R18" i="16" s="1"/>
  <c r="N22" i="17" a="1"/>
  <c r="N22" i="17" s="1"/>
  <c r="F6" i="49" a="1"/>
  <c r="F6" i="49" s="1"/>
  <c r="L18" i="18" a="1"/>
  <c r="L18" i="18" s="1"/>
  <c r="D18" i="45" a="1"/>
  <c r="D18" i="45" s="1"/>
  <c r="B28" i="22" a="1"/>
  <c r="B28" i="22" s="1"/>
  <c r="J22" i="16" a="1"/>
  <c r="J22" i="16" s="1"/>
  <c r="F9" i="48"/>
  <c r="N18" i="42" a="1"/>
  <c r="N18" i="42" s="1"/>
  <c r="E18" i="43" a="1"/>
  <c r="E18" i="43" s="1"/>
  <c r="F5" i="21"/>
  <c r="P22" i="26" a="1"/>
  <c r="P22" i="26" s="1"/>
  <c r="G18" i="38" a="1"/>
  <c r="G18" i="38" s="1"/>
  <c r="C18" i="16"/>
  <c r="H22" i="17" a="1"/>
  <c r="H22" i="17" s="1"/>
  <c r="Q18" i="48" a="1"/>
  <c r="Q18" i="48" s="1"/>
  <c r="F18" i="18" a="1"/>
  <c r="F18" i="18" s="1"/>
  <c r="F7" i="45" a="1"/>
  <c r="F7" i="45" s="1"/>
  <c r="H18" i="22" a="1"/>
  <c r="H18" i="22" s="1"/>
  <c r="P18" i="15" a="1"/>
  <c r="P18" i="15" s="1"/>
  <c r="F9" i="38"/>
  <c r="G18" i="15" a="1"/>
  <c r="G18" i="15" s="1"/>
  <c r="L18" i="39" a="1"/>
  <c r="L18" i="39" s="1"/>
  <c r="F13" i="48"/>
  <c r="P18" i="42" a="1"/>
  <c r="P18" i="42" s="1"/>
  <c r="G18" i="43" a="1"/>
  <c r="G18" i="43" s="1"/>
  <c r="F7" i="21" a="1"/>
  <c r="F7" i="21" s="1"/>
  <c r="F9" i="46"/>
  <c r="F11" i="38"/>
  <c r="H18" i="15" a="1"/>
  <c r="H18" i="15" s="1"/>
  <c r="M18" i="39" a="1"/>
  <c r="M18" i="39" s="1"/>
  <c r="N2" i="48"/>
  <c r="Q18" i="42" a="1"/>
  <c r="Q18" i="42" s="1"/>
  <c r="H18" i="43" a="1"/>
  <c r="H18" i="43" s="1"/>
  <c r="F8" i="21"/>
  <c r="K18" i="2" a="1"/>
  <c r="K18" i="2" s="1"/>
  <c r="J18" i="38" a="1"/>
  <c r="J18" i="38" s="1"/>
  <c r="F7" i="16" a="1"/>
  <c r="F7" i="16" s="1"/>
  <c r="D18" i="48" a="1"/>
  <c r="D18" i="48" s="1"/>
  <c r="F9" i="18"/>
  <c r="F11" i="45"/>
  <c r="P18" i="22" a="1"/>
  <c r="P18" i="22" s="1"/>
  <c r="F8" i="16"/>
  <c r="M18" i="40" a="1"/>
  <c r="M18" i="40" s="1"/>
  <c r="N2" i="42"/>
  <c r="F13" i="43"/>
  <c r="P18" i="19" a="1"/>
  <c r="P18" i="19" s="1"/>
  <c r="F22" i="26" a="1"/>
  <c r="F22" i="26" s="1"/>
  <c r="L18" i="2" a="1"/>
  <c r="L18" i="2" s="1"/>
  <c r="N18" i="15" a="1"/>
  <c r="N18" i="15" s="1"/>
  <c r="P18" i="39" a="1"/>
  <c r="P18" i="39" s="1"/>
  <c r="N18" i="48" a="1"/>
  <c r="N18" i="48" s="1"/>
  <c r="E18" i="10" a="1"/>
  <c r="E18" i="10" s="1"/>
  <c r="E18" i="21" a="1"/>
  <c r="E18" i="21" s="1"/>
  <c r="O18" i="22" a="1"/>
  <c r="O18" i="22" s="1"/>
  <c r="G18" i="25" a="1"/>
  <c r="G18" i="25" s="1"/>
  <c r="O18" i="46" a="1"/>
  <c r="O18" i="46" s="1"/>
  <c r="C18" i="47"/>
  <c r="R18" i="30" a="1"/>
  <c r="R18" i="30" s="1"/>
  <c r="Q18" i="37" a="1"/>
  <c r="Q18" i="37" s="1"/>
  <c r="D18" i="63" a="1"/>
  <c r="D18" i="63" s="1"/>
  <c r="Q22" i="64" a="1"/>
  <c r="Q22" i="64" s="1"/>
  <c r="N18" i="28" a="1"/>
  <c r="N18" i="28" s="1"/>
  <c r="R18" i="29" a="1"/>
  <c r="R18" i="29" s="1"/>
  <c r="R22" i="32" a="1"/>
  <c r="R22" i="32" s="1"/>
  <c r="D18" i="65" a="1"/>
  <c r="D18" i="65" s="1"/>
  <c r="I18" i="25" a="1"/>
  <c r="I18" i="25" s="1"/>
  <c r="K18" i="30" a="1"/>
  <c r="K18" i="30" s="1"/>
  <c r="F5" i="66"/>
  <c r="F13" i="62"/>
  <c r="C18" i="38"/>
  <c r="F5" i="2"/>
  <c r="D18" i="14" a="1"/>
  <c r="D18" i="14" s="1"/>
  <c r="I22" i="16" a="1"/>
  <c r="I22" i="16" s="1"/>
  <c r="F8" i="40"/>
  <c r="E18" i="49" a="1"/>
  <c r="E18" i="49" s="1"/>
  <c r="F6" i="10" a="1"/>
  <c r="F6" i="10" s="1"/>
  <c r="L18" i="45" a="1"/>
  <c r="L18" i="45" s="1"/>
  <c r="E18" i="24" a="1"/>
  <c r="E18" i="24" s="1"/>
  <c r="F13" i="39"/>
  <c r="H18" i="48" a="1"/>
  <c r="H18" i="48" s="1"/>
  <c r="F5" i="18"/>
  <c r="M18" i="43" a="1"/>
  <c r="M18" i="43" s="1"/>
  <c r="G18" i="21" a="1"/>
  <c r="G18" i="21" s="1"/>
  <c r="F6" i="2" a="1"/>
  <c r="F6" i="2" s="1"/>
  <c r="F8" i="13"/>
  <c r="K18" i="16" a="1"/>
  <c r="K18" i="16" s="1"/>
  <c r="P22" i="17" a="1"/>
  <c r="P22" i="17" s="1"/>
  <c r="F8" i="49"/>
  <c r="N18" i="18" a="1"/>
  <c r="N18" i="18" s="1"/>
  <c r="F18" i="45" a="1"/>
  <c r="F18" i="45" s="1"/>
  <c r="O21" i="22" a="1"/>
  <c r="O21" i="22" s="1"/>
  <c r="J18" i="39" a="1"/>
  <c r="J18" i="39" s="1"/>
  <c r="H18" i="38" a="1"/>
  <c r="H18" i="38" s="1"/>
  <c r="F5" i="16"/>
  <c r="F13" i="17"/>
  <c r="J18" i="48" a="1"/>
  <c r="J18" i="48" s="1"/>
  <c r="F7" i="18" a="1"/>
  <c r="F7" i="18" s="1"/>
  <c r="O18" i="43" a="1"/>
  <c r="O18" i="43" s="1"/>
  <c r="M18" i="21" a="1"/>
  <c r="M18" i="21" s="1"/>
  <c r="F13" i="2"/>
  <c r="I18" i="38" a="1"/>
  <c r="I18" i="38" s="1"/>
  <c r="F6" i="16" a="1"/>
  <c r="F6" i="16" s="1"/>
  <c r="N2" i="17"/>
  <c r="C18" i="48"/>
  <c r="F8" i="18"/>
  <c r="P18" i="43" a="1"/>
  <c r="P18" i="43" s="1"/>
  <c r="O18" i="21" a="1"/>
  <c r="O18" i="21" s="1"/>
  <c r="F18" i="38" a="1"/>
  <c r="F18" i="38" s="1"/>
  <c r="R18" i="38" a="1"/>
  <c r="R18" i="38" s="1"/>
  <c r="F18" i="16" a="1"/>
  <c r="F18" i="16" s="1"/>
  <c r="C22" i="17" a="1"/>
  <c r="C22" i="17" s="1"/>
  <c r="L18" i="48" a="1"/>
  <c r="L18" i="48" s="1"/>
  <c r="I18" i="18" a="1"/>
  <c r="I18" i="18" s="1"/>
  <c r="I18" i="45" a="1"/>
  <c r="I18" i="45" s="1"/>
  <c r="F25" i="22" a="1"/>
  <c r="F25" i="22" s="1"/>
  <c r="G22" i="16" a="1"/>
  <c r="G22" i="16" s="1"/>
  <c r="F6" i="41" a="1"/>
  <c r="F6" i="41" s="1"/>
  <c r="C18" i="42"/>
  <c r="J18" i="43" a="1"/>
  <c r="J18" i="43" s="1"/>
  <c r="C18" i="21"/>
  <c r="N2" i="38"/>
  <c r="D18" i="38" a="1"/>
  <c r="D18" i="38" s="1"/>
  <c r="F9" i="16"/>
  <c r="F7" i="17" a="1"/>
  <c r="F7" i="17" s="1"/>
  <c r="F5" i="49"/>
  <c r="M18" i="10" a="1"/>
  <c r="M18" i="10" s="1"/>
  <c r="G21" i="22" a="1"/>
  <c r="G21" i="22" s="1"/>
  <c r="H21" i="22" a="1"/>
  <c r="H21" i="22" s="1"/>
  <c r="O18" i="25" a="1"/>
  <c r="O18" i="25" s="1"/>
  <c r="F6" i="28" a="1"/>
  <c r="F6" i="28" s="1"/>
  <c r="K18" i="47" a="1"/>
  <c r="K18" i="47" s="1"/>
  <c r="F13" i="31"/>
  <c r="I18" i="34" a="1"/>
  <c r="I18" i="34" s="1"/>
  <c r="L18" i="63" a="1"/>
  <c r="L18" i="63" s="1"/>
  <c r="F11" i="66"/>
  <c r="N22" i="28" a="1"/>
  <c r="N22" i="28" s="1"/>
  <c r="F13" i="33"/>
  <c r="J18" i="37" a="1"/>
  <c r="J18" i="37" s="1"/>
  <c r="F5" i="64"/>
  <c r="Q22" i="25" a="1"/>
  <c r="Q22" i="25" s="1"/>
  <c r="L18" i="31" a="1"/>
  <c r="L18" i="31" s="1"/>
  <c r="F11" i="67"/>
  <c r="F13" i="14"/>
  <c r="E18" i="2" a="1"/>
  <c r="E18" i="2" s="1"/>
  <c r="L18" i="14" a="1"/>
  <c r="L18" i="14" s="1"/>
  <c r="Q22" i="16" a="1"/>
  <c r="Q22" i="16" s="1"/>
  <c r="G18" i="40" a="1"/>
  <c r="G18" i="40" s="1"/>
  <c r="M18" i="49" a="1"/>
  <c r="M18" i="49" s="1"/>
  <c r="F18" i="10" a="1"/>
  <c r="F18" i="10" s="1"/>
  <c r="F13" i="19"/>
  <c r="N18" i="25" a="1"/>
  <c r="N18" i="25" s="1"/>
  <c r="G22" i="17" a="1"/>
  <c r="G22" i="17" s="1"/>
  <c r="P18" i="48" a="1"/>
  <c r="P18" i="48" s="1"/>
  <c r="E18" i="18" a="1"/>
  <c r="E18" i="18" s="1"/>
  <c r="F6" i="45" a="1"/>
  <c r="F6" i="45" s="1"/>
  <c r="F18" i="22" a="1"/>
  <c r="F18" i="22" s="1"/>
  <c r="N18" i="38" a="1"/>
  <c r="N18" i="38" s="1"/>
  <c r="F7" i="14" a="1"/>
  <c r="F7" i="14" s="1"/>
  <c r="C22" i="16" a="1"/>
  <c r="C22" i="16" s="1"/>
  <c r="F11" i="40"/>
  <c r="G18" i="49" a="1"/>
  <c r="G18" i="49" s="1"/>
  <c r="F8" i="10"/>
  <c r="N18" i="45" a="1"/>
  <c r="N18" i="45" s="1"/>
  <c r="F28" i="22" a="1"/>
  <c r="F28" i="22" s="1"/>
  <c r="G18" i="2" a="1"/>
  <c r="G18" i="2" s="1"/>
  <c r="P18" i="38" a="1"/>
  <c r="P18" i="38" s="1"/>
  <c r="D18" i="16" a="1"/>
  <c r="D18" i="16" s="1"/>
  <c r="I22" i="17" a="1"/>
  <c r="I22" i="17" s="1"/>
  <c r="R18" i="48" a="1"/>
  <c r="R18" i="48" s="1"/>
  <c r="G18" i="18" a="1"/>
  <c r="G18" i="18" s="1"/>
  <c r="F8" i="45"/>
  <c r="J18" i="22" a="1"/>
  <c r="J18" i="22" s="1"/>
  <c r="F7" i="38" a="1"/>
  <c r="F7" i="38" s="1"/>
  <c r="Q18" i="38" a="1"/>
  <c r="Q18" i="38" s="1"/>
  <c r="E18" i="16" a="1"/>
  <c r="E18" i="16" s="1"/>
  <c r="B22" i="17" a="1"/>
  <c r="B22" i="17" s="1"/>
  <c r="K18" i="48" a="1"/>
  <c r="K18" i="48" s="1"/>
  <c r="H18" i="18" a="1"/>
  <c r="H18" i="18" s="1"/>
  <c r="F9" i="45"/>
  <c r="N18" i="22" a="1"/>
  <c r="N18" i="22" s="1"/>
  <c r="F7" i="15" a="1"/>
  <c r="F7" i="15" s="1"/>
  <c r="F13" i="13"/>
  <c r="N18" i="16" a="1"/>
  <c r="N18" i="16" s="1"/>
  <c r="K22" i="17" a="1"/>
  <c r="K22" i="17" s="1"/>
  <c r="F13" i="49"/>
  <c r="R18" i="18" a="1"/>
  <c r="R18" i="18" s="1"/>
  <c r="Q18" i="45" a="1"/>
  <c r="Q18" i="45" s="1"/>
  <c r="O28" i="22" a="1"/>
  <c r="O28" i="22" s="1"/>
  <c r="F8" i="39"/>
  <c r="F6" i="48" a="1"/>
  <c r="F6" i="48" s="1"/>
  <c r="K18" i="42" a="1"/>
  <c r="K18" i="42" s="1"/>
  <c r="R18" i="43" a="1"/>
  <c r="R18" i="43" s="1"/>
  <c r="F7" i="22" a="1"/>
  <c r="F7" i="22" s="1"/>
  <c r="N2" i="13"/>
  <c r="F5" i="13"/>
  <c r="H18" i="16" a="1"/>
  <c r="H18" i="16" s="1"/>
  <c r="E22" i="17" a="1"/>
  <c r="E22" i="17" s="1"/>
  <c r="D18" i="49" a="1"/>
  <c r="D18" i="49" s="1"/>
  <c r="C18" i="43"/>
  <c r="J25" i="22" a="1"/>
  <c r="J25" i="22" s="1"/>
  <c r="P21" i="22" a="1"/>
  <c r="P21" i="22" s="1"/>
  <c r="O22" i="25" a="1"/>
  <c r="O22" i="25" s="1"/>
  <c r="E18" i="28" a="1"/>
  <c r="E18" i="28" s="1"/>
  <c r="F11" i="29"/>
  <c r="R18" i="31" a="1"/>
  <c r="R18" i="31" s="1"/>
  <c r="N2" i="35"/>
  <c r="F5" i="65"/>
  <c r="Q18" i="66" a="1"/>
  <c r="Q18" i="66" s="1"/>
  <c r="F7" i="50" a="1"/>
  <c r="F7" i="50" s="1"/>
  <c r="J18" i="33" a="1"/>
  <c r="J18" i="33" s="1"/>
  <c r="J18" i="34" a="1"/>
  <c r="J18" i="34" s="1"/>
  <c r="B22" i="64" a="1"/>
  <c r="B22" i="64" s="1"/>
  <c r="Q22" i="26" a="1"/>
  <c r="Q22" i="26" s="1"/>
  <c r="K22" i="32" a="1"/>
  <c r="K22" i="32" s="1"/>
  <c r="R18" i="24" a="1"/>
  <c r="R18" i="24" s="1"/>
  <c r="J18" i="15" a="1"/>
  <c r="J18" i="15" s="1"/>
  <c r="M18" i="2" a="1"/>
  <c r="M18" i="2" s="1"/>
  <c r="F6" i="15" a="1"/>
  <c r="F6" i="15" s="1"/>
  <c r="F11" i="39"/>
  <c r="O18" i="40" a="1"/>
  <c r="O18" i="40" s="1"/>
  <c r="F6" i="42" a="1"/>
  <c r="F6" i="42" s="1"/>
  <c r="N18" i="10" a="1"/>
  <c r="N18" i="10" s="1"/>
  <c r="J18" i="19" a="1"/>
  <c r="J18" i="19" s="1"/>
  <c r="F9" i="26"/>
  <c r="O22" i="17" a="1"/>
  <c r="O22" i="17" s="1"/>
  <c r="F7" i="49" a="1"/>
  <c r="F7" i="49" s="1"/>
  <c r="M18" i="18" a="1"/>
  <c r="M18" i="18" s="1"/>
  <c r="E18" i="45" a="1"/>
  <c r="E18" i="45" s="1"/>
  <c r="K21" i="22" a="1"/>
  <c r="K21" i="22" s="1"/>
  <c r="E18" i="14" a="1"/>
  <c r="E18" i="14" s="1"/>
  <c r="F18" i="14" a="1"/>
  <c r="F18" i="14" s="1"/>
  <c r="K22" i="16" a="1"/>
  <c r="K22" i="16" s="1"/>
  <c r="I18" i="40" a="1"/>
  <c r="I18" i="40" s="1"/>
  <c r="O18" i="49" a="1"/>
  <c r="O18" i="49" s="1"/>
  <c r="H18" i="10" a="1"/>
  <c r="H18" i="10" s="1"/>
  <c r="F5" i="19"/>
  <c r="M18" i="24" a="1"/>
  <c r="M18" i="24" s="1"/>
  <c r="F8" i="38"/>
  <c r="F9" i="13"/>
  <c r="L18" i="16" a="1"/>
  <c r="L18" i="16" s="1"/>
  <c r="Q22" i="17" a="1"/>
  <c r="Q22" i="17" s="1"/>
  <c r="F9" i="49"/>
  <c r="O18" i="18" a="1"/>
  <c r="O18" i="18" s="1"/>
  <c r="G18" i="45" a="1"/>
  <c r="G18" i="45" s="1"/>
  <c r="Q21" i="22" a="1"/>
  <c r="Q21" i="22" s="1"/>
  <c r="M18" i="14" a="1"/>
  <c r="M18" i="14" s="1"/>
  <c r="F11" i="13"/>
  <c r="M18" i="16" a="1"/>
  <c r="M18" i="16" s="1"/>
  <c r="J22" i="17" a="1"/>
  <c r="J22" i="17" s="1"/>
  <c r="F11" i="49"/>
  <c r="P18" i="18" a="1"/>
  <c r="P18" i="18" s="1"/>
  <c r="H18" i="45" a="1"/>
  <c r="H18" i="45" s="1"/>
  <c r="L28" i="22" a="1"/>
  <c r="L28" i="22" s="1"/>
  <c r="R18" i="39" a="1"/>
  <c r="R18" i="39" s="1"/>
  <c r="F11" i="14"/>
  <c r="F22" i="16" a="1"/>
  <c r="F22" i="16" s="1"/>
  <c r="F5" i="40"/>
  <c r="J18" i="49" a="1"/>
  <c r="J18" i="49" s="1"/>
  <c r="F13" i="10"/>
  <c r="F8" i="19"/>
  <c r="F9" i="25"/>
  <c r="O18" i="39" a="1"/>
  <c r="O18" i="39" s="1"/>
  <c r="E18" i="48" a="1"/>
  <c r="E18" i="48" s="1"/>
  <c r="F11" i="18"/>
  <c r="F13" i="45"/>
  <c r="C21" i="22"/>
  <c r="N2" i="15"/>
  <c r="N2" i="14"/>
  <c r="P18" i="16" a="1"/>
  <c r="P18" i="16" s="1"/>
  <c r="M22" i="17" a="1"/>
  <c r="M22" i="17" s="1"/>
  <c r="L18" i="49" a="1"/>
  <c r="L18" i="49" s="1"/>
  <c r="N2" i="45"/>
  <c r="F8" i="24"/>
  <c r="G25" i="22" a="1"/>
  <c r="G25" i="22" s="1"/>
  <c r="G18" i="26" a="1"/>
  <c r="G18" i="26" s="1"/>
  <c r="M18" i="28" a="1"/>
  <c r="M18" i="28" s="1"/>
  <c r="I18" i="29" a="1"/>
  <c r="I18" i="29" s="1"/>
  <c r="J18" i="32" a="1"/>
  <c r="J18" i="32" s="1"/>
  <c r="C18" i="35"/>
  <c r="C18" i="65"/>
  <c r="G18" i="67" a="1"/>
  <c r="G18" i="67" s="1"/>
  <c r="F18" i="50" a="1"/>
  <c r="F18" i="50" s="1"/>
  <c r="R18" i="33" a="1"/>
  <c r="R18" i="33" s="1"/>
  <c r="F5" i="35"/>
  <c r="F13" i="66"/>
  <c r="Q18" i="46" a="1"/>
  <c r="Q18" i="46" s="1"/>
  <c r="K18" i="37" a="1"/>
  <c r="K18" i="37" s="1"/>
  <c r="J22" i="25" a="1"/>
  <c r="J22" i="25" s="1"/>
  <c r="F10" i="31"/>
  <c r="F6" i="38" a="1"/>
  <c r="F6" i="38" s="1"/>
  <c r="D18" i="15" a="1"/>
  <c r="D18" i="15" s="1"/>
  <c r="I18" i="39" a="1"/>
  <c r="I18" i="39" s="1"/>
  <c r="F8" i="41"/>
  <c r="E18" i="42" a="1"/>
  <c r="E18" i="42" s="1"/>
  <c r="F5" i="43"/>
  <c r="N2" i="21"/>
  <c r="N22" i="26" a="1"/>
  <c r="N22" i="26" s="1"/>
  <c r="F9" i="40"/>
  <c r="F18" i="49" a="1"/>
  <c r="F18" i="49" s="1"/>
  <c r="F7" i="10" a="1"/>
  <c r="F7" i="10" s="1"/>
  <c r="M18" i="45" a="1"/>
  <c r="M18" i="45" s="1"/>
  <c r="D28" i="22" a="1"/>
  <c r="D28" i="22" s="1"/>
  <c r="F13" i="16"/>
  <c r="N18" i="14" a="1"/>
  <c r="N18" i="14" s="1"/>
  <c r="N2" i="39"/>
  <c r="Q18" i="40" a="1"/>
  <c r="Q18" i="40" s="1"/>
  <c r="S18" i="40" s="1" a="1"/>
  <c r="S18" i="40" s="1"/>
  <c r="F8" i="42"/>
  <c r="P18" i="10" a="1"/>
  <c r="P18" i="10" s="1"/>
  <c r="D18" i="19" a="1"/>
  <c r="D18" i="19" s="1"/>
  <c r="H18" i="26" a="1"/>
  <c r="H18" i="26" s="1"/>
  <c r="O18" i="38" a="1"/>
  <c r="O18" i="38" s="1"/>
  <c r="F8" i="14"/>
  <c r="D22" i="16" a="1"/>
  <c r="D22" i="16" s="1"/>
  <c r="F13" i="40"/>
  <c r="H18" i="49" a="1"/>
  <c r="H18" i="49" s="1"/>
  <c r="F9" i="10"/>
  <c r="O18" i="45" a="1"/>
  <c r="O18" i="45" s="1"/>
  <c r="J28" i="22" a="1"/>
  <c r="J28" i="22" s="1"/>
  <c r="J18" i="16" a="1"/>
  <c r="J18" i="16" s="1"/>
  <c r="F9" i="14"/>
  <c r="E22" i="16" a="1"/>
  <c r="E22" i="16" s="1"/>
  <c r="N2" i="40"/>
  <c r="I18" i="49" a="1"/>
  <c r="I18" i="49" s="1"/>
  <c r="F11" i="10"/>
  <c r="P18" i="45" a="1"/>
  <c r="P18" i="45" s="1"/>
  <c r="F7" i="25" a="1"/>
  <c r="F7" i="25" s="1"/>
  <c r="F7" i="2" a="1"/>
  <c r="F7" i="2" s="1"/>
  <c r="I18" i="14" a="1"/>
  <c r="I18" i="14" s="1"/>
  <c r="N22" i="16" a="1"/>
  <c r="N22" i="16" s="1"/>
  <c r="D18" i="40" a="1"/>
  <c r="D18" i="40" s="1"/>
  <c r="R18" i="49" a="1"/>
  <c r="R18" i="49" s="1"/>
  <c r="K18" i="10" a="1"/>
  <c r="K18" i="10" s="1"/>
  <c r="G18" i="19" a="1"/>
  <c r="G18" i="19" s="1"/>
  <c r="N22" i="25" a="1"/>
  <c r="N22" i="25" s="1"/>
  <c r="D22" i="17" a="1"/>
  <c r="D22" i="17" s="1"/>
  <c r="M18" i="48" a="1"/>
  <c r="M18" i="48" s="1"/>
  <c r="J18" i="18" a="1"/>
  <c r="J18" i="18" s="1"/>
  <c r="J18" i="45" a="1"/>
  <c r="J18" i="45" s="1"/>
  <c r="H25" i="22" a="1"/>
  <c r="H25" i="22" s="1"/>
  <c r="G18" i="16" a="1"/>
  <c r="G18" i="16" s="1"/>
  <c r="C18" i="14"/>
  <c r="H22" i="16" a="1"/>
  <c r="H22" i="16" s="1"/>
  <c r="F7" i="40" a="1"/>
  <c r="F7" i="40" s="1"/>
  <c r="D18" i="42" a="1"/>
  <c r="D18" i="42" s="1"/>
  <c r="C18" i="45"/>
  <c r="H18" i="25" a="1"/>
  <c r="H18" i="25" s="1"/>
  <c r="K28" i="22" a="1"/>
  <c r="K28" i="22" s="1"/>
  <c r="O18" i="26" a="1"/>
  <c r="O18" i="26" s="1"/>
  <c r="E22" i="28" a="1"/>
  <c r="E22" i="28" s="1"/>
  <c r="F11" i="33"/>
  <c r="R18" i="32" a="1"/>
  <c r="R18" i="32" s="1"/>
  <c r="K18" i="35" a="1"/>
  <c r="K18" i="35" s="1"/>
  <c r="N2" i="64"/>
  <c r="O18" i="67" a="1"/>
  <c r="O18" i="67" s="1"/>
  <c r="N18" i="50" a="1"/>
  <c r="N18" i="50" s="1"/>
  <c r="J18" i="30" a="1"/>
  <c r="J18" i="30" s="1"/>
  <c r="L18" i="35" a="1"/>
  <c r="L18" i="35" s="1"/>
  <c r="P18" i="67" a="1"/>
  <c r="P18" i="67" s="1"/>
  <c r="G22" i="28" a="1"/>
  <c r="G22" i="28" s="1"/>
  <c r="E18" i="35" a="1"/>
  <c r="E18" i="35" s="1"/>
  <c r="P18" i="62" a="1"/>
  <c r="P18" i="62" s="1"/>
  <c r="F10" i="32"/>
  <c r="F10" i="27"/>
  <c r="F6" i="62" a="1"/>
  <c r="F6" i="62" s="1"/>
  <c r="N18" i="62" a="1"/>
  <c r="N18" i="62" s="1"/>
  <c r="F10" i="54"/>
  <c r="F10" i="13"/>
  <c r="E18" i="62" a="1"/>
  <c r="E18" i="62" s="1"/>
  <c r="K18" i="62" a="1"/>
  <c r="K18" i="62" s="1"/>
  <c r="F10" i="47"/>
  <c r="F10" i="17"/>
  <c r="F10" i="28"/>
  <c r="F10" i="14"/>
  <c r="F10" i="19"/>
  <c r="F10" i="10"/>
  <c r="F10" i="62"/>
  <c r="F10" i="48"/>
  <c r="F10" i="35"/>
  <c r="F10" i="33"/>
  <c r="F10" i="24"/>
  <c r="F10" i="18"/>
  <c r="F10" i="16"/>
  <c r="F9" i="62"/>
  <c r="F10" i="21"/>
  <c r="F10" i="37"/>
  <c r="F10" i="49"/>
  <c r="N2" i="62"/>
  <c r="F11" i="62"/>
  <c r="F10" i="39"/>
  <c r="I18" i="62" a="1"/>
  <c r="I18" i="62" s="1"/>
  <c r="H18" i="66" a="1"/>
  <c r="H18" i="66" s="1"/>
  <c r="J18" i="65" a="1"/>
  <c r="J18" i="65" s="1"/>
  <c r="F13" i="36"/>
  <c r="H18" i="37" a="1"/>
  <c r="H18" i="37" s="1"/>
  <c r="I18" i="31" a="1"/>
  <c r="I18" i="31" s="1"/>
  <c r="P18" i="29" a="1"/>
  <c r="P18" i="29" s="1"/>
  <c r="F5" i="50"/>
  <c r="M18" i="67" a="1"/>
  <c r="M18" i="67" s="1"/>
  <c r="P18" i="64" a="1"/>
  <c r="P18" i="64" s="1"/>
  <c r="F13" i="63"/>
  <c r="P18" i="34" a="1"/>
  <c r="P18" i="34" s="1"/>
  <c r="P18" i="32" a="1"/>
  <c r="P18" i="32" s="1"/>
  <c r="F8" i="30"/>
  <c r="I18" i="47" a="1"/>
  <c r="I18" i="47" s="1"/>
  <c r="C18" i="28"/>
  <c r="M18" i="26" a="1"/>
  <c r="M18" i="26" s="1"/>
  <c r="L18" i="24" a="1"/>
  <c r="L18" i="24" s="1"/>
  <c r="M18" i="22" a="1"/>
  <c r="M18" i="22" s="1"/>
  <c r="N18" i="66" a="1"/>
  <c r="N18" i="66" s="1"/>
  <c r="P18" i="65" a="1"/>
  <c r="P18" i="65" s="1"/>
  <c r="F9" i="36"/>
  <c r="F18" i="37" a="1"/>
  <c r="F18" i="37" s="1"/>
  <c r="G18" i="31" a="1"/>
  <c r="G18" i="31" s="1"/>
  <c r="N18" i="29" a="1"/>
  <c r="N18" i="29" s="1"/>
  <c r="F13" i="50"/>
  <c r="F5" i="46"/>
  <c r="L18" i="25" a="1"/>
  <c r="L18" i="25" s="1"/>
  <c r="D25" i="22" a="1"/>
  <c r="D25" i="22" s="1"/>
  <c r="C18" i="67"/>
  <c r="F18" i="64" a="1"/>
  <c r="F18" i="64" s="1"/>
  <c r="O18" i="36" a="1"/>
  <c r="O18" i="36" s="1"/>
  <c r="F6" i="34" a="1"/>
  <c r="F6" i="34" s="1"/>
  <c r="F7" i="32" a="1"/>
  <c r="F7" i="32" s="1"/>
  <c r="E18" i="33" a="1"/>
  <c r="E18" i="33" s="1"/>
  <c r="Q18" i="50" a="1"/>
  <c r="Q18" i="50" s="1"/>
  <c r="F11" i="27"/>
  <c r="N2" i="26"/>
  <c r="P28" i="22" a="1"/>
  <c r="P28" i="22" s="1"/>
  <c r="N2" i="22"/>
  <c r="D18" i="66" a="1"/>
  <c r="D18" i="66" s="1"/>
  <c r="F18" i="65" a="1"/>
  <c r="F18" i="65" s="1"/>
  <c r="N18" i="35" a="1"/>
  <c r="N18" i="35" s="1"/>
  <c r="F5" i="37"/>
  <c r="F6" i="31" a="1"/>
  <c r="F6" i="31" s="1"/>
  <c r="D18" i="29" a="1"/>
  <c r="D18" i="29" s="1"/>
  <c r="P22" i="28" a="1"/>
  <c r="P22" i="28" s="1"/>
  <c r="F13" i="46"/>
  <c r="F13" i="25"/>
  <c r="C18" i="66"/>
  <c r="E18" i="65" a="1"/>
  <c r="E18" i="65" s="1"/>
  <c r="M18" i="35" a="1"/>
  <c r="M18" i="35" s="1"/>
  <c r="N2" i="37"/>
  <c r="F5" i="31"/>
  <c r="C18" i="29"/>
  <c r="O22" i="28" a="1"/>
  <c r="O22" i="28" s="1"/>
  <c r="F11" i="46"/>
  <c r="R18" i="25" a="1"/>
  <c r="R18" i="25" s="1"/>
  <c r="I25" i="22" a="1"/>
  <c r="I25" i="22" s="1"/>
  <c r="F9" i="21"/>
  <c r="J22" i="64" a="1"/>
  <c r="J22" i="64" s="1"/>
  <c r="F10" i="15"/>
  <c r="Q18" i="62" a="1"/>
  <c r="Q18" i="62" s="1"/>
  <c r="F10" i="55"/>
  <c r="D18" i="62" a="1"/>
  <c r="D18" i="62" s="1"/>
  <c r="G18" i="62" a="1"/>
  <c r="G18" i="62" s="1"/>
  <c r="F10" i="66"/>
  <c r="F13" i="65"/>
  <c r="R18" i="35" a="1"/>
  <c r="R18" i="35" s="1"/>
  <c r="F9" i="37"/>
  <c r="F11" i="31"/>
  <c r="H18" i="29" a="1"/>
  <c r="H18" i="29" s="1"/>
  <c r="L22" i="28" a="1"/>
  <c r="L22" i="28" s="1"/>
  <c r="E18" i="67" a="1"/>
  <c r="E18" i="67" s="1"/>
  <c r="H18" i="64" a="1"/>
  <c r="H18" i="64" s="1"/>
  <c r="N2" i="63"/>
  <c r="G18" i="34" a="1"/>
  <c r="G18" i="34" s="1"/>
  <c r="H18" i="32" a="1"/>
  <c r="H18" i="32" s="1"/>
  <c r="O18" i="33" a="1"/>
  <c r="O18" i="33" s="1"/>
  <c r="F11" i="47"/>
  <c r="N2" i="28"/>
  <c r="E18" i="26" a="1"/>
  <c r="E18" i="26" s="1"/>
  <c r="D18" i="24" a="1"/>
  <c r="D18" i="24" s="1"/>
  <c r="E18" i="22" a="1"/>
  <c r="E18" i="22" s="1"/>
  <c r="F18" i="66" a="1"/>
  <c r="F18" i="66" s="1"/>
  <c r="H18" i="65" a="1"/>
  <c r="H18" i="65" s="1"/>
  <c r="P18" i="35" a="1"/>
  <c r="P18" i="35" s="1"/>
  <c r="F7" i="37" a="1"/>
  <c r="F7" i="37" s="1"/>
  <c r="F8" i="31"/>
  <c r="F18" i="29" a="1"/>
  <c r="F18" i="29" s="1"/>
  <c r="R22" i="28" a="1"/>
  <c r="R22" i="28" s="1"/>
  <c r="L22" i="26" a="1"/>
  <c r="L22" i="26" s="1"/>
  <c r="D18" i="25" a="1"/>
  <c r="D18" i="25" s="1"/>
  <c r="M21" i="22" a="1"/>
  <c r="M21" i="22" s="1"/>
  <c r="F5" i="67"/>
  <c r="F8" i="64"/>
  <c r="G18" i="36" a="1"/>
  <c r="G18" i="36" s="1"/>
  <c r="M18" i="37" a="1"/>
  <c r="M18" i="37" s="1"/>
  <c r="N18" i="31" a="1"/>
  <c r="N18" i="31" s="1"/>
  <c r="F6" i="33" a="1"/>
  <c r="F6" i="33" s="1"/>
  <c r="I18" i="50" a="1"/>
  <c r="I18" i="50" s="1"/>
  <c r="K18" i="46" a="1"/>
  <c r="K18" i="46" s="1"/>
  <c r="K22" i="25" a="1"/>
  <c r="K22" i="25" s="1"/>
  <c r="G28" i="22" a="1"/>
  <c r="G28" i="22" s="1"/>
  <c r="J18" i="21" a="1"/>
  <c r="J18" i="21" s="1"/>
  <c r="F6" i="66" a="1"/>
  <c r="F6" i="66" s="1"/>
  <c r="F8" i="65"/>
  <c r="F18" i="35" a="1"/>
  <c r="F18" i="35" s="1"/>
  <c r="L22" i="32" a="1"/>
  <c r="L22" i="32" s="1"/>
  <c r="L18" i="30" a="1"/>
  <c r="L18" i="30" s="1"/>
  <c r="F5" i="29"/>
  <c r="H22" i="28" a="1"/>
  <c r="H22" i="28" s="1"/>
  <c r="F10" i="42"/>
  <c r="L18" i="62" a="1"/>
  <c r="L18" i="62" s="1"/>
  <c r="F10" i="25"/>
  <c r="F10" i="2"/>
  <c r="J18" i="62" a="1"/>
  <c r="J18" i="62" s="1"/>
  <c r="P22" i="64" a="1"/>
  <c r="P22" i="64" s="1"/>
  <c r="N2" i="65"/>
  <c r="J18" i="35" a="1"/>
  <c r="J18" i="35" s="1"/>
  <c r="P22" i="32" a="1"/>
  <c r="P22" i="32" s="1"/>
  <c r="P18" i="30" a="1"/>
  <c r="P18" i="30" s="1"/>
  <c r="F9" i="29"/>
  <c r="D22" i="28" a="1"/>
  <c r="D22" i="28" s="1"/>
  <c r="F7" i="67" a="1"/>
  <c r="F7" i="67" s="1"/>
  <c r="F10" i="64"/>
  <c r="R18" i="36" a="1"/>
  <c r="R18" i="36" s="1"/>
  <c r="F8" i="34"/>
  <c r="F9" i="32"/>
  <c r="G18" i="33" a="1"/>
  <c r="G18" i="33" s="1"/>
  <c r="K18" i="50" a="1"/>
  <c r="K18" i="50" s="1"/>
  <c r="N2" i="27"/>
  <c r="F6" i="26" a="1"/>
  <c r="F6" i="26" s="1"/>
  <c r="F5" i="24"/>
  <c r="F6" i="22" a="1"/>
  <c r="F6" i="22" s="1"/>
  <c r="F8" i="66"/>
  <c r="F10" i="65"/>
  <c r="H18" i="35" a="1"/>
  <c r="H18" i="35" s="1"/>
  <c r="N22" i="32" a="1"/>
  <c r="N22" i="32" s="1"/>
  <c r="N18" i="30" a="1"/>
  <c r="N18" i="30" s="1"/>
  <c r="F7" i="29" a="1"/>
  <c r="F7" i="29" s="1"/>
  <c r="J22" i="28" a="1"/>
  <c r="J22" i="28" s="1"/>
  <c r="D22" i="26" a="1"/>
  <c r="D22" i="26" s="1"/>
  <c r="F5" i="25"/>
  <c r="E21" i="22" a="1"/>
  <c r="E21" i="22" s="1"/>
  <c r="M18" i="66" a="1"/>
  <c r="M18" i="66" s="1"/>
  <c r="O18" i="65" a="1"/>
  <c r="O18" i="65" s="1"/>
  <c r="F8" i="36"/>
  <c r="E18" i="37" a="1"/>
  <c r="E18" i="37" s="1"/>
  <c r="F18" i="31" a="1"/>
  <c r="F18" i="31" s="1"/>
  <c r="M18" i="29" a="1"/>
  <c r="M18" i="29" s="1"/>
  <c r="F11" i="50"/>
  <c r="C18" i="46"/>
  <c r="C22" i="25" a="1"/>
  <c r="C22" i="25" s="1"/>
  <c r="N25" i="22" a="1"/>
  <c r="N25" i="22" s="1"/>
  <c r="F13" i="21"/>
  <c r="L22" i="64" a="1"/>
  <c r="L22" i="64" s="1"/>
  <c r="O18" i="63" a="1"/>
  <c r="O18" i="63" s="1"/>
  <c r="F7" i="35" a="1"/>
  <c r="F7" i="35" s="1"/>
  <c r="D22" i="32" a="1"/>
  <c r="D22" i="32" s="1"/>
  <c r="D18" i="30" a="1"/>
  <c r="D18" i="30" s="1"/>
  <c r="N18" i="47" a="1"/>
  <c r="N18" i="47" s="1"/>
  <c r="P18" i="28" a="1"/>
  <c r="P18" i="28" s="1"/>
  <c r="J22" i="26" a="1"/>
  <c r="J22" i="26" s="1"/>
  <c r="I18" i="24" a="1"/>
  <c r="I18" i="24" s="1"/>
  <c r="K22" i="64" a="1"/>
  <c r="K22" i="64" s="1"/>
  <c r="N18" i="63" a="1"/>
  <c r="N18" i="63" s="1"/>
  <c r="F6" i="35" a="1"/>
  <c r="F6" i="35" s="1"/>
  <c r="C22" i="32" a="1"/>
  <c r="C22" i="32" s="1"/>
  <c r="C18" i="30"/>
  <c r="M18" i="47" a="1"/>
  <c r="M18" i="47" s="1"/>
  <c r="O18" i="28" a="1"/>
  <c r="O18" i="28" s="1"/>
  <c r="I22" i="26" a="1"/>
  <c r="I22" i="26" s="1"/>
  <c r="F11" i="25"/>
  <c r="J21" i="22" a="1"/>
  <c r="J21" i="22" s="1"/>
  <c r="H18" i="67" a="1"/>
  <c r="H18" i="67" s="1"/>
  <c r="K18" i="64" a="1"/>
  <c r="K18" i="64" s="1"/>
  <c r="F7" i="63" a="1"/>
  <c r="F7" i="63" s="1"/>
  <c r="F13" i="34"/>
  <c r="N2" i="32"/>
  <c r="F10" i="22"/>
  <c r="F10" i="29"/>
  <c r="F10" i="40"/>
  <c r="F8" i="62"/>
  <c r="H22" i="64" a="1"/>
  <c r="H22" i="64" s="1"/>
  <c r="K18" i="63" a="1"/>
  <c r="K18" i="63" s="1"/>
  <c r="F13" i="35"/>
  <c r="H22" i="32" a="1"/>
  <c r="H22" i="32" s="1"/>
  <c r="H18" i="30" a="1"/>
  <c r="H18" i="30" s="1"/>
  <c r="R18" i="47" a="1"/>
  <c r="R18" i="47" s="1"/>
  <c r="L18" i="28" a="1"/>
  <c r="L18" i="28" s="1"/>
  <c r="O18" i="66" a="1"/>
  <c r="O18" i="66" s="1"/>
  <c r="Q18" i="65" a="1"/>
  <c r="Q18" i="65" s="1"/>
  <c r="I18" i="36" a="1"/>
  <c r="I18" i="36" s="1"/>
  <c r="O18" i="37" a="1"/>
  <c r="O18" i="37" s="1"/>
  <c r="P18" i="31" a="1"/>
  <c r="P18" i="31" s="1"/>
  <c r="F8" i="33"/>
  <c r="C18" i="50"/>
  <c r="M18" i="46" a="1"/>
  <c r="M18" i="46" s="1"/>
  <c r="M22" i="25" a="1"/>
  <c r="M22" i="25" s="1"/>
  <c r="I28" i="22" a="1"/>
  <c r="I28" i="22" s="1"/>
  <c r="L18" i="21" a="1"/>
  <c r="L18" i="21" s="1"/>
  <c r="N22" i="64" a="1"/>
  <c r="N22" i="64" s="1"/>
  <c r="Q18" i="63" a="1"/>
  <c r="Q18" i="63" s="1"/>
  <c r="F9" i="35"/>
  <c r="F22" i="32" a="1"/>
  <c r="F22" i="32" s="1"/>
  <c r="F18" i="30" a="1"/>
  <c r="F18" i="30" s="1"/>
  <c r="P18" i="47" a="1"/>
  <c r="P18" i="47" s="1"/>
  <c r="J18" i="28" a="1"/>
  <c r="J18" i="28" s="1"/>
  <c r="L18" i="26" a="1"/>
  <c r="L18" i="26" s="1"/>
  <c r="K18" i="24" a="1"/>
  <c r="K18" i="24" s="1"/>
  <c r="L18" i="22" a="1"/>
  <c r="L18" i="22" s="1"/>
  <c r="E18" i="66" a="1"/>
  <c r="E18" i="66" s="1"/>
  <c r="G18" i="65" a="1"/>
  <c r="G18" i="65" s="1"/>
  <c r="O18" i="35" a="1"/>
  <c r="O18" i="35" s="1"/>
  <c r="F6" i="37" a="1"/>
  <c r="F6" i="37" s="1"/>
  <c r="F7" i="31" a="1"/>
  <c r="F7" i="31" s="1"/>
  <c r="E18" i="29" a="1"/>
  <c r="E18" i="29" s="1"/>
  <c r="Q22" i="28" a="1"/>
  <c r="Q22" i="28" s="1"/>
  <c r="N2" i="46"/>
  <c r="K18" i="25" a="1"/>
  <c r="K18" i="25" s="1"/>
  <c r="C25" i="22" a="1"/>
  <c r="C25" i="22" s="1"/>
  <c r="R18" i="67" a="1"/>
  <c r="R18" i="67" s="1"/>
  <c r="D22" i="64" a="1"/>
  <c r="D22" i="64" s="1"/>
  <c r="G18" i="63" a="1"/>
  <c r="G18" i="63" s="1"/>
  <c r="L18" i="34" a="1"/>
  <c r="L18" i="34" s="1"/>
  <c r="M18" i="32" a="1"/>
  <c r="M18" i="32" s="1"/>
  <c r="F5" i="30"/>
  <c r="F18" i="47" a="1"/>
  <c r="F18" i="47" s="1"/>
  <c r="H18" i="28" a="1"/>
  <c r="H18" i="28" s="1"/>
  <c r="J18" i="26" a="1"/>
  <c r="J18" i="26" s="1"/>
  <c r="F11" i="24"/>
  <c r="C22" i="64" a="1"/>
  <c r="C22" i="64" s="1"/>
  <c r="F18" i="63" a="1"/>
  <c r="F18" i="63" s="1"/>
  <c r="K18" i="34" a="1"/>
  <c r="K18" i="34" s="1"/>
  <c r="L18" i="32" a="1"/>
  <c r="L18" i="32" s="1"/>
  <c r="N2" i="30"/>
  <c r="E18" i="47" a="1"/>
  <c r="E18" i="47" s="1"/>
  <c r="G18" i="28" a="1"/>
  <c r="G18" i="28" s="1"/>
  <c r="R18" i="26" a="1"/>
  <c r="R18" i="26" s="1"/>
  <c r="P18" i="24" a="1"/>
  <c r="P18" i="24" s="1"/>
  <c r="R18" i="22" a="1"/>
  <c r="R18" i="22" s="1"/>
  <c r="F10" i="67"/>
  <c r="C18" i="64"/>
  <c r="L18" i="36" a="1"/>
  <c r="L18" i="36" s="1"/>
  <c r="R18" i="37" a="1"/>
  <c r="R18" i="37" s="1"/>
  <c r="S18" i="37" s="1" a="1"/>
  <c r="S18" i="37" s="1"/>
  <c r="K18" i="31" a="1"/>
  <c r="K18" i="31" s="1"/>
  <c r="F10" i="50"/>
  <c r="F10" i="36"/>
  <c r="F10" i="43"/>
  <c r="N18" i="67" a="1"/>
  <c r="N18" i="67" s="1"/>
  <c r="Q18" i="64" a="1"/>
  <c r="Q18" i="64" s="1"/>
  <c r="S18" i="64" s="1" a="1"/>
  <c r="S18" i="64" s="1"/>
  <c r="C18" i="63"/>
  <c r="R18" i="34" a="1"/>
  <c r="R18" i="34" s="1"/>
  <c r="Q18" i="32" a="1"/>
  <c r="Q18" i="32" s="1"/>
  <c r="F9" i="30"/>
  <c r="J18" i="47" a="1"/>
  <c r="J18" i="47" s="1"/>
  <c r="D18" i="28" a="1"/>
  <c r="D18" i="28" s="1"/>
  <c r="G18" i="66" a="1"/>
  <c r="G18" i="66" s="1"/>
  <c r="I18" i="65" a="1"/>
  <c r="I18" i="65" s="1"/>
  <c r="F11" i="36"/>
  <c r="G18" i="37" a="1"/>
  <c r="G18" i="37" s="1"/>
  <c r="H18" i="31" a="1"/>
  <c r="H18" i="31" s="1"/>
  <c r="O18" i="29" a="1"/>
  <c r="O18" i="29" s="1"/>
  <c r="N2" i="50"/>
  <c r="E18" i="46" a="1"/>
  <c r="E18" i="46" s="1"/>
  <c r="E22" i="25" a="1"/>
  <c r="E22" i="25" s="1"/>
  <c r="P25" i="22" a="1"/>
  <c r="P25" i="22" s="1"/>
  <c r="D18" i="21" a="1"/>
  <c r="D18" i="21" s="1"/>
  <c r="F22" i="64" a="1"/>
  <c r="F22" i="64" s="1"/>
  <c r="I18" i="63" a="1"/>
  <c r="I18" i="63" s="1"/>
  <c r="O18" i="34" a="1"/>
  <c r="O18" i="34" s="1"/>
  <c r="O18" i="32" a="1"/>
  <c r="O18" i="32" s="1"/>
  <c r="F7" i="30" a="1"/>
  <c r="F7" i="30" s="1"/>
  <c r="H18" i="47" a="1"/>
  <c r="H18" i="47" s="1"/>
  <c r="F13" i="28"/>
  <c r="D18" i="26" a="1"/>
  <c r="D18" i="26" s="1"/>
  <c r="C18" i="24"/>
  <c r="D18" i="22" a="1"/>
  <c r="D18" i="22" s="1"/>
  <c r="F7" i="66" a="1"/>
  <c r="F7" i="66" s="1"/>
  <c r="F9" i="65"/>
  <c r="G18" i="35" a="1"/>
  <c r="G18" i="35" s="1"/>
  <c r="M22" i="32" a="1"/>
  <c r="M22" i="32" s="1"/>
  <c r="M18" i="30" a="1"/>
  <c r="M18" i="30" s="1"/>
  <c r="F6" i="29" a="1"/>
  <c r="F6" i="29" s="1"/>
  <c r="I22" i="28" a="1"/>
  <c r="I22" i="28" s="1"/>
  <c r="K22" i="26" a="1"/>
  <c r="K22" i="26" s="1"/>
  <c r="C18" i="25"/>
  <c r="L21" i="22" a="1"/>
  <c r="L21" i="22" s="1"/>
  <c r="J18" i="67" a="1"/>
  <c r="J18" i="67" s="1"/>
  <c r="M18" i="64" a="1"/>
  <c r="M18" i="64" s="1"/>
  <c r="F9" i="63"/>
  <c r="D18" i="34" a="1"/>
  <c r="D18" i="34" s="1"/>
  <c r="E18" i="32" a="1"/>
  <c r="E18" i="32" s="1"/>
  <c r="L18" i="33" a="1"/>
  <c r="L18" i="33" s="1"/>
  <c r="F7" i="47" a="1"/>
  <c r="F7" i="47" s="1"/>
  <c r="F9" i="28"/>
  <c r="F13" i="26"/>
  <c r="Q18" i="67" a="1"/>
  <c r="Q18" i="67" s="1"/>
  <c r="L18" i="64" a="1"/>
  <c r="L18" i="64" s="1"/>
  <c r="F8" i="63"/>
  <c r="C18" i="34"/>
  <c r="D18" i="32" a="1"/>
  <c r="D18" i="32" s="1"/>
  <c r="K18" i="33" a="1"/>
  <c r="K18" i="33" s="1"/>
  <c r="F6" i="47" a="1"/>
  <c r="F6" i="47" s="1"/>
  <c r="F8" i="28"/>
  <c r="I18" i="26" a="1"/>
  <c r="I18" i="26" s="1"/>
  <c r="H18" i="24" a="1"/>
  <c r="H18" i="24" s="1"/>
  <c r="I18" i="22" a="1"/>
  <c r="I18" i="22" s="1"/>
  <c r="R18" i="66" a="1"/>
  <c r="R18" i="66" s="1"/>
  <c r="F10" i="34"/>
  <c r="F10" i="26"/>
  <c r="F18" i="67" a="1"/>
  <c r="F18" i="67" s="1"/>
  <c r="I18" i="64" a="1"/>
  <c r="I18" i="64" s="1"/>
  <c r="F5" i="63"/>
  <c r="H18" i="34" a="1"/>
  <c r="H18" i="34" s="1"/>
  <c r="I18" i="32" a="1"/>
  <c r="I18" i="32" s="1"/>
  <c r="P18" i="33" a="1"/>
  <c r="P18" i="33" s="1"/>
  <c r="F13" i="47"/>
  <c r="F5" i="28"/>
  <c r="F9" i="66"/>
  <c r="F11" i="65"/>
  <c r="Q18" i="35" a="1"/>
  <c r="Q18" i="35" s="1"/>
  <c r="F8" i="37"/>
  <c r="F9" i="31"/>
  <c r="G18" i="29" a="1"/>
  <c r="G18" i="29" s="1"/>
  <c r="K22" i="28" a="1"/>
  <c r="K22" i="28" s="1"/>
  <c r="F6" i="46" a="1"/>
  <c r="F6" i="46" s="1"/>
  <c r="M18" i="25" a="1"/>
  <c r="M18" i="25" s="1"/>
  <c r="E25" i="22" a="1"/>
  <c r="E25" i="22" s="1"/>
  <c r="L18" i="67" a="1"/>
  <c r="L18" i="67" s="1"/>
  <c r="O18" i="64" a="1"/>
  <c r="O18" i="64" s="1"/>
  <c r="F11" i="63"/>
  <c r="F18" i="34" a="1"/>
  <c r="F18" i="34" s="1"/>
  <c r="G18" i="32" a="1"/>
  <c r="G18" i="32" s="1"/>
  <c r="N18" i="33" a="1"/>
  <c r="N18" i="33" s="1"/>
  <c r="F9" i="47"/>
  <c r="F13" i="27"/>
  <c r="F5" i="26"/>
  <c r="N2" i="24"/>
  <c r="F5" i="22"/>
  <c r="M22" i="64" a="1"/>
  <c r="M22" i="64" s="1"/>
  <c r="P18" i="63" a="1"/>
  <c r="P18" i="63" s="1"/>
  <c r="F8" i="35"/>
  <c r="E22" i="32" a="1"/>
  <c r="E22" i="32" s="1"/>
  <c r="E18" i="30" a="1"/>
  <c r="E18" i="30" s="1"/>
  <c r="O18" i="47" a="1"/>
  <c r="O18" i="47" s="1"/>
  <c r="R18" i="28" a="1"/>
  <c r="R18" i="28" s="1"/>
  <c r="C22" i="26" a="1"/>
  <c r="C22" i="26" s="1"/>
  <c r="N2" i="25"/>
  <c r="D21" i="22" a="1"/>
  <c r="D21" i="22" s="1"/>
  <c r="F13" i="67"/>
  <c r="E18" i="64" a="1"/>
  <c r="E18" i="64" s="1"/>
  <c r="N18" i="36" a="1"/>
  <c r="N18" i="36" s="1"/>
  <c r="F5" i="34"/>
  <c r="F6" i="32" a="1"/>
  <c r="F6" i="32" s="1"/>
  <c r="D18" i="33" a="1"/>
  <c r="D18" i="33" s="1"/>
  <c r="P18" i="50" a="1"/>
  <c r="P18" i="50" s="1"/>
  <c r="F9" i="27"/>
  <c r="R22" i="25" a="1"/>
  <c r="R22" i="25" s="1"/>
  <c r="I18" i="67" a="1"/>
  <c r="I18" i="67" s="1"/>
  <c r="D18" i="64" a="1"/>
  <c r="D18" i="64" s="1"/>
  <c r="M18" i="36" a="1"/>
  <c r="M18" i="36" s="1"/>
  <c r="N2" i="34"/>
  <c r="F5" i="32"/>
  <c r="C18" i="33"/>
  <c r="O18" i="50" a="1"/>
  <c r="O18" i="50" s="1"/>
  <c r="F8" i="27"/>
  <c r="F11" i="26"/>
  <c r="F9" i="24"/>
  <c r="F11" i="22"/>
  <c r="J18" i="66" a="1"/>
  <c r="J18" i="66" s="1"/>
  <c r="L18" i="65" a="1"/>
  <c r="L18" i="65" s="1"/>
  <c r="F5" i="36"/>
  <c r="F13" i="37"/>
  <c r="N2" i="31"/>
  <c r="F13" i="29"/>
  <c r="F22" i="28" a="1"/>
  <c r="F22" i="28" s="1"/>
  <c r="F9" i="67"/>
  <c r="F13" i="64"/>
  <c r="C18" i="62"/>
  <c r="F11" i="34"/>
  <c r="F13" i="32"/>
  <c r="I18" i="33" a="1"/>
  <c r="I18" i="33" s="1"/>
  <c r="M18" i="50" a="1"/>
  <c r="M18" i="50" s="1"/>
  <c r="F6" i="27" a="1"/>
  <c r="F6" i="27" s="1"/>
  <c r="F8" i="26"/>
  <c r="F7" i="24" a="1"/>
  <c r="F7" i="24" s="1"/>
  <c r="F8" i="22"/>
  <c r="F9" i="22"/>
  <c r="K18" i="43" a="1"/>
  <c r="K18" i="43" s="1"/>
  <c r="L18" i="42" a="1"/>
  <c r="L18" i="42" s="1"/>
  <c r="F7" i="48" a="1"/>
  <c r="F7" i="48" s="1"/>
  <c r="M18" i="62" a="1"/>
  <c r="M18" i="62" s="1"/>
  <c r="O18" i="62" a="1"/>
  <c r="O18" i="62" s="1"/>
  <c r="F10" i="30"/>
  <c r="F8" i="67"/>
  <c r="F11" i="64"/>
  <c r="F5" i="62"/>
  <c r="F9" i="34"/>
  <c r="F11" i="32"/>
  <c r="H18" i="33" a="1"/>
  <c r="H18" i="33" s="1"/>
  <c r="L18" i="50" a="1"/>
  <c r="L18" i="50" s="1"/>
  <c r="F5" i="27"/>
  <c r="O22" i="64" a="1"/>
  <c r="O22" i="64" s="1"/>
  <c r="R18" i="63" a="1"/>
  <c r="R18" i="63" s="1"/>
  <c r="I18" i="35" a="1"/>
  <c r="I18" i="35" s="1"/>
  <c r="O22" i="32" a="1"/>
  <c r="O22" i="32" s="1"/>
  <c r="O18" i="30" a="1"/>
  <c r="O18" i="30" s="1"/>
  <c r="F8" i="29"/>
  <c r="C22" i="28" a="1"/>
  <c r="C22" i="28" s="1"/>
  <c r="M22" i="26" a="1"/>
  <c r="M22" i="26" s="1"/>
  <c r="E18" i="25" a="1"/>
  <c r="E18" i="25" s="1"/>
  <c r="N21" i="22" a="1"/>
  <c r="N21" i="22" s="1"/>
  <c r="D18" i="67" a="1"/>
  <c r="D18" i="67" s="1"/>
  <c r="G18" i="64" a="1"/>
  <c r="G18" i="64" s="1"/>
  <c r="P18" i="36" a="1"/>
  <c r="P18" i="36" s="1"/>
  <c r="F7" i="34" a="1"/>
  <c r="F7" i="34" s="1"/>
  <c r="F8" i="32"/>
  <c r="F18" i="33" a="1"/>
  <c r="F18" i="33" s="1"/>
  <c r="R18" i="50" a="1"/>
  <c r="R18" i="50" s="1"/>
  <c r="L18" i="46" a="1"/>
  <c r="L18" i="46" s="1"/>
  <c r="L22" i="25" a="1"/>
  <c r="L22" i="25" s="1"/>
  <c r="H28" i="22" a="1"/>
  <c r="H28" i="22" s="1"/>
  <c r="K18" i="21" a="1"/>
  <c r="K18" i="21" s="1"/>
  <c r="E22" i="64" a="1"/>
  <c r="E22" i="64" s="1"/>
  <c r="H18" i="63" a="1"/>
  <c r="H18" i="63" s="1"/>
  <c r="N18" i="34" a="1"/>
  <c r="N18" i="34" s="1"/>
  <c r="N18" i="32" a="1"/>
  <c r="N18" i="32" s="1"/>
  <c r="F6" i="30" a="1"/>
  <c r="F6" i="30" s="1"/>
  <c r="G18" i="47" a="1"/>
  <c r="G18" i="47" s="1"/>
  <c r="I18" i="28" a="1"/>
  <c r="I18" i="28" s="1"/>
  <c r="K18" i="26" a="1"/>
  <c r="K18" i="26" s="1"/>
  <c r="J18" i="24" a="1"/>
  <c r="J18" i="24" s="1"/>
  <c r="K18" i="22" a="1"/>
  <c r="K18" i="22" s="1"/>
  <c r="N2" i="67"/>
  <c r="F7" i="64" a="1"/>
  <c r="F7" i="64" s="1"/>
  <c r="F18" i="36" a="1"/>
  <c r="F18" i="36" s="1"/>
  <c r="L18" i="37" a="1"/>
  <c r="L18" i="37" s="1"/>
  <c r="M18" i="31" a="1"/>
  <c r="M18" i="31" s="1"/>
  <c r="F5" i="33"/>
  <c r="H18" i="50" a="1"/>
  <c r="H18" i="50" s="1"/>
  <c r="H18" i="62" a="1"/>
  <c r="H18" i="62" s="1"/>
  <c r="R18" i="62" a="1"/>
  <c r="R18" i="62" s="1"/>
  <c r="P18" i="66" a="1"/>
  <c r="P18" i="66" s="1"/>
  <c r="R18" i="65" a="1"/>
  <c r="R18" i="65" s="1"/>
  <c r="J18" i="36" a="1"/>
  <c r="J18" i="36" s="1"/>
  <c r="P18" i="37" a="1"/>
  <c r="P18" i="37" s="1"/>
  <c r="Q18" i="31" a="1"/>
  <c r="Q18" i="31" s="1"/>
  <c r="F9" i="33"/>
  <c r="D18" i="50" a="1"/>
  <c r="D18" i="50" s="1"/>
  <c r="N18" i="46" a="1"/>
  <c r="N18" i="46" s="1"/>
  <c r="G22" i="64" a="1"/>
  <c r="G22" i="64" s="1"/>
  <c r="J18" i="63" a="1"/>
  <c r="J18" i="63" s="1"/>
  <c r="F11" i="35"/>
  <c r="G22" i="32" a="1"/>
  <c r="G22" i="32" s="1"/>
  <c r="G18" i="30" a="1"/>
  <c r="G18" i="30" s="1"/>
  <c r="Q18" i="47" a="1"/>
  <c r="Q18" i="47" s="1"/>
  <c r="K18" i="28" a="1"/>
  <c r="K18" i="28" s="1"/>
  <c r="E22" i="26" a="1"/>
  <c r="E22" i="26" s="1"/>
  <c r="F6" i="25" a="1"/>
  <c r="F6" i="25" s="1"/>
  <c r="F21" i="22" a="1"/>
  <c r="F21" i="22" s="1"/>
  <c r="F6" i="67" a="1"/>
  <c r="F6" i="67" s="1"/>
  <c r="F9" i="64"/>
  <c r="H18" i="36" a="1"/>
  <c r="H18" i="36" s="1"/>
  <c r="N18" i="37" a="1"/>
  <c r="N18" i="37" s="1"/>
  <c r="O18" i="31" a="1"/>
  <c r="O18" i="31" s="1"/>
  <c r="F7" i="33" a="1"/>
  <c r="F7" i="33" s="1"/>
  <c r="J18" i="50" a="1"/>
  <c r="J18" i="50" s="1"/>
  <c r="D18" i="46" a="1"/>
  <c r="D18" i="46" s="1"/>
  <c r="D22" i="25" a="1"/>
  <c r="D22" i="25" s="1"/>
  <c r="O25" i="22" a="1"/>
  <c r="O25" i="22" s="1"/>
  <c r="K18" i="67" a="1"/>
  <c r="K18" i="67" s="1"/>
  <c r="N18" i="64" a="1"/>
  <c r="N18" i="64" s="1"/>
  <c r="F10" i="63"/>
  <c r="E18" i="34" a="1"/>
  <c r="E18" i="34" s="1"/>
  <c r="F18" i="32" a="1"/>
  <c r="F18" i="32" s="1"/>
  <c r="M18" i="33" a="1"/>
  <c r="M18" i="33" s="1"/>
  <c r="F8" i="47"/>
  <c r="F11" i="28"/>
  <c r="C18" i="26"/>
  <c r="F13" i="24"/>
  <c r="C18" i="22"/>
  <c r="L18" i="66" a="1"/>
  <c r="L18" i="66" s="1"/>
  <c r="N18" i="65" a="1"/>
  <c r="N18" i="65" s="1"/>
  <c r="F7" i="36" a="1"/>
  <c r="F7" i="36" s="1"/>
  <c r="D18" i="37" a="1"/>
  <c r="D18" i="37" s="1"/>
  <c r="E18" i="31" a="1"/>
  <c r="E18" i="31" s="1"/>
  <c r="L18" i="29" a="1"/>
  <c r="L18" i="29" s="1"/>
  <c r="F9" i="50"/>
  <c r="J18" i="46" a="1"/>
  <c r="J18" i="46" s="1"/>
  <c r="J18" i="25" a="1"/>
  <c r="J18" i="25" s="1"/>
  <c r="K18" i="66" a="1"/>
  <c r="K18" i="66" s="1"/>
  <c r="M18" i="65" a="1"/>
  <c r="M18" i="65" s="1"/>
  <c r="F6" i="36" a="1"/>
  <c r="F6" i="36" s="1"/>
  <c r="C18" i="37"/>
  <c r="D18" i="31" a="1"/>
  <c r="D18" i="31" s="1"/>
  <c r="K18" i="29" a="1"/>
  <c r="K18" i="29" s="1"/>
  <c r="F8" i="50"/>
  <c r="I18" i="46" a="1"/>
  <c r="I18" i="46" s="1"/>
  <c r="I22" i="25" a="1"/>
  <c r="I22" i="25" s="1"/>
  <c r="E28" i="22" a="1"/>
  <c r="E28" i="22" s="1"/>
  <c r="H18" i="21" a="1"/>
  <c r="H18" i="21" s="1"/>
  <c r="N2" i="66"/>
  <c r="F6" i="65" a="1"/>
  <c r="F6" i="65" s="1"/>
  <c r="D18" i="35" a="1"/>
  <c r="D18" i="35" s="1"/>
  <c r="J22" i="32" a="1"/>
  <c r="J22" i="32" s="1"/>
  <c r="F13" i="30"/>
  <c r="D18" i="47" a="1"/>
  <c r="D18" i="47" s="1"/>
  <c r="F18" i="28" a="1"/>
  <c r="F18" i="28" s="1"/>
  <c r="I18" i="66" a="1"/>
  <c r="I18" i="66" s="1"/>
  <c r="K18" i="65" a="1"/>
  <c r="K18" i="65" s="1"/>
  <c r="C18" i="36"/>
  <c r="I18" i="37" a="1"/>
  <c r="I18" i="37" s="1"/>
  <c r="J18" i="31" a="1"/>
  <c r="J18" i="31" s="1"/>
  <c r="Q18" i="29" a="1"/>
  <c r="Q18" i="29" s="1"/>
  <c r="F6" i="50" a="1"/>
  <c r="F6" i="50" s="1"/>
  <c r="G18" i="46" a="1"/>
  <c r="G18" i="46" s="1"/>
  <c r="G22" i="25" a="1"/>
  <c r="G22" i="25" s="1"/>
  <c r="C28" i="22" a="1"/>
  <c r="C28" i="22" s="1"/>
  <c r="H22" i="26" a="1"/>
  <c r="H22" i="26" s="1"/>
  <c r="R18" i="19" a="1"/>
  <c r="R18" i="19" s="1"/>
  <c r="N2" i="43"/>
  <c r="F5" i="42"/>
  <c r="N18" i="40" a="1"/>
  <c r="N18" i="40" s="1"/>
  <c r="O18" i="16" a="1"/>
  <c r="O18" i="16" s="1"/>
  <c r="F10" i="46"/>
  <c r="F6" i="17" a="1"/>
  <c r="F6" i="17" s="1"/>
  <c r="O18" i="15" a="1"/>
  <c r="O18" i="15" s="1"/>
  <c r="Q18" i="39" a="1"/>
  <c r="Q18" i="39" s="1"/>
  <c r="F8" i="48"/>
  <c r="M18" i="42" a="1"/>
  <c r="M18" i="42" s="1"/>
  <c r="D18" i="43" a="1"/>
  <c r="D18" i="43" s="1"/>
  <c r="F18" i="21" a="1"/>
  <c r="F18" i="21" s="1"/>
  <c r="N18" i="2" a="1"/>
  <c r="N18" i="2" s="1"/>
  <c r="H18" i="40" a="1"/>
  <c r="H18" i="40" s="1"/>
  <c r="N18" i="49" a="1"/>
  <c r="N18" i="49" s="1"/>
  <c r="G18" i="10" a="1"/>
  <c r="G18" i="10" s="1"/>
  <c r="N2" i="19"/>
  <c r="G18" i="24" a="1"/>
  <c r="G18" i="24" s="1"/>
  <c r="R22" i="16" a="1"/>
  <c r="R22" i="16" s="1"/>
  <c r="F8" i="15"/>
  <c r="C18" i="39"/>
  <c r="F11" i="41"/>
  <c r="G18" i="42" a="1"/>
  <c r="G18" i="42" s="1"/>
  <c r="F7" i="43" a="1"/>
  <c r="F7" i="43" s="1"/>
  <c r="L18" i="19" a="1"/>
  <c r="L18" i="19" s="1"/>
  <c r="F7" i="46" a="1"/>
  <c r="F7" i="46" s="1"/>
  <c r="F8" i="2"/>
  <c r="G18" i="14" a="1"/>
  <c r="G18" i="14" s="1"/>
  <c r="L22" i="16" a="1"/>
  <c r="L22" i="16" s="1"/>
  <c r="J18" i="40" a="1"/>
  <c r="J18" i="40" s="1"/>
  <c r="P18" i="49" a="1"/>
  <c r="P18" i="49" s="1"/>
  <c r="I18" i="10" a="1"/>
  <c r="I18" i="10" s="1"/>
  <c r="F6" i="19" a="1"/>
  <c r="F6" i="19" s="1"/>
  <c r="O18" i="24" a="1"/>
  <c r="O18" i="24" s="1"/>
  <c r="F9" i="2"/>
  <c r="H18" i="14" a="1"/>
  <c r="H18" i="14" s="1"/>
  <c r="M22" i="16" a="1"/>
  <c r="M22" i="16" s="1"/>
  <c r="C18" i="40"/>
  <c r="Q18" i="49" a="1"/>
  <c r="Q18" i="49" s="1"/>
  <c r="J18" i="10" a="1"/>
  <c r="J18" i="10" s="1"/>
  <c r="F7" i="19" a="1"/>
  <c r="F7" i="19" s="1"/>
  <c r="H22" i="25" a="1"/>
  <c r="H22" i="25" s="1"/>
  <c r="F11" i="2"/>
  <c r="R18" i="14" a="1"/>
  <c r="R18" i="14" s="1"/>
  <c r="F7" i="39" a="1"/>
  <c r="F7" i="39" s="1"/>
  <c r="L18" i="40" a="1"/>
  <c r="L18" i="40" s="1"/>
  <c r="F13" i="42"/>
  <c r="F11" i="43"/>
  <c r="O18" i="19" a="1"/>
  <c r="O18" i="19" s="1"/>
  <c r="H18" i="46" a="1"/>
  <c r="H18" i="46" s="1"/>
  <c r="L22" i="17" a="1"/>
  <c r="L22" i="17" s="1"/>
  <c r="N2" i="49"/>
  <c r="N2" i="10"/>
  <c r="R18" i="45" a="1"/>
  <c r="R18" i="45" s="1"/>
  <c r="F6" i="24" a="1"/>
  <c r="F6" i="24" s="1"/>
  <c r="O22" i="16" a="1"/>
  <c r="O22" i="16" s="1"/>
  <c r="K18" i="14" a="1"/>
  <c r="K18" i="14" s="1"/>
  <c r="P22" i="16" a="1"/>
  <c r="P22" i="16" s="1"/>
  <c r="F18" i="40" a="1"/>
  <c r="F18" i="40" s="1"/>
  <c r="F13" i="18"/>
  <c r="K18" i="45" a="1"/>
  <c r="K18" i="45" s="1"/>
  <c r="F7" i="26" a="1"/>
  <c r="F7" i="26" s="1"/>
  <c r="F18" i="24" a="1"/>
  <c r="F18" i="24" s="1"/>
  <c r="G22" i="26" a="1"/>
  <c r="G22" i="26" s="1"/>
  <c r="M22" i="28" a="1"/>
  <c r="M22" i="28" s="1"/>
  <c r="Q18" i="33" a="1"/>
  <c r="Q18" i="33" s="1"/>
  <c r="I22" i="32" a="1"/>
  <c r="I22" i="32" s="1"/>
  <c r="N2" i="36"/>
  <c r="J18" i="64" a="1"/>
  <c r="J18" i="64" s="1"/>
  <c r="P18" i="46" a="1"/>
  <c r="P18" i="46" s="1"/>
  <c r="F5" i="47"/>
  <c r="C18" i="31"/>
  <c r="D18" i="36" a="1"/>
  <c r="D18" i="36" s="1"/>
  <c r="P18" i="21" a="1"/>
  <c r="P18" i="21" s="1"/>
  <c r="G18" i="50" a="1"/>
  <c r="G18" i="50" s="1"/>
  <c r="E18" i="36" a="1"/>
  <c r="E18" i="36" s="1"/>
  <c r="R18" i="46" a="1"/>
  <c r="R18" i="46" s="1"/>
  <c r="F9" i="56"/>
  <c r="N18" i="56" a="1"/>
  <c r="N18" i="56" s="1"/>
  <c r="K18" i="54" a="1"/>
  <c r="K18" i="54" s="1"/>
  <c r="E25" i="56" a="1"/>
  <c r="E25" i="56" s="1"/>
  <c r="L25" i="56" a="1"/>
  <c r="L25" i="56" s="1"/>
  <c r="F7" i="56" a="1"/>
  <c r="F7" i="56" s="1"/>
  <c r="E18" i="56" a="1"/>
  <c r="E18" i="56" s="1"/>
  <c r="D21" i="56" a="1"/>
  <c r="D21" i="56" s="1"/>
  <c r="K21" i="56" a="1"/>
  <c r="K21" i="56" s="1"/>
  <c r="F25" i="56" a="1"/>
  <c r="F25" i="56" s="1"/>
  <c r="J18" i="17" a="1"/>
  <c r="J18" i="17" s="1"/>
  <c r="D25" i="56" a="1"/>
  <c r="D25" i="56" s="1"/>
  <c r="K25" i="56" a="1"/>
  <c r="K25" i="56" s="1"/>
  <c r="F6" i="56" a="1"/>
  <c r="F6" i="56" s="1"/>
  <c r="L18" i="56" a="1"/>
  <c r="L18" i="56" s="1"/>
  <c r="C21" i="56"/>
  <c r="R21" i="56" a="1"/>
  <c r="R21" i="56" s="1"/>
  <c r="C25" i="56" a="1"/>
  <c r="C25" i="56" s="1"/>
  <c r="F10" i="56"/>
  <c r="D18" i="56" a="1"/>
  <c r="D18" i="56" s="1"/>
  <c r="K18" i="56" a="1"/>
  <c r="K18" i="56" s="1"/>
  <c r="J21" i="56" a="1"/>
  <c r="J21" i="56" s="1"/>
  <c r="Q21" i="56" a="1"/>
  <c r="Q21" i="56" s="1"/>
  <c r="O21" i="56" a="1"/>
  <c r="O21" i="56" s="1"/>
  <c r="J25" i="56" a="1"/>
  <c r="J25" i="56" s="1"/>
  <c r="F5" i="56"/>
  <c r="C18" i="56"/>
  <c r="R18" i="56" a="1"/>
  <c r="R18" i="56" s="1"/>
  <c r="I21" i="56" a="1"/>
  <c r="I21" i="56" s="1"/>
  <c r="P21" i="56" a="1"/>
  <c r="P21" i="56" s="1"/>
  <c r="G21" i="56" a="1"/>
  <c r="G21" i="56" s="1"/>
  <c r="N21" i="56" a="1"/>
  <c r="N21" i="56" s="1"/>
  <c r="B25" i="56" a="1"/>
  <c r="B25" i="56" s="1"/>
  <c r="Q25" i="56" a="1"/>
  <c r="Q25" i="56" s="1"/>
  <c r="N2" i="56"/>
  <c r="J18" i="56" a="1"/>
  <c r="J18" i="56" s="1"/>
  <c r="H21" i="56" a="1"/>
  <c r="H21" i="56" s="1"/>
  <c r="O18" i="56" a="1"/>
  <c r="O18" i="56" s="1"/>
  <c r="F21" i="56" a="1"/>
  <c r="F21" i="56" s="1"/>
  <c r="M21" i="56" a="1"/>
  <c r="M21" i="56" s="1"/>
  <c r="I25" i="56" a="1"/>
  <c r="I25" i="56" s="1"/>
  <c r="P25" i="56" a="1"/>
  <c r="P25" i="56" s="1"/>
  <c r="F13" i="56"/>
  <c r="I18" i="56" a="1"/>
  <c r="I18" i="56" s="1"/>
  <c r="P18" i="56" a="1"/>
  <c r="P18" i="56" s="1"/>
  <c r="G18" i="56" a="1"/>
  <c r="G18" i="56" s="1"/>
  <c r="E21" i="56" a="1"/>
  <c r="E21" i="56" s="1"/>
  <c r="H25" i="56" a="1"/>
  <c r="H25" i="56" s="1"/>
  <c r="O25" i="56" a="1"/>
  <c r="O25" i="56" s="1"/>
  <c r="F11" i="56"/>
  <c r="H18" i="56" a="1"/>
  <c r="H18" i="56" s="1"/>
  <c r="M25" i="56" a="1"/>
  <c r="M25" i="56" s="1"/>
  <c r="F8" i="56"/>
  <c r="F18" i="56" a="1"/>
  <c r="F18" i="56" s="1"/>
  <c r="M18" i="56" a="1"/>
  <c r="M18" i="56" s="1"/>
  <c r="L21" i="56" a="1"/>
  <c r="L21" i="56" s="1"/>
  <c r="G25" i="56" a="1"/>
  <c r="G25" i="56" s="1"/>
  <c r="N25" i="56" a="1"/>
  <c r="N25" i="56" s="1"/>
  <c r="O18" i="17" a="1"/>
  <c r="O18" i="17" s="1"/>
  <c r="H18" i="17" a="1"/>
  <c r="H18" i="17" s="1"/>
  <c r="M18" i="17" a="1"/>
  <c r="M18" i="17" s="1"/>
  <c r="P18" i="57" a="1"/>
  <c r="P18" i="57" s="1"/>
  <c r="N22" i="57" a="1"/>
  <c r="N22" i="57" s="1"/>
  <c r="F10" i="57"/>
  <c r="N18" i="57" a="1"/>
  <c r="N18" i="57" s="1"/>
  <c r="F18" i="55" a="1"/>
  <c r="F18" i="55" s="1"/>
  <c r="J18" i="55" a="1"/>
  <c r="J18" i="55" s="1"/>
  <c r="F7" i="55" a="1"/>
  <c r="F7" i="55" s="1"/>
  <c r="C22" i="57" a="1"/>
  <c r="C22" i="57" s="1"/>
  <c r="J22" i="57" a="1"/>
  <c r="J22" i="57" s="1"/>
  <c r="K22" i="55" a="1"/>
  <c r="K22" i="55" s="1"/>
  <c r="J22" i="55" a="1"/>
  <c r="J22" i="55" s="1"/>
  <c r="G18" i="17" a="1"/>
  <c r="G18" i="17" s="1"/>
  <c r="L18" i="17" a="1"/>
  <c r="L18" i="17" s="1"/>
  <c r="H18" i="57" a="1"/>
  <c r="H18" i="57" s="1"/>
  <c r="Q18" i="55" a="1"/>
  <c r="Q18" i="55" s="1"/>
  <c r="F22" i="57" a="1"/>
  <c r="F22" i="57" s="1"/>
  <c r="O22" i="55" a="1"/>
  <c r="O22" i="55" s="1"/>
  <c r="F18" i="57" a="1"/>
  <c r="F18" i="57" s="1"/>
  <c r="O18" i="55" a="1"/>
  <c r="O18" i="55" s="1"/>
  <c r="K18" i="17" a="1"/>
  <c r="K18" i="17" s="1"/>
  <c r="M18" i="57" a="1"/>
  <c r="M18" i="57" s="1"/>
  <c r="E18" i="55" a="1"/>
  <c r="E18" i="55" s="1"/>
  <c r="C22" i="55" a="1"/>
  <c r="C22" i="55" s="1"/>
  <c r="P22" i="57" a="1"/>
  <c r="P22" i="57" s="1"/>
  <c r="F18" i="17" a="1"/>
  <c r="F18" i="17" s="1"/>
  <c r="D18" i="17" a="1"/>
  <c r="D18" i="17" s="1"/>
  <c r="F9" i="57"/>
  <c r="I18" i="55" a="1"/>
  <c r="I18" i="55" s="1"/>
  <c r="G22" i="55" a="1"/>
  <c r="G22" i="55" s="1"/>
  <c r="F7" i="57" a="1"/>
  <c r="F7" i="57" s="1"/>
  <c r="G18" i="55" a="1"/>
  <c r="G18" i="55" s="1"/>
  <c r="E18" i="57" a="1"/>
  <c r="E18" i="57" s="1"/>
  <c r="C18" i="17"/>
  <c r="L18" i="55" a="1"/>
  <c r="L18" i="55" s="1"/>
  <c r="R18" i="57" a="1"/>
  <c r="R18" i="57" s="1"/>
  <c r="H22" i="57" a="1"/>
  <c r="H22" i="57" s="1"/>
  <c r="Q22" i="55" a="1"/>
  <c r="Q22" i="55" s="1"/>
  <c r="E18" i="17" a="1"/>
  <c r="E18" i="17" s="1"/>
  <c r="F11" i="55"/>
  <c r="F8" i="55"/>
  <c r="D22" i="55" a="1"/>
  <c r="D22" i="55" s="1"/>
  <c r="F6" i="57" a="1"/>
  <c r="F6" i="57" s="1"/>
  <c r="F5" i="55"/>
  <c r="L18" i="57" a="1"/>
  <c r="L18" i="57" s="1"/>
  <c r="F13" i="55"/>
  <c r="K18" i="57" a="1"/>
  <c r="K18" i="57" s="1"/>
  <c r="J18" i="57" a="1"/>
  <c r="J18" i="57" s="1"/>
  <c r="K18" i="55" a="1"/>
  <c r="K18" i="55" s="1"/>
  <c r="I22" i="55" a="1"/>
  <c r="I22" i="55" s="1"/>
  <c r="Q18" i="17" a="1"/>
  <c r="Q18" i="17" s="1"/>
  <c r="O22" i="57" a="1"/>
  <c r="O22" i="57" s="1"/>
  <c r="F10" i="12"/>
  <c r="O18" i="57" a="1"/>
  <c r="O18" i="57" s="1"/>
  <c r="M22" i="57" a="1"/>
  <c r="M22" i="57" s="1"/>
  <c r="R18" i="17" a="1"/>
  <c r="R18" i="17" s="1"/>
  <c r="M18" i="55" a="1"/>
  <c r="M18" i="55" s="1"/>
  <c r="D18" i="57" a="1"/>
  <c r="D18" i="57" s="1"/>
  <c r="C18" i="57"/>
  <c r="F13" i="57"/>
  <c r="C18" i="55"/>
  <c r="P18" i="17" a="1"/>
  <c r="P18" i="17" s="1"/>
  <c r="G22" i="57" a="1"/>
  <c r="G22" i="57" s="1"/>
  <c r="P22" i="55" a="1"/>
  <c r="P22" i="55" s="1"/>
  <c r="G18" i="57" a="1"/>
  <c r="G18" i="57" s="1"/>
  <c r="P18" i="55" a="1"/>
  <c r="P18" i="55" s="1"/>
  <c r="E22" i="57" a="1"/>
  <c r="E22" i="57" s="1"/>
  <c r="N22" i="55" a="1"/>
  <c r="N22" i="55" s="1"/>
  <c r="M22" i="55" a="1"/>
  <c r="M22" i="55" s="1"/>
  <c r="F6" i="55" a="1"/>
  <c r="F6" i="55" s="1"/>
  <c r="L22" i="57" a="1"/>
  <c r="L22" i="57" s="1"/>
  <c r="F5" i="57"/>
  <c r="N2" i="57"/>
  <c r="N2" i="55"/>
  <c r="Q18" i="57" a="1"/>
  <c r="Q18" i="57" s="1"/>
  <c r="H22" i="55" a="1"/>
  <c r="H22" i="55" s="1"/>
  <c r="F8" i="57"/>
  <c r="H18" i="55" a="1"/>
  <c r="H18" i="55" s="1"/>
  <c r="F22" i="55" a="1"/>
  <c r="F22" i="55" s="1"/>
  <c r="D22" i="57" a="1"/>
  <c r="D22" i="57" s="1"/>
  <c r="E22" i="55" a="1"/>
  <c r="E22" i="55" s="1"/>
  <c r="Q22" i="57" a="1"/>
  <c r="Q22" i="57" s="1"/>
  <c r="I18" i="57" a="1"/>
  <c r="I18" i="57" s="1"/>
  <c r="R18" i="55" a="1"/>
  <c r="R18" i="55" s="1"/>
  <c r="I18" i="17" a="1"/>
  <c r="I18" i="17" s="1"/>
  <c r="N18" i="17" a="1"/>
  <c r="N18" i="17" s="1"/>
  <c r="F9" i="55"/>
  <c r="N18" i="55" a="1"/>
  <c r="N18" i="55" s="1"/>
  <c r="D18" i="55" a="1"/>
  <c r="D18" i="55" s="1"/>
  <c r="K22" i="57" a="1"/>
  <c r="K22" i="57" s="1"/>
  <c r="L22" i="55" a="1"/>
  <c r="L22" i="55" s="1"/>
  <c r="R22" i="57" a="1"/>
  <c r="R22" i="57" s="1"/>
  <c r="I22" i="57" a="1"/>
  <c r="I22" i="57" s="1"/>
  <c r="R22" i="55" a="1"/>
  <c r="R22" i="55" s="1"/>
  <c r="F11" i="57"/>
  <c r="E18" i="54" a="1"/>
  <c r="E18" i="54" s="1"/>
  <c r="F7" i="54" a="1"/>
  <c r="F7" i="54" s="1"/>
  <c r="I18" i="54" a="1"/>
  <c r="I18" i="54" s="1"/>
  <c r="L18" i="54" a="1"/>
  <c r="L18" i="54" s="1"/>
  <c r="B22" i="54" a="1"/>
  <c r="B22" i="54" s="1"/>
  <c r="F18" i="54" a="1"/>
  <c r="F18" i="54" s="1"/>
  <c r="H18" i="54" a="1"/>
  <c r="H18" i="54" s="1"/>
  <c r="O22" i="54" a="1"/>
  <c r="O22" i="54" s="1"/>
  <c r="N22" i="54" a="1"/>
  <c r="N22" i="54" s="1"/>
  <c r="F22" i="54" a="1"/>
  <c r="F22" i="54" s="1"/>
  <c r="F9" i="54"/>
  <c r="F6" i="54" a="1"/>
  <c r="F6" i="54" s="1"/>
  <c r="G22" i="54" a="1"/>
  <c r="G22" i="54" s="1"/>
  <c r="P18" i="54" a="1"/>
  <c r="P18" i="54" s="1"/>
  <c r="O18" i="54" a="1"/>
  <c r="O18" i="54" s="1"/>
  <c r="G18" i="54" a="1"/>
  <c r="G18" i="54" s="1"/>
  <c r="F13" i="54"/>
  <c r="M22" i="54" a="1"/>
  <c r="M22" i="54" s="1"/>
  <c r="D18" i="54" a="1"/>
  <c r="D18" i="54" s="1"/>
  <c r="I22" i="54" a="1"/>
  <c r="I22" i="54" s="1"/>
  <c r="E22" i="54" a="1"/>
  <c r="E22" i="54" s="1"/>
  <c r="L22" i="54" a="1"/>
  <c r="L22" i="54" s="1"/>
  <c r="C18" i="54"/>
  <c r="Q18" i="54" a="1"/>
  <c r="Q18" i="54" s="1"/>
  <c r="R18" i="54" a="1"/>
  <c r="R18" i="54" s="1"/>
  <c r="N18" i="54" a="1"/>
  <c r="N18" i="54" s="1"/>
  <c r="D22" i="54" a="1"/>
  <c r="D22" i="54" s="1"/>
  <c r="F5" i="54"/>
  <c r="P22" i="54" a="1"/>
  <c r="P22" i="54" s="1"/>
  <c r="F8" i="54"/>
  <c r="N2" i="54"/>
  <c r="F11" i="54"/>
  <c r="J18" i="54" a="1"/>
  <c r="J18" i="54" s="1"/>
  <c r="M18" i="54" a="1"/>
  <c r="M18" i="54" s="1"/>
  <c r="K22" i="54" a="1"/>
  <c r="K22" i="54" s="1"/>
  <c r="H22" i="54" a="1"/>
  <c r="H22" i="54" s="1"/>
  <c r="C22" i="54" a="1"/>
  <c r="C22" i="54" s="1"/>
  <c r="J22" i="54" a="1"/>
  <c r="J22" i="54" s="1"/>
  <c r="Q22" i="54" a="1"/>
  <c r="Q22" i="54" s="1"/>
  <c r="R22" i="45" a="1"/>
  <c r="R22" i="45" s="1"/>
  <c r="P22" i="45" a="1"/>
  <c r="P22" i="45" s="1"/>
  <c r="Q22" i="45" a="1"/>
  <c r="Q22" i="45" s="1"/>
  <c r="H22" i="45" a="1"/>
  <c r="H22" i="45" s="1"/>
  <c r="J22" i="45" a="1"/>
  <c r="J22" i="45" s="1"/>
  <c r="I22" i="45" a="1"/>
  <c r="I22" i="45" s="1"/>
  <c r="G22" i="45" a="1"/>
  <c r="G22" i="45" s="1"/>
  <c r="M22" i="45" a="1"/>
  <c r="M22" i="45" s="1"/>
  <c r="O22" i="45" a="1"/>
  <c r="O22" i="45" s="1"/>
  <c r="E22" i="45" a="1"/>
  <c r="E22" i="45" s="1"/>
  <c r="N22" i="45" a="1"/>
  <c r="N22" i="45" s="1"/>
  <c r="L22" i="45" a="1"/>
  <c r="L22" i="45" s="1"/>
  <c r="F22" i="45" a="1"/>
  <c r="F22" i="45" s="1"/>
  <c r="D22" i="45" a="1"/>
  <c r="D22" i="45" s="1"/>
  <c r="K22" i="45" a="1"/>
  <c r="K22" i="45" s="1"/>
  <c r="C22" i="45" a="1"/>
  <c r="C22" i="45" s="1"/>
  <c r="R18" i="13" a="1"/>
  <c r="R18" i="13" s="1"/>
  <c r="J18" i="13" a="1"/>
  <c r="J18" i="13" s="1"/>
  <c r="Q18" i="13" a="1"/>
  <c r="Q18" i="13" s="1"/>
  <c r="I18" i="13" a="1"/>
  <c r="I18" i="13" s="1"/>
  <c r="P18" i="13" a="1"/>
  <c r="P18" i="13" s="1"/>
  <c r="H18" i="13" a="1"/>
  <c r="H18" i="13" s="1"/>
  <c r="O18" i="13" a="1"/>
  <c r="O18" i="13" s="1"/>
  <c r="G18" i="13" a="1"/>
  <c r="G18" i="13" s="1"/>
  <c r="N18" i="13" a="1"/>
  <c r="N18" i="13" s="1"/>
  <c r="F18" i="13" a="1"/>
  <c r="F18" i="13" s="1"/>
  <c r="M18" i="13" a="1"/>
  <c r="M18" i="13" s="1"/>
  <c r="E18" i="13" a="1"/>
  <c r="E18" i="13" s="1"/>
  <c r="C18" i="13"/>
  <c r="L18" i="13" a="1"/>
  <c r="L18" i="13" s="1"/>
  <c r="D18" i="13" a="1"/>
  <c r="D18" i="13" s="1"/>
  <c r="K18" i="13" a="1"/>
  <c r="K18" i="13" s="1"/>
  <c r="R25" i="53" a="1"/>
  <c r="R25" i="53" s="1"/>
  <c r="J25" i="53" a="1"/>
  <c r="J25" i="53" s="1"/>
  <c r="K21" i="53" a="1"/>
  <c r="K21" i="53" s="1"/>
  <c r="C21" i="53"/>
  <c r="K18" i="53" a="1"/>
  <c r="K18" i="53" s="1"/>
  <c r="C18" i="53"/>
  <c r="F5" i="53"/>
  <c r="F6" i="12" a="1"/>
  <c r="F6" i="12" s="1"/>
  <c r="L28" i="12" a="1"/>
  <c r="L28" i="12" s="1"/>
  <c r="D28" i="12" a="1"/>
  <c r="D28" i="12" s="1"/>
  <c r="M25" i="12" a="1"/>
  <c r="M25" i="12" s="1"/>
  <c r="E25" i="12" a="1"/>
  <c r="E25" i="12" s="1"/>
  <c r="N21" i="12" a="1"/>
  <c r="N21" i="12" s="1"/>
  <c r="F21" i="12" a="1"/>
  <c r="F21" i="12" s="1"/>
  <c r="N18" i="12" a="1"/>
  <c r="N18" i="12" s="1"/>
  <c r="F18" i="12" a="1"/>
  <c r="F18" i="12" s="1"/>
  <c r="N2" i="53"/>
  <c r="F5" i="12"/>
  <c r="K28" i="12" a="1"/>
  <c r="K28" i="12" s="1"/>
  <c r="C28" i="12" a="1"/>
  <c r="C28" i="12" s="1"/>
  <c r="M21" i="12" a="1"/>
  <c r="M21" i="12" s="1"/>
  <c r="M18" i="12" a="1"/>
  <c r="M18" i="12" s="1"/>
  <c r="Q25" i="53" a="1"/>
  <c r="Q25" i="53" s="1"/>
  <c r="I25" i="53" a="1"/>
  <c r="I25" i="53" s="1"/>
  <c r="R21" i="53" a="1"/>
  <c r="R21" i="53" s="1"/>
  <c r="J21" i="53" a="1"/>
  <c r="J21" i="53" s="1"/>
  <c r="R18" i="53" a="1"/>
  <c r="R18" i="53" s="1"/>
  <c r="J18" i="53" a="1"/>
  <c r="J18" i="53" s="1"/>
  <c r="F13" i="53"/>
  <c r="P25" i="53" a="1"/>
  <c r="P25" i="53" s="1"/>
  <c r="H25" i="53" a="1"/>
  <c r="H25" i="53" s="1"/>
  <c r="Q21" i="53" a="1"/>
  <c r="Q21" i="53" s="1"/>
  <c r="I21" i="53" a="1"/>
  <c r="I21" i="53" s="1"/>
  <c r="I18" i="53" a="1"/>
  <c r="I18" i="53" s="1"/>
  <c r="F11" i="53"/>
  <c r="F13" i="12"/>
  <c r="N2" i="12"/>
  <c r="J28" i="12" a="1"/>
  <c r="J28" i="12" s="1"/>
  <c r="B28" i="12" a="1"/>
  <c r="B28" i="12" s="1"/>
  <c r="K25" i="12" a="1"/>
  <c r="K25" i="12" s="1"/>
  <c r="C25" i="12" a="1"/>
  <c r="C25" i="12" s="1"/>
  <c r="L21" i="12" a="1"/>
  <c r="L21" i="12" s="1"/>
  <c r="D21" i="12" a="1"/>
  <c r="D21" i="12" s="1"/>
  <c r="L18" i="12" a="1"/>
  <c r="L18" i="12" s="1"/>
  <c r="D18" i="12" a="1"/>
  <c r="D18" i="12" s="1"/>
  <c r="O25" i="53" a="1"/>
  <c r="O25" i="53" s="1"/>
  <c r="G25" i="53" a="1"/>
  <c r="G25" i="53" s="1"/>
  <c r="P21" i="53" a="1"/>
  <c r="P21" i="53" s="1"/>
  <c r="H21" i="53" a="1"/>
  <c r="H21" i="53" s="1"/>
  <c r="P18" i="53" a="1"/>
  <c r="P18" i="53" s="1"/>
  <c r="H18" i="53" a="1"/>
  <c r="H18" i="53" s="1"/>
  <c r="F11" i="12"/>
  <c r="Q28" i="12" a="1"/>
  <c r="Q28" i="12" s="1"/>
  <c r="I28" i="12" a="1"/>
  <c r="I28" i="12" s="1"/>
  <c r="R25" i="12" a="1"/>
  <c r="R25" i="12" s="1"/>
  <c r="J25" i="12" a="1"/>
  <c r="J25" i="12" s="1"/>
  <c r="K21" i="12" a="1"/>
  <c r="K21" i="12" s="1"/>
  <c r="C21" i="12"/>
  <c r="K18" i="12" a="1"/>
  <c r="K18" i="12" s="1"/>
  <c r="C18" i="12"/>
  <c r="P28" i="12" a="1"/>
  <c r="P28" i="12" s="1"/>
  <c r="R21" i="12" a="1"/>
  <c r="R21" i="12" s="1"/>
  <c r="J18" i="12" a="1"/>
  <c r="J18" i="12" s="1"/>
  <c r="F7" i="12" a="1"/>
  <c r="F7" i="12" s="1"/>
  <c r="F25" i="12" a="1"/>
  <c r="F25" i="12" s="1"/>
  <c r="G18" i="12" a="1"/>
  <c r="G18" i="12" s="1"/>
  <c r="E21" i="12" a="1"/>
  <c r="E21" i="12" s="1"/>
  <c r="N25" i="53" a="1"/>
  <c r="N25" i="53" s="1"/>
  <c r="F25" i="53" a="1"/>
  <c r="F25" i="53" s="1"/>
  <c r="O21" i="53" a="1"/>
  <c r="O21" i="53" s="1"/>
  <c r="G21" i="53" a="1"/>
  <c r="G21" i="53" s="1"/>
  <c r="O18" i="53" a="1"/>
  <c r="O18" i="53" s="1"/>
  <c r="G18" i="53" a="1"/>
  <c r="G18" i="53" s="1"/>
  <c r="F9" i="53"/>
  <c r="H28" i="12" a="1"/>
  <c r="H28" i="12" s="1"/>
  <c r="Q25" i="12" a="1"/>
  <c r="Q25" i="12" s="1"/>
  <c r="I25" i="12" a="1"/>
  <c r="I25" i="12" s="1"/>
  <c r="J21" i="12" a="1"/>
  <c r="J21" i="12" s="1"/>
  <c r="R18" i="12" a="1"/>
  <c r="R18" i="12" s="1"/>
  <c r="M25" i="53" a="1"/>
  <c r="M25" i="53" s="1"/>
  <c r="E25" i="53" a="1"/>
  <c r="E25" i="53" s="1"/>
  <c r="N21" i="53" a="1"/>
  <c r="N21" i="53" s="1"/>
  <c r="F21" i="53" a="1"/>
  <c r="F21" i="53" s="1"/>
  <c r="N18" i="53" a="1"/>
  <c r="N18" i="53" s="1"/>
  <c r="F18" i="53" a="1"/>
  <c r="F18" i="53" s="1"/>
  <c r="F8" i="53"/>
  <c r="F9" i="12"/>
  <c r="O28" i="12" a="1"/>
  <c r="O28" i="12" s="1"/>
  <c r="G28" i="12" a="1"/>
  <c r="G28" i="12" s="1"/>
  <c r="P25" i="12" a="1"/>
  <c r="P25" i="12" s="1"/>
  <c r="H25" i="12" a="1"/>
  <c r="H25" i="12" s="1"/>
  <c r="Q21" i="12" a="1"/>
  <c r="Q21" i="12" s="1"/>
  <c r="I21" i="12" a="1"/>
  <c r="I21" i="12" s="1"/>
  <c r="Q18" i="12" a="1"/>
  <c r="Q18" i="12" s="1"/>
  <c r="I18" i="12" a="1"/>
  <c r="I18" i="12" s="1"/>
  <c r="M28" i="12" a="1"/>
  <c r="M28" i="12" s="1"/>
  <c r="G21" i="12" a="1"/>
  <c r="G21" i="12" s="1"/>
  <c r="L25" i="12" a="1"/>
  <c r="L25" i="12" s="1"/>
  <c r="L25" i="53" a="1"/>
  <c r="L25" i="53" s="1"/>
  <c r="D25" i="53" a="1"/>
  <c r="D25" i="53" s="1"/>
  <c r="M21" i="53" a="1"/>
  <c r="M21" i="53" s="1"/>
  <c r="E21" i="53" a="1"/>
  <c r="E21" i="53" s="1"/>
  <c r="M18" i="53" a="1"/>
  <c r="M18" i="53" s="1"/>
  <c r="E18" i="53" a="1"/>
  <c r="E18" i="53" s="1"/>
  <c r="F7" i="53" a="1"/>
  <c r="F7" i="53" s="1"/>
  <c r="F8" i="12"/>
  <c r="N28" i="12" a="1"/>
  <c r="N28" i="12" s="1"/>
  <c r="F28" i="12" a="1"/>
  <c r="F28" i="12" s="1"/>
  <c r="O25" i="12" a="1"/>
  <c r="O25" i="12" s="1"/>
  <c r="G25" i="12" a="1"/>
  <c r="G25" i="12" s="1"/>
  <c r="P21" i="12" a="1"/>
  <c r="P21" i="12" s="1"/>
  <c r="H21" i="12" a="1"/>
  <c r="H21" i="12" s="1"/>
  <c r="P18" i="12" a="1"/>
  <c r="P18" i="12" s="1"/>
  <c r="H18" i="12" a="1"/>
  <c r="H18" i="12" s="1"/>
  <c r="K25" i="53" a="1"/>
  <c r="K25" i="53" s="1"/>
  <c r="C25" i="53" a="1"/>
  <c r="C25" i="53" s="1"/>
  <c r="L21" i="53" a="1"/>
  <c r="L21" i="53" s="1"/>
  <c r="D21" i="53" a="1"/>
  <c r="D21" i="53" s="1"/>
  <c r="L18" i="53" a="1"/>
  <c r="L18" i="53" s="1"/>
  <c r="D18" i="53" a="1"/>
  <c r="D18" i="53" s="1"/>
  <c r="F6" i="53" a="1"/>
  <c r="F6" i="53" s="1"/>
  <c r="E28" i="12" a="1"/>
  <c r="E28" i="12" s="1"/>
  <c r="N25" i="12" a="1"/>
  <c r="N25" i="12" s="1"/>
  <c r="O21" i="12" a="1"/>
  <c r="O21" i="12" s="1"/>
  <c r="O18" i="12" a="1"/>
  <c r="O18" i="12" s="1"/>
  <c r="D25" i="12" a="1"/>
  <c r="D25" i="12" s="1"/>
  <c r="E18" i="12" a="1"/>
  <c r="E18" i="12" s="1"/>
  <c r="S18" i="45" l="1" a="1"/>
  <c r="S18" i="45" s="1"/>
  <c r="S18" i="42" a="1"/>
  <c r="S18" i="42" s="1"/>
  <c r="S18" i="38" a="1"/>
  <c r="S18" i="38" s="1"/>
  <c r="S18" i="48" a="1"/>
  <c r="S18" i="48" s="1"/>
  <c r="S18" i="43" a="1"/>
  <c r="S18" i="43" s="1"/>
  <c r="S18" i="29" a="1"/>
  <c r="S18" i="29" s="1"/>
  <c r="S21" i="22" a="1"/>
  <c r="S21" i="22" s="1"/>
  <c r="S18" i="39" a="1"/>
  <c r="S18" i="39" s="1"/>
  <c r="S18" i="46" a="1"/>
  <c r="S18" i="46" s="1"/>
  <c r="R22" i="17" a="1"/>
  <c r="R22" i="17" s="1"/>
  <c r="S22" i="17" s="1" a="1"/>
  <c r="S22" i="17" s="1"/>
  <c r="S18" i="47" a="1"/>
  <c r="S18" i="47" s="1"/>
  <c r="S18" i="49" a="1"/>
  <c r="S18" i="49" s="1"/>
  <c r="Q18" i="19"/>
  <c r="S18" i="10" a="1"/>
  <c r="S18" i="10" s="1"/>
  <c r="S18" i="50" a="1"/>
  <c r="S18" i="50" s="1"/>
  <c r="S18" i="65" a="1"/>
  <c r="S18" i="65" s="1"/>
  <c r="R22" i="64" a="1"/>
  <c r="R22" i="64" s="1"/>
  <c r="S22" i="64" s="1" a="1"/>
  <c r="S22" i="64" s="1"/>
  <c r="R28" i="22" a="1"/>
  <c r="R28" i="22" s="1"/>
  <c r="S28" i="22" s="1" a="1"/>
  <c r="S28" i="22" s="1"/>
  <c r="S18" i="62" a="1"/>
  <c r="S18" i="62" s="1"/>
  <c r="Q18" i="30"/>
  <c r="S21" i="56" a="1"/>
  <c r="S21" i="56" s="1"/>
  <c r="Q18" i="56"/>
  <c r="R25" i="56" a="1"/>
  <c r="R25" i="56" s="1"/>
  <c r="S25" i="56" s="1" a="1"/>
  <c r="S25" i="56" s="1"/>
  <c r="S18" i="17" a="1"/>
  <c r="S18" i="17" s="1"/>
  <c r="S18" i="54" a="1"/>
  <c r="S18" i="54" s="1"/>
  <c r="R22" i="54" a="1"/>
  <c r="R22" i="54" s="1"/>
  <c r="S22" i="54" s="1" a="1"/>
  <c r="S22" i="54" s="1"/>
  <c r="S21" i="53" a="1"/>
  <c r="S21" i="53" s="1"/>
  <c r="S21" i="12" a="1"/>
  <c r="S21" i="12" s="1"/>
  <c r="R28" i="12" a="1"/>
  <c r="R28" i="12" s="1"/>
  <c r="S28" i="12" s="1" a="1"/>
  <c r="S28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<sst xmlns="http://schemas.openxmlformats.org/spreadsheetml/2006/main" count="2807" uniqueCount="557">
  <si>
    <t>#</t>
  </si>
  <si>
    <t>PLAYER</t>
  </si>
  <si>
    <t>B/T</t>
  </si>
  <si>
    <t>H-T</t>
  </si>
  <si>
    <t>W-T</t>
  </si>
  <si>
    <t>COLLEGE</t>
  </si>
  <si>
    <t>CLASS</t>
  </si>
  <si>
    <t>HOMETOWN</t>
  </si>
  <si>
    <t>Bixby, Lucas</t>
  </si>
  <si>
    <t>R/R</t>
  </si>
  <si>
    <t>Junior</t>
  </si>
  <si>
    <t>Conroy, Will</t>
  </si>
  <si>
    <t>L/R</t>
  </si>
  <si>
    <t>Cowan, Travis</t>
  </si>
  <si>
    <t>Senior</t>
  </si>
  <si>
    <t>Davies, Nick</t>
  </si>
  <si>
    <t>R/L</t>
  </si>
  <si>
    <t>De La Cruz, Rolando</t>
  </si>
  <si>
    <t>Sophomore</t>
  </si>
  <si>
    <t>Dolney, Aaron</t>
  </si>
  <si>
    <t>Habelitz, Jake</t>
  </si>
  <si>
    <t>L/L</t>
  </si>
  <si>
    <t>Knorr, Sean</t>
  </si>
  <si>
    <t>Freshman</t>
  </si>
  <si>
    <t>Knust, Gavin</t>
  </si>
  <si>
    <t>Lanoux, Caleb</t>
  </si>
  <si>
    <t>Lycan, Jacob</t>
  </si>
  <si>
    <t>Martin, Garrett</t>
  </si>
  <si>
    <t>Meinderts, Lex</t>
  </si>
  <si>
    <t>Newman, Jeremiah</t>
  </si>
  <si>
    <t>Nies, Cohen</t>
  </si>
  <si>
    <t>Richardson, Noah</t>
  </si>
  <si>
    <t>Ross, Nathan</t>
  </si>
  <si>
    <t>Sanchez, Brett</t>
  </si>
  <si>
    <t>Schaefer, Peter</t>
  </si>
  <si>
    <t>Stich Jr., David</t>
  </si>
  <si>
    <t>Weiss, Hank</t>
  </si>
  <si>
    <t>Whelan, Robert</t>
  </si>
  <si>
    <t>Hancock, Billy</t>
  </si>
  <si>
    <t>Stager, Derick</t>
  </si>
  <si>
    <t>Canar, James</t>
  </si>
  <si>
    <t>Garcia, Donovan</t>
  </si>
  <si>
    <t>Getz, Josh</t>
  </si>
  <si>
    <t>Grabanski, Joey</t>
  </si>
  <si>
    <t>Jackson, Core</t>
  </si>
  <si>
    <t>Kark, Dillon</t>
  </si>
  <si>
    <t>Pyatt, Fisher</t>
  </si>
  <si>
    <t>S/R</t>
  </si>
  <si>
    <t>Gibbs, Isaiah</t>
  </si>
  <si>
    <t>Peterson, Tate</t>
  </si>
  <si>
    <t>6'4"</t>
  </si>
  <si>
    <t>6'3"</t>
  </si>
  <si>
    <t>6'1"</t>
  </si>
  <si>
    <t>6'5"</t>
  </si>
  <si>
    <t>6'0"</t>
  </si>
  <si>
    <t>6'8"</t>
  </si>
  <si>
    <t>6'2"</t>
  </si>
  <si>
    <t>5'11"</t>
  </si>
  <si>
    <t>5'10"</t>
  </si>
  <si>
    <t>5'9"</t>
  </si>
  <si>
    <t>5'8"</t>
  </si>
  <si>
    <t>R-Freshman</t>
  </si>
  <si>
    <t>R-Senior</t>
  </si>
  <si>
    <t>R-Sophomore</t>
  </si>
  <si>
    <t>R-Junior</t>
  </si>
  <si>
    <t>Vanguard</t>
  </si>
  <si>
    <t>Doane</t>
  </si>
  <si>
    <t>Brock</t>
  </si>
  <si>
    <t>Middle Georgia State</t>
  </si>
  <si>
    <t>San Diego State</t>
  </si>
  <si>
    <t>Eastern Michigan</t>
  </si>
  <si>
    <t>Indiana Southeast</t>
  </si>
  <si>
    <t>Northern Kentucky</t>
  </si>
  <si>
    <t>Johns Hopkins</t>
  </si>
  <si>
    <t>Washington-St.Louis</t>
  </si>
  <si>
    <t>Michigan State</t>
  </si>
  <si>
    <t>William Woods</t>
  </si>
  <si>
    <t>Mount Marty</t>
  </si>
  <si>
    <t>Flagler</t>
  </si>
  <si>
    <t>Kellogg CC</t>
  </si>
  <si>
    <t>Trinidad State JC</t>
  </si>
  <si>
    <t>Nebraska</t>
  </si>
  <si>
    <t>So</t>
  </si>
  <si>
    <t>Jr</t>
  </si>
  <si>
    <t>Sr</t>
  </si>
  <si>
    <t>Dewitt, IA</t>
  </si>
  <si>
    <t>Raven Run, PA</t>
  </si>
  <si>
    <t>Denver, CO</t>
  </si>
  <si>
    <t>Lucas Bixby</t>
  </si>
  <si>
    <t>PLAYERraw</t>
  </si>
  <si>
    <t>Quinn, Jaidan</t>
  </si>
  <si>
    <t>Concordia-Nebraska</t>
  </si>
  <si>
    <t>Will Conroy</t>
  </si>
  <si>
    <t>Travis Cowan</t>
  </si>
  <si>
    <t>Nick Davies</t>
  </si>
  <si>
    <t>Rolando De La Cruz</t>
  </si>
  <si>
    <t>Aaron Dolney</t>
  </si>
  <si>
    <t>Jake Habelitz</t>
  </si>
  <si>
    <t>Sean Knorr</t>
  </si>
  <si>
    <t>Gavin Knust</t>
  </si>
  <si>
    <t>Caleb Lanoux</t>
  </si>
  <si>
    <t>Jacob Lycan</t>
  </si>
  <si>
    <t>Garrett Martin</t>
  </si>
  <si>
    <t>Lex Meinderts</t>
  </si>
  <si>
    <t>Jeremiah Newman</t>
  </si>
  <si>
    <t>Cohen Nies</t>
  </si>
  <si>
    <t>Jaidan Quinn</t>
  </si>
  <si>
    <t>Noah Richardson</t>
  </si>
  <si>
    <t>Nathan Ross</t>
  </si>
  <si>
    <t>Brett Sanchez</t>
  </si>
  <si>
    <t>Peter Schaefer</t>
  </si>
  <si>
    <t>David Stich Jr.</t>
  </si>
  <si>
    <t>Hank Weiss</t>
  </si>
  <si>
    <t>Robert Whelan</t>
  </si>
  <si>
    <t>Billy Hancock</t>
  </si>
  <si>
    <t>Derick Stager</t>
  </si>
  <si>
    <t>James Canar</t>
  </si>
  <si>
    <t>Daunte Decello</t>
  </si>
  <si>
    <t>Donovan Garcia</t>
  </si>
  <si>
    <t>Josh Getz</t>
  </si>
  <si>
    <t>Joey Grabanski</t>
  </si>
  <si>
    <t>Core Jackson</t>
  </si>
  <si>
    <t>Dillon Kark</t>
  </si>
  <si>
    <t>Fisher Pyatt</t>
  </si>
  <si>
    <t>Isaiah Gibbs</t>
  </si>
  <si>
    <t>Tate Peterson</t>
  </si>
  <si>
    <t>POS</t>
  </si>
  <si>
    <t>P</t>
  </si>
  <si>
    <t>HT Coord</t>
  </si>
  <si>
    <t>Col Coord</t>
  </si>
  <si>
    <t>#Image</t>
  </si>
  <si>
    <t>Catcher</t>
  </si>
  <si>
    <t>Infielder</t>
  </si>
  <si>
    <t>Outfielder</t>
  </si>
  <si>
    <t>DOB</t>
  </si>
  <si>
    <t>Collegiate Statistics</t>
  </si>
  <si>
    <t>Year</t>
  </si>
  <si>
    <t>Age</t>
  </si>
  <si>
    <t>AgeDif</t>
  </si>
  <si>
    <t>Tm</t>
  </si>
  <si>
    <t>Lg</t>
  </si>
  <si>
    <t>Lev</t>
  </si>
  <si>
    <t>Aff</t>
  </si>
  <si>
    <t>W</t>
  </si>
  <si>
    <t>L</t>
  </si>
  <si>
    <t>W-L%</t>
  </si>
  <si>
    <t>ERA</t>
  </si>
  <si>
    <t>RA9</t>
  </si>
  <si>
    <t>G</t>
  </si>
  <si>
    <t>GS</t>
  </si>
  <si>
    <t>GF</t>
  </si>
  <si>
    <t>CG</t>
  </si>
  <si>
    <t>SHO</t>
  </si>
  <si>
    <t>SV</t>
  </si>
  <si>
    <t>IP</t>
  </si>
  <si>
    <t>H</t>
  </si>
  <si>
    <t>R</t>
  </si>
  <si>
    <t>ER</t>
  </si>
  <si>
    <t>HR</t>
  </si>
  <si>
    <t>BB</t>
  </si>
  <si>
    <t>IBB</t>
  </si>
  <si>
    <t>SO</t>
  </si>
  <si>
    <t>HBP</t>
  </si>
  <si>
    <t>BK</t>
  </si>
  <si>
    <t>WP</t>
  </si>
  <si>
    <t>BF</t>
  </si>
  <si>
    <t>WHIP</t>
  </si>
  <si>
    <t>H9</t>
  </si>
  <si>
    <t>HR9</t>
  </si>
  <si>
    <t>BB9</t>
  </si>
  <si>
    <t>SO9</t>
  </si>
  <si>
    <t>SO/W</t>
  </si>
  <si>
    <t>NWDS</t>
  </si>
  <si>
    <t>Smr</t>
  </si>
  <si>
    <t>School</t>
  </si>
  <si>
    <t>AB</t>
  </si>
  <si>
    <t>2B</t>
  </si>
  <si>
    <t>3B</t>
  </si>
  <si>
    <t>RBI</t>
  </si>
  <si>
    <t>SB</t>
  </si>
  <si>
    <t>CS</t>
  </si>
  <si>
    <t>BA</t>
  </si>
  <si>
    <t>OBP</t>
  </si>
  <si>
    <t>SLG</t>
  </si>
  <si>
    <t>OPS</t>
  </si>
  <si>
    <t>SO/9</t>
  </si>
  <si>
    <t>Summer Ball Statistics</t>
  </si>
  <si>
    <t>Team</t>
  </si>
  <si>
    <t>NAIA Presto</t>
  </si>
  <si>
    <t>NAME</t>
  </si>
  <si>
    <t>YR</t>
  </si>
  <si>
    <t>APP</t>
  </si>
  <si>
    <t>K</t>
  </si>
  <si>
    <t>K/9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</si>
  <si>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</si>
  <si>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</si>
  <si>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</si>
  <si>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</si>
  <si>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</si>
  <si>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</si>
  <si>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</si>
  <si>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</si>
  <si>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</si>
  <si>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</si>
  <si>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</si>
  <si>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</si>
  <si>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</si>
  <si>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</si>
  <si>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</si>
  <si>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</si>
  <si>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</si>
  <si>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</si>
  <si>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College Source</t>
  </si>
  <si>
    <t>Name</t>
  </si>
  <si>
    <t>TEMPLATE</t>
  </si>
  <si>
    <t>AVG</t>
  </si>
  <si>
    <t>2021-22</t>
  </si>
  <si>
    <t>-</t>
  </si>
  <si>
    <t>PA</t>
  </si>
  <si>
    <t>TB</t>
  </si>
  <si>
    <t>GDP</t>
  </si>
  <si>
    <t>SH</t>
  </si>
  <si>
    <t>SF</t>
  </si>
  <si>
    <t>--</t>
  </si>
  <si>
    <t>COPL</t>
  </si>
  <si>
    <t>Macon Bacon</t>
  </si>
  <si>
    <t>PROS</t>
  </si>
  <si>
    <t>Johnstown Mill Rats</t>
  </si>
  <si>
    <t>Season</t>
  </si>
  <si>
    <t>Brantford Red Sox</t>
  </si>
  <si>
    <t>Summer Source</t>
  </si>
  <si>
    <t>BR</t>
  </si>
  <si>
    <t>Pointstreak</t>
  </si>
  <si>
    <t>San Pedro De Macoris, DOM</t>
  </si>
  <si>
    <t>2019-20</t>
  </si>
  <si>
    <t>2020-21</t>
  </si>
  <si>
    <t>EXPL</t>
  </si>
  <si>
    <t>Casper Horseheads</t>
  </si>
  <si>
    <t>Plymouth, MI</t>
  </si>
  <si>
    <t>APPY</t>
  </si>
  <si>
    <t>Bristol State Liners</t>
  </si>
  <si>
    <t>Long Beach, CA</t>
  </si>
  <si>
    <t>Long Beach City CC</t>
  </si>
  <si>
    <t>Ann Arbor, MI</t>
  </si>
  <si>
    <t>Saint Anthony, IN</t>
  </si>
  <si>
    <t>LHP</t>
  </si>
  <si>
    <t>C/P</t>
  </si>
  <si>
    <t>new</t>
  </si>
  <si>
    <t>Orange Park, FL</t>
  </si>
  <si>
    <t>RHP</t>
  </si>
  <si>
    <t>OF</t>
  </si>
  <si>
    <t>IF/RHP</t>
  </si>
  <si>
    <t>Gypsum, CO</t>
  </si>
  <si>
    <t>Omaha, NE</t>
  </si>
  <si>
    <t>C</t>
  </si>
  <si>
    <t>Green Bay Booyah</t>
  </si>
  <si>
    <t>Bergschenhoek, NED</t>
  </si>
  <si>
    <t>Curaçao Neptunus</t>
  </si>
  <si>
    <t>DUTM</t>
  </si>
  <si>
    <t>Fgn</t>
  </si>
  <si>
    <t>Atlanta, GA</t>
  </si>
  <si>
    <t>Logansport, IN</t>
  </si>
  <si>
    <t>Sr.</t>
  </si>
  <si>
    <t>Lafayette Aviators</t>
  </si>
  <si>
    <t>Infielder/Right-Handed Pitcher</t>
  </si>
  <si>
    <t>Jenison, MI</t>
  </si>
  <si>
    <t>Belhaven</t>
  </si>
  <si>
    <t>ASWC</t>
  </si>
  <si>
    <t>NCAA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</si>
  <si>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</si>
  <si>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</si>
  <si>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</si>
  <si>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</si>
  <si>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</si>
  <si>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</si>
  <si>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</si>
  <si>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</si>
  <si>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</si>
  <si>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</si>
  <si>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</si>
  <si>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</si>
  <si>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</si>
  <si>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</si>
  <si>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</si>
  <si>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</si>
  <si>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</si>
  <si>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</si>
  <si>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</si>
  <si>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Slidell, LA</t>
  </si>
  <si>
    <t>Knoxville, TN</t>
  </si>
  <si>
    <t>Wilson Tobs</t>
  </si>
  <si>
    <t>Johns Hopkins</t>
  </si>
  <si>
    <t>CENT</t>
  </si>
  <si>
    <t>Washington (MO)</t>
  </si>
  <si>
    <t>UAA</t>
  </si>
  <si>
    <t>Longmont, CO</t>
  </si>
  <si>
    <t>IF</t>
  </si>
  <si>
    <t>Daunte DeCello</t>
  </si>
  <si>
    <t>INF</t>
  </si>
  <si>
    <t>br</t>
  </si>
  <si>
    <t>Clinton LumberKings</t>
  </si>
  <si>
    <t>Hamilton, OH</t>
  </si>
  <si>
    <t>Odessa, FL</t>
  </si>
  <si>
    <t>PBC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</si>
  <si>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</si>
  <si>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</si>
  <si>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</si>
  <si>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</si>
  <si>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</si>
  <si>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</si>
  <si>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</si>
  <si>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</si>
  <si>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</si>
  <si>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</si>
  <si>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</si>
  <si>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</si>
  <si>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Milford, MI</t>
  </si>
  <si>
    <t>Northwood</t>
  </si>
  <si>
    <t>DNP-Transfer Portal</t>
  </si>
  <si>
    <t>Canyon County Spuds</t>
  </si>
  <si>
    <t>Summer Ball Statistics - Expedition League</t>
  </si>
  <si>
    <t>Grand Forks, ND</t>
  </si>
  <si>
    <t>Russiaville, IN</t>
  </si>
  <si>
    <t>GRCL</t>
  </si>
  <si>
    <t>Michigan Monarchs</t>
  </si>
  <si>
    <t>Patrick Mills</t>
  </si>
  <si>
    <t>West Virginia Miners</t>
  </si>
  <si>
    <t>Mills, Patrick</t>
  </si>
  <si>
    <t>White Lake, MI</t>
  </si>
  <si>
    <t>San Diego, CA</t>
  </si>
  <si>
    <t>Princeton WhistlePigs</t>
  </si>
  <si>
    <t>Asheboro Copperheads</t>
  </si>
  <si>
    <t>Ironton, MO</t>
  </si>
  <si>
    <t>Rafael Gomez Jr.</t>
  </si>
  <si>
    <t>Gomez Jr., Rafael</t>
  </si>
  <si>
    <t>Miami, FL</t>
  </si>
  <si>
    <t>Boerne, TX</t>
  </si>
  <si>
    <t>Bonner Springs, KS</t>
  </si>
  <si>
    <t>Chagrin Falls, OH</t>
  </si>
  <si>
    <t>Camp Hill, PA</t>
  </si>
  <si>
    <t>Wahoo, NE</t>
  </si>
  <si>
    <t>TXCL</t>
  </si>
  <si>
    <t>Baton Rouge Rougarou</t>
  </si>
  <si>
    <t>Intercoastal Dolphins</t>
  </si>
  <si>
    <t/>
  </si>
  <si>
    <t>Battle Creek Bombers</t>
  </si>
  <si>
    <t>Batka, Keegan</t>
  </si>
  <si>
    <t>Grand Rapids, MI</t>
  </si>
  <si>
    <t>Keegan Batka</t>
  </si>
  <si>
    <t>MLBD</t>
  </si>
  <si>
    <t>Mahoning Valley Scrappers</t>
  </si>
  <si>
    <t>Millersville</t>
  </si>
  <si>
    <t>PSAC</t>
  </si>
  <si>
    <t>BTen</t>
  </si>
  <si>
    <t>Michigan State</t>
  </si>
  <si>
    <t>San Diego State</t>
  </si>
  <si>
    <t>MWC</t>
  </si>
  <si>
    <t>Ancaster, ON, CAN</t>
  </si>
  <si>
    <t>DeCello, Daunte</t>
  </si>
  <si>
    <t>Wyoming, ON, CAN</t>
  </si>
  <si>
    <t>Grandville, MI</t>
  </si>
  <si>
    <t>Windsor, ON, CAN</t>
  </si>
  <si>
    <t>St. Petersburg, FL</t>
  </si>
  <si>
    <t>Merced, Robbie</t>
  </si>
  <si>
    <t>Central Methodist</t>
  </si>
  <si>
    <t>Springfield, MO</t>
  </si>
  <si>
    <t>Robbie Merced</t>
  </si>
  <si>
    <t>Wheat City Whiskey Jacks</t>
  </si>
  <si>
    <t>42.334952852608474, -85.17741493773318</t>
  </si>
  <si>
    <t>33.660599944266224, -117.90269739058033</t>
  </si>
  <si>
    <t>38.37159063086888, -97.64209955911868</t>
  </si>
  <si>
    <t>McPherson College</t>
  </si>
  <si>
    <t>40.00028660043658, -76.36097974818858</t>
  </si>
  <si>
    <t>40.62158490529423, -96.94388930259062</t>
  </si>
  <si>
    <t>43.11664109477747, -79.24899487706969</t>
  </si>
  <si>
    <t>37.17306536521502, -104.5148844944852</t>
  </si>
  <si>
    <t>38.338195883111915, -85.82222531348576</t>
  </si>
  <si>
    <t>42.25045643968939, -83.62412595807854</t>
  </si>
  <si>
    <t>29.89245326612696, -81.31475911556042</t>
  </si>
  <si>
    <t>Flagler College</t>
  </si>
  <si>
    <t>43.63326877256491, -84.28000056496671</t>
  </si>
  <si>
    <t>38.86053033855621, -91.94907749715475</t>
  </si>
  <si>
    <t>32.80933463715653, -83.73287393137892</t>
  </si>
  <si>
    <t>40.914217108708485, -97.08796770583743</t>
  </si>
  <si>
    <t>42.87428850823886, -97.4102845076163</t>
  </si>
  <si>
    <t>40.8231484030801, -96.7139526421754</t>
  </si>
  <si>
    <t>42.73185911980418, -84.48859749761866</t>
  </si>
  <si>
    <t>Lyon College</t>
  </si>
  <si>
    <t>35.77318322514994, -91.62145688157001</t>
  </si>
  <si>
    <t>39.15031788714908, -92.68184015005819</t>
  </si>
  <si>
    <t>33.753078812002805, -84.38530302244328</t>
  </si>
  <si>
    <t>41.30004158578475, -84.35219154870852</t>
  </si>
  <si>
    <t>Defiance College</t>
  </si>
  <si>
    <t>32.774372748666956, -117.0784665375748</t>
  </si>
  <si>
    <t>39.028771609911374, -84.46513281978032</t>
  </si>
  <si>
    <t>32.320146368820396, -90.16919795000084</t>
  </si>
  <si>
    <t>39.332213804438254, -76.61926810693629</t>
  </si>
  <si>
    <t>Temple College</t>
  </si>
  <si>
    <t>31.07039113627847, -97.34722847025772</t>
  </si>
  <si>
    <t>38.64626008820738, -90.31374131536647</t>
  </si>
  <si>
    <t>47.31300872403601, -122.17876708201507</t>
  </si>
  <si>
    <t>Green River College</t>
  </si>
  <si>
    <t>Millersville-Pennsylvania</t>
  </si>
  <si>
    <t>Eastern Michigan</t>
  </si>
  <si>
    <t>MAC</t>
  </si>
  <si>
    <t>Grambling State</t>
  </si>
  <si>
    <t>Right-Handed Pitcher</t>
  </si>
  <si>
    <t>Hann, Dominic</t>
  </si>
  <si>
    <t>Washington, MI</t>
  </si>
  <si>
    <t>Tejeda, Anthony</t>
  </si>
  <si>
    <t>Bryan College</t>
  </si>
  <si>
    <t>Santo Domingo, DOM</t>
  </si>
  <si>
    <t>Tukis, Zack</t>
  </si>
  <si>
    <t>6'6"</t>
  </si>
  <si>
    <t>Mechanicsburg, PA</t>
  </si>
  <si>
    <t>Dominic Hann</t>
  </si>
  <si>
    <t>Kenosha Kingfish</t>
  </si>
  <si>
    <t>WMBL</t>
  </si>
  <si>
    <t>Anthony Tejeda</t>
  </si>
  <si>
    <t>Weyburn Beavers</t>
  </si>
  <si>
    <t>Zack Tukis</t>
  </si>
  <si>
    <t>April 30, 2002</t>
  </si>
  <si>
    <t>October 15, 2000</t>
  </si>
  <si>
    <t>May 15, 2000</t>
  </si>
  <si>
    <t>July 25, 2001</t>
  </si>
  <si>
    <t>September 23, 1998</t>
  </si>
  <si>
    <t>October 30, 2000</t>
  </si>
  <si>
    <t>January 30, 2001</t>
  </si>
  <si>
    <t>May 31, 1999</t>
  </si>
  <si>
    <t>May 14, 2001</t>
  </si>
  <si>
    <t>July 12, 2001</t>
  </si>
  <si>
    <t>May 29, 2003</t>
  </si>
  <si>
    <t>October 31, 1999</t>
  </si>
  <si>
    <t>May 14, 2000</t>
  </si>
  <si>
    <t>October 29, 2001</t>
  </si>
  <si>
    <t>July 24, 2001</t>
  </si>
  <si>
    <t>November 17, 1999</t>
  </si>
  <si>
    <t>August 24, 2002</t>
  </si>
  <si>
    <t>October 11, 2003</t>
  </si>
  <si>
    <t>January 13, 2001</t>
  </si>
  <si>
    <t>September 12, 2002</t>
  </si>
  <si>
    <t>June 18, 2002</t>
  </si>
  <si>
    <t>June 18, 1998</t>
  </si>
  <si>
    <t>May 21, 2001</t>
  </si>
  <si>
    <t>June 23, 1999</t>
  </si>
  <si>
    <t>July 21, 1999</t>
  </si>
  <si>
    <t>February 23, 1999</t>
  </si>
  <si>
    <t>April 4, 2000</t>
  </si>
  <si>
    <t>May 4, 2003</t>
  </si>
  <si>
    <t>October 8, 1998</t>
  </si>
  <si>
    <t>October 3, 2000</t>
  </si>
  <si>
    <t>November 18, 2001</t>
  </si>
  <si>
    <t>May 24, 2002</t>
  </si>
  <si>
    <t>April 16, 2000</t>
  </si>
  <si>
    <t>October 13, 2002</t>
  </si>
  <si>
    <t>April 20, 2000</t>
  </si>
  <si>
    <t>November 16, 2000</t>
  </si>
  <si>
    <t>September 13, 2000</t>
  </si>
  <si>
    <t>May 30, 2002</t>
  </si>
  <si>
    <t>October 19, 1997</t>
  </si>
  <si>
    <t>September 10, 2002</t>
  </si>
  <si>
    <t>May 7, 2002</t>
  </si>
  <si>
    <t>December 3, 2001</t>
  </si>
  <si>
    <t>Northern Kentucky</t>
  </si>
  <si>
    <t>Horz</t>
  </si>
  <si>
    <t>Summer Ball Statistics - MLB Draft League</t>
  </si>
  <si>
    <t>Summer Ball Statistics - Northwoods League</t>
  </si>
  <si>
    <t>Summer Ball Statistics - Prospect League</t>
  </si>
  <si>
    <t>Summer Ball Statistics - Intercounty Baseball League</t>
  </si>
  <si>
    <t>Summer Ball Statistics - Appalachian League</t>
  </si>
  <si>
    <t>Summer Ball Statistics - Coastal Plains League</t>
  </si>
  <si>
    <t>Summer Ball Statistics - Great Lakes League</t>
  </si>
  <si>
    <t>Summer Ball Statistics - Coastal League</t>
  </si>
  <si>
    <t>Summer Ball Statistics - Dutch Major League</t>
  </si>
  <si>
    <t>Summer Ball Statistics - Texas Collegiate League</t>
  </si>
  <si>
    <t>Summer Ball Statistics - Western Canadian League</t>
  </si>
  <si>
    <t>Jace Matkin</t>
  </si>
  <si>
    <t>Madonna</t>
  </si>
  <si>
    <t>WHAC</t>
  </si>
  <si>
    <t>NAIA</t>
  </si>
  <si>
    <t>Matkin, Jace</t>
  </si>
  <si>
    <t>July 25, 1999</t>
  </si>
  <si>
    <t>Southgate, MI</t>
  </si>
  <si>
    <t>Justin Graves</t>
  </si>
  <si>
    <t>GSAC</t>
  </si>
  <si>
    <t>Left-Handed Pitcher</t>
  </si>
  <si>
    <t>Graves, Justin</t>
  </si>
  <si>
    <t>March 19, 2000</t>
  </si>
  <si>
    <t>Irvine, CA</t>
  </si>
  <si>
    <t>Nichols, Bobby</t>
  </si>
  <si>
    <t>May 17, 2000</t>
  </si>
  <si>
    <t>Detroit, MI</t>
  </si>
  <si>
    <t>Sotres, Gabe</t>
  </si>
  <si>
    <t>August 20, 2000</t>
  </si>
  <si>
    <t>Vargas, Julian</t>
  </si>
  <si>
    <t>Saint Xavier</t>
  </si>
  <si>
    <t>Tinley Park, IL</t>
  </si>
  <si>
    <t>Bobby Nichols</t>
  </si>
  <si>
    <t>Central Methodist</t>
  </si>
  <si>
    <t>HAAC</t>
  </si>
  <si>
    <t>Gabe Sotres</t>
  </si>
  <si>
    <t>VALL</t>
  </si>
  <si>
    <t>Charlottesville Tom Sox</t>
  </si>
  <si>
    <t>Julian Vargas</t>
  </si>
  <si>
    <t>St. Xavier</t>
  </si>
  <si>
    <t>CCAC</t>
  </si>
  <si>
    <t>Braden, Jackson</t>
  </si>
  <si>
    <t>April 19, 1999</t>
  </si>
  <si>
    <t>Adairsville, GA</t>
  </si>
  <si>
    <t>Jackson Braden</t>
  </si>
  <si>
    <t>Middle Georgia</t>
  </si>
  <si>
    <t>SSAC</t>
  </si>
  <si>
    <t>Shortstop</t>
  </si>
  <si>
    <t>Altherr, Cole</t>
  </si>
  <si>
    <t>October 18, 1999</t>
  </si>
  <si>
    <t>Embry-Riddle</t>
  </si>
  <si>
    <t>Tucson, AZ</t>
  </si>
  <si>
    <t>Berghorst, Adam</t>
  </si>
  <si>
    <t>6'7"</t>
  </si>
  <si>
    <t>October 4, 2000</t>
  </si>
  <si>
    <t>Zeeland, MI</t>
  </si>
  <si>
    <t>Cole Altherr</t>
  </si>
  <si>
    <t>Adam Berghorst</t>
  </si>
  <si>
    <t>Muskegon</t>
  </si>
  <si>
    <t>Embry-Riddle (AZ)</t>
  </si>
  <si>
    <t>CPAC</t>
  </si>
  <si>
    <t>Long School</t>
  </si>
  <si>
    <t>Embry Riddle Aeronautical University Arizona</t>
  </si>
  <si>
    <t>Kellogg Community College</t>
  </si>
  <si>
    <t>Michigan State University</t>
  </si>
  <si>
    <t>Vanguard University</t>
  </si>
  <si>
    <t>Middle Georgia State University</t>
  </si>
  <si>
    <t>Millersville University Pennsylvania</t>
  </si>
  <si>
    <t>Doane University</t>
  </si>
  <si>
    <t>Brock University</t>
  </si>
  <si>
    <t>Trinidad State Junior College</t>
  </si>
  <si>
    <t>Indiana University Southeast</t>
  </si>
  <si>
    <t>Eastern Michigan University</t>
  </si>
  <si>
    <t>Northwood University</t>
  </si>
  <si>
    <t>William Woods University</t>
  </si>
  <si>
    <t>Concordia University Nebraska</t>
  </si>
  <si>
    <t>University of Nebraska</t>
  </si>
  <si>
    <t>Madonna University</t>
  </si>
  <si>
    <t>Central Methodist University</t>
  </si>
  <si>
    <t>Indiana University Kokomo</t>
  </si>
  <si>
    <t>Georgia State University</t>
  </si>
  <si>
    <t>San Diego State University</t>
  </si>
  <si>
    <t>Northern Kentucky University</t>
  </si>
  <si>
    <t>Belhaven University</t>
  </si>
  <si>
    <t>Johns Hopkins University</t>
  </si>
  <si>
    <t>Saint Xavier University</t>
  </si>
  <si>
    <t>Washington University in St.Louis</t>
  </si>
  <si>
    <t>Mount Marty University</t>
  </si>
  <si>
    <t>Ohio</t>
  </si>
  <si>
    <t>Cox, Damon</t>
  </si>
  <si>
    <t>Indianapolis, IN</t>
  </si>
  <si>
    <t>Utah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</si>
</sst>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.000"/>
    <numFmt numFmtId="165" formatCode="yyyy\-mm\-dd;@"/>
    <numFmt numFmtId="166" formatCode="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4"/>
      <color theme="4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22.5"/>
      <color theme="4"/>
      <name val="Calibri"/>
      <family val="2"/>
      <scheme val="minor"/>
    </font>
    <font>
      <b/>
      <sz val="23.5"/>
      <color theme="4"/>
      <name val="Calibri"/>
      <family val="2"/>
      <scheme val="minor"/>
    </font>
    <font>
      <sz val="8"/>
      <color theme="1"/>
      <name val="Calibri"/>
      <family val="2"/>
      <scheme val="minor"/>
    </font>
    <font>
      <sz val="10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/>
    <xf numFmtId="0" fontId="0" fillId="0" borderId="0" xfId="0" applyBorder="1" applyAlignment="1">
      <alignment vertical="center"/>
    </xf>
    <xf numFmtId="49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2" fontId="0" fillId="0" borderId="1" xfId="0" quotePrefix="1" applyNumberForma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quotePrefix="1"/>
    <xf numFmtId="0" fontId="0" fillId="0" borderId="0" xfId="0" applyAlignment="1">
      <alignment vertical="center"/>
    </xf>
    <xf numFmtId="0" fontId="4" fillId="0" borderId="0" xfId="0" applyFont="1" applyBorder="1" applyAlignment="1">
      <alignment vertical="top"/>
    </xf>
    <xf numFmtId="0" fontId="0" fillId="0" borderId="0" xfId="0" applyFont="1" applyAlignment="1">
      <alignment horizontal="left"/>
    </xf>
    <xf numFmtId="0" fontId="5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6" fontId="0" fillId="0" borderId="1" xfId="0" quotePrefix="1" applyNumberForma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0" borderId="0" xfId="0" applyFont="1" applyBorder="1" applyAlignment="1">
      <alignment horizontal="left" vertical="top"/>
    </xf>
    <xf numFmtId="0" fontId="4" fillId="0" borderId="0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10" xfId="0" applyFont="1" applyBorder="1" applyAlignment="1">
      <alignment horizontal="center"/>
    </xf>
    <xf numFmtId="0" fontId="6" fillId="0" borderId="0" xfId="0" applyFont="1" applyBorder="1" applyAlignment="1">
      <alignment horizontal="left" vertical="top"/>
    </xf>
    <xf numFmtId="0" fontId="6" fillId="0" borderId="0" xfId="0" applyFont="1" applyBorder="1" applyAlignment="1">
      <alignment horizontal="center" vertical="top"/>
    </xf>
    <xf numFmtId="0" fontId="7" fillId="0" borderId="0" xfId="0" applyFont="1" applyBorder="1" applyAlignment="1">
      <alignment horizontal="left" vertical="top"/>
    </xf>
    <xf numFmtId="0" fontId="7" fillId="0" borderId="0" xfId="0" applyFont="1" applyBorder="1" applyAlignment="1">
      <alignment horizontal="center" vertical="top"/>
    </xf>
  </cellXfs>
  <cellStyles count="1">
    <cellStyle name="Normal" xfId="0" builtinId="0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\-m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3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jpeg"/><Relationship Id="rId2" Type="http://schemas.openxmlformats.org/officeDocument/2006/relationships/image" Target="../media/image36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jpeg"/><Relationship Id="rId2" Type="http://schemas.openxmlformats.org/officeDocument/2006/relationships/image" Target="../media/image42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jpeg"/><Relationship Id="rId2" Type="http://schemas.openxmlformats.org/officeDocument/2006/relationships/image" Target="../media/image22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30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jpeg"/><Relationship Id="rId2" Type="http://schemas.openxmlformats.org/officeDocument/2006/relationships/image" Target="../media/image32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jpeg"/><Relationship Id="rId2" Type="http://schemas.openxmlformats.org/officeDocument/2006/relationships/image" Target="../media/image30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jpeg"/><Relationship Id="rId2" Type="http://schemas.openxmlformats.org/officeDocument/2006/relationships/image" Target="../media/image49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jpe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jpeg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jpeg"/><Relationship Id="rId2" Type="http://schemas.openxmlformats.org/officeDocument/2006/relationships/image" Target="../media/image71.png"/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4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A7A9BB-79ED-435F-9662-FD36FB940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171452</xdr:rowOff>
    </xdr:from>
    <xdr:to>
      <xdr:col>17</xdr:col>
      <xdr:colOff>457201</xdr:colOff>
      <xdr:row>4</xdr:row>
      <xdr:rowOff>180976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215C9-2021-4A56-ADE2-8769B16D6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2"/>
          <a:ext cx="876300" cy="809624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12</xdr:row>
      <xdr:rowOff>0</xdr:rowOff>
    </xdr:from>
    <xdr:to>
      <xdr:col>11</xdr:col>
      <xdr:colOff>171450</xdr:colOff>
      <xdr:row>13</xdr:row>
      <xdr:rowOff>180861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E02B0B-1094-DAA2-18B0-69C35D33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8150" y="2333625"/>
          <a:ext cx="542925" cy="3713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48D2F7-E9AD-4785-8C0D-388D968D3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47625</xdr:rowOff>
    </xdr:from>
    <xdr:to>
      <xdr:col>10</xdr:col>
      <xdr:colOff>131445</xdr:colOff>
      <xdr:row>13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B53041-91B4-9FEF-BD49-054228CA1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9075" y="2390775"/>
          <a:ext cx="426720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</xdr:row>
      <xdr:rowOff>1</xdr:rowOff>
    </xdr:from>
    <xdr:to>
      <xdr:col>4</xdr:col>
      <xdr:colOff>9523</xdr:colOff>
      <xdr:row>13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8E6BB4-562E-14B7-EF89-A1947FE1B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95274" y="504826"/>
          <a:ext cx="2514599" cy="18859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D77476-7A5D-4EAD-BFCD-220CF3538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85726</xdr:colOff>
      <xdr:row>12</xdr:row>
      <xdr:rowOff>19051</xdr:rowOff>
    </xdr:from>
    <xdr:to>
      <xdr:col>11</xdr:col>
      <xdr:colOff>104506</xdr:colOff>
      <xdr:row>14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868BCE-1424-117E-E0EE-9CA85E9A7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6" y="2352676"/>
          <a:ext cx="314055" cy="36194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</xdr:row>
      <xdr:rowOff>19050</xdr:rowOff>
    </xdr:from>
    <xdr:to>
      <xdr:col>3</xdr:col>
      <xdr:colOff>276225</xdr:colOff>
      <xdr:row>13</xdr:row>
      <xdr:rowOff>135994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58324E-0579-CC78-E4EA-8CF9C5D26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1" y="209550"/>
          <a:ext cx="1838324" cy="24505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457202</xdr:colOff>
      <xdr:row>4</xdr:row>
      <xdr:rowOff>185746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CA3454-FABD-DA14-4966-A9D4763EB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2862"/>
        </a:xfrm>
        <a:prstGeom prst="rect">
          <a:avLst/>
        </a:prstGeom>
      </xdr:spPr>
    </xdr:pic>
    <xdr:clientData/>
  </xdr:twoCellAnchor>
  <xdr:twoCellAnchor editAs="oneCell">
    <xdr:from>
      <xdr:col>8</xdr:col>
      <xdr:colOff>233987</xdr:colOff>
      <xdr:row>12</xdr:row>
      <xdr:rowOff>63501</xdr:rowOff>
    </xdr:from>
    <xdr:to>
      <xdr:col>9</xdr:col>
      <xdr:colOff>279212</xdr:colOff>
      <xdr:row>13</xdr:row>
      <xdr:rowOff>150285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EBB9417-EFF9-85D1-2BE0-6614F0938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6404" y="2413001"/>
          <a:ext cx="405059" cy="2772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</xdr:row>
      <xdr:rowOff>52917</xdr:rowOff>
    </xdr:from>
    <xdr:to>
      <xdr:col>4</xdr:col>
      <xdr:colOff>74083</xdr:colOff>
      <xdr:row>14</xdr:row>
      <xdr:rowOff>63499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F47590-E9CB-B592-E84A-7DFC62B53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083" y="243417"/>
          <a:ext cx="1905000" cy="25399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103C25-1E4B-4FC9-B53F-F194C7FCF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2381</xdr:colOff>
      <xdr:row>13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0CE079-515C-01F9-F373-F386A9468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0025"/>
          <a:ext cx="1878806" cy="25050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276226</xdr:colOff>
      <xdr:row>12</xdr:row>
      <xdr:rowOff>47625</xdr:rowOff>
    </xdr:from>
    <xdr:to>
      <xdr:col>12</xdr:col>
      <xdr:colOff>30249</xdr:colOff>
      <xdr:row>14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E1A351-64B2-A768-2418-4A8976D46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6" y="2390775"/>
          <a:ext cx="344573" cy="3423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9525</xdr:colOff>
      <xdr:row>13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D58200-5EC5-09DD-CBAA-4306F73B2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885950" cy="2514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114300</xdr:colOff>
      <xdr:row>0</xdr:row>
      <xdr:rowOff>171450</xdr:rowOff>
    </xdr:from>
    <xdr:to>
      <xdr:col>17</xdr:col>
      <xdr:colOff>476250</xdr:colOff>
      <xdr:row>5</xdr:row>
      <xdr:rowOff>79913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FCF765-524B-4F2C-AB49-09E1F7FFE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75" y="171450"/>
          <a:ext cx="876300" cy="9085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152400</xdr:rowOff>
    </xdr:from>
    <xdr:to>
      <xdr:col>17</xdr:col>
      <xdr:colOff>457201</xdr:colOff>
      <xdr:row>5</xdr:row>
      <xdr:rowOff>51338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AC872D-8246-4184-8169-B8EEF714F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52400"/>
          <a:ext cx="876300" cy="90858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51243</xdr:rowOff>
    </xdr:from>
    <xdr:to>
      <xdr:col>13</xdr:col>
      <xdr:colOff>18677</xdr:colOff>
      <xdr:row>13</xdr:row>
      <xdr:rowOff>180974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F307E5-238F-1189-60D1-F5098BD4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2394393"/>
          <a:ext cx="313952" cy="3202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50D77A-06AA-4D28-B8D0-B9286E013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95349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161926</xdr:colOff>
      <xdr:row>12</xdr:row>
      <xdr:rowOff>72202</xdr:rowOff>
    </xdr:from>
    <xdr:to>
      <xdr:col>9</xdr:col>
      <xdr:colOff>161925</xdr:colOff>
      <xdr:row>13</xdr:row>
      <xdr:rowOff>187463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34B7C2-F1C2-049F-2B7C-7057CED75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1" y="2415352"/>
          <a:ext cx="361949" cy="3057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</xdr:rowOff>
    </xdr:from>
    <xdr:to>
      <xdr:col>4</xdr:col>
      <xdr:colOff>9524</xdr:colOff>
      <xdr:row>13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218061-B761-EC1A-17CF-BEFE28346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0026"/>
          <a:ext cx="1885949" cy="25145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B5134D-D6F2-45EC-81B5-0F4AB1835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47724"/>
        </a:xfrm>
        <a:prstGeom prst="rect">
          <a:avLst/>
        </a:prstGeom>
      </xdr:spPr>
    </xdr:pic>
    <xdr:clientData/>
  </xdr:twoCellAnchor>
  <xdr:twoCellAnchor editAs="oneCell">
    <xdr:from>
      <xdr:col>8</xdr:col>
      <xdr:colOff>129174</xdr:colOff>
      <xdr:row>12</xdr:row>
      <xdr:rowOff>19050</xdr:rowOff>
    </xdr:from>
    <xdr:to>
      <xdr:col>9</xdr:col>
      <xdr:colOff>257173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F178E0-8A7F-3DEC-20B3-0077E9A64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6299" y="2362200"/>
          <a:ext cx="489949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</xdr:row>
      <xdr:rowOff>1</xdr:rowOff>
    </xdr:from>
    <xdr:to>
      <xdr:col>4</xdr:col>
      <xdr:colOff>19049</xdr:colOff>
      <xdr:row>14</xdr:row>
      <xdr:rowOff>3176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428BC-9A24-0133-48AA-00C625476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90501"/>
          <a:ext cx="1895475" cy="2527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007CD9-B46D-423C-8D61-C402D27DE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47724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12</xdr:row>
      <xdr:rowOff>47625</xdr:rowOff>
    </xdr:from>
    <xdr:to>
      <xdr:col>11</xdr:col>
      <xdr:colOff>133348</xdr:colOff>
      <xdr:row>13</xdr:row>
      <xdr:rowOff>180973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BF68D3-C4B1-2592-A7A7-57CE88F1D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2390775"/>
          <a:ext cx="323848" cy="3238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D8656-6009-4F0C-8AEE-3B561CA00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38199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11</xdr:row>
      <xdr:rowOff>177361</xdr:rowOff>
    </xdr:from>
    <xdr:to>
      <xdr:col>11</xdr:col>
      <xdr:colOff>238125</xdr:colOff>
      <xdr:row>13</xdr:row>
      <xdr:rowOff>190499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D95404-9825-838A-1DF7-3BA13424F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330011"/>
          <a:ext cx="381000" cy="3941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4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3FE914-EE80-49A9-996A-F70FADAF4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19149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12</xdr:row>
      <xdr:rowOff>72866</xdr:rowOff>
    </xdr:from>
    <xdr:to>
      <xdr:col>11</xdr:col>
      <xdr:colOff>66674</xdr:colOff>
      <xdr:row>13</xdr:row>
      <xdr:rowOff>109727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5B2DA7-024A-D150-3F8B-AD4AFF088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416016"/>
          <a:ext cx="200024" cy="2273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</xdr:rowOff>
    </xdr:from>
    <xdr:to>
      <xdr:col>4</xdr:col>
      <xdr:colOff>19050</xdr:colOff>
      <xdr:row>14</xdr:row>
      <xdr:rowOff>3176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278379-BCAF-AA90-523E-3311A42DE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1"/>
          <a:ext cx="1895475" cy="2527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4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6CDD77-05CA-49BF-9D75-0DA3F9B92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19149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12</xdr:row>
      <xdr:rowOff>48323</xdr:rowOff>
    </xdr:from>
    <xdr:to>
      <xdr:col>11</xdr:col>
      <xdr:colOff>161924</xdr:colOff>
      <xdr:row>13</xdr:row>
      <xdr:rowOff>179450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E44876-03F8-1149-B67A-192E8254D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2391473"/>
          <a:ext cx="380999" cy="32162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4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3236B5-F547-4C6D-83DE-B7CBF40A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09624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12</xdr:row>
      <xdr:rowOff>28575</xdr:rowOff>
    </xdr:from>
    <xdr:to>
      <xdr:col>10</xdr:col>
      <xdr:colOff>161888</xdr:colOff>
      <xdr:row>13</xdr:row>
      <xdr:rowOff>171413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59314F-2A26-82BF-0382-37D58728D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2900" y="2371725"/>
          <a:ext cx="333338" cy="333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0F551A-D925-4952-8E51-4D30BC8D8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11</xdr:row>
      <xdr:rowOff>142875</xdr:rowOff>
    </xdr:from>
    <xdr:to>
      <xdr:col>11</xdr:col>
      <xdr:colOff>114299</xdr:colOff>
      <xdr:row>14</xdr:row>
      <xdr:rowOff>76199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B3F2B5-B4B8-0916-0088-A45953F34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100" y="2295525"/>
          <a:ext cx="504824" cy="50482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</xdr:row>
      <xdr:rowOff>6350</xdr:rowOff>
    </xdr:from>
    <xdr:to>
      <xdr:col>4</xdr:col>
      <xdr:colOff>9525</xdr:colOff>
      <xdr:row>14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6513A9-C58F-18A4-4C13-144B911AE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206375"/>
          <a:ext cx="1895475" cy="2527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BAC047-030B-45F0-BA43-027DE7BF1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12</xdr:row>
      <xdr:rowOff>0</xdr:rowOff>
    </xdr:from>
    <xdr:to>
      <xdr:col>12</xdr:col>
      <xdr:colOff>238124</xdr:colOff>
      <xdr:row>14</xdr:row>
      <xdr:rowOff>76199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4F06AF-2281-9FCF-0ADE-089F7BBBF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5825" y="2343150"/>
          <a:ext cx="457199" cy="4571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</xdr:row>
      <xdr:rowOff>9525</xdr:rowOff>
    </xdr:from>
    <xdr:to>
      <xdr:col>4</xdr:col>
      <xdr:colOff>19049</xdr:colOff>
      <xdr:row>13</xdr:row>
      <xdr:rowOff>190499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30FA5-5D88-A6B6-436A-3E71A9F9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09550"/>
          <a:ext cx="1885949" cy="25145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F560E-F2A0-4A37-A4EF-9BB39FB4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12</xdr:row>
      <xdr:rowOff>55553</xdr:rowOff>
    </xdr:from>
    <xdr:to>
      <xdr:col>12</xdr:col>
      <xdr:colOff>266700</xdr:colOff>
      <xdr:row>13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55909-2471-395F-4788-2F0C85368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0" y="2398703"/>
          <a:ext cx="514350" cy="2587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2381</xdr:colOff>
      <xdr:row>13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0F4959-6183-FB4E-518A-8CF280659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878806" cy="25050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76201</xdr:colOff>
      <xdr:row>0</xdr:row>
      <xdr:rowOff>123826</xdr:rowOff>
    </xdr:from>
    <xdr:to>
      <xdr:col>17</xdr:col>
      <xdr:colOff>438151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98137B-507D-4CA7-89C1-862C900EC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6" y="123826"/>
          <a:ext cx="876300" cy="885824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12</xdr:row>
      <xdr:rowOff>85725</xdr:rowOff>
    </xdr:from>
    <xdr:to>
      <xdr:col>9</xdr:col>
      <xdr:colOff>224084</xdr:colOff>
      <xdr:row>13</xdr:row>
      <xdr:rowOff>172509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4631D2-CB0A-478F-8445-18E327D09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428875"/>
          <a:ext cx="405059" cy="27728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4</xdr:col>
      <xdr:colOff>23814</xdr:colOff>
      <xdr:row>14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093D93-C0E1-8D2D-220E-6047A0F93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90500"/>
          <a:ext cx="1900238" cy="25336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3450BF-D963-44F5-9F43-D6A870B4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19149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11</xdr:row>
      <xdr:rowOff>161925</xdr:rowOff>
    </xdr:from>
    <xdr:to>
      <xdr:col>12</xdr:col>
      <xdr:colOff>228599</xdr:colOff>
      <xdr:row>14</xdr:row>
      <xdr:rowOff>38099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E2353-6741-4C73-9C70-4D6C15BB9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2314575"/>
          <a:ext cx="457199" cy="45719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78B223-6BDB-4BBD-8A79-B3308F88C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10</xdr:col>
      <xdr:colOff>15124</xdr:colOff>
      <xdr:row>12</xdr:row>
      <xdr:rowOff>57149</xdr:rowOff>
    </xdr:from>
    <xdr:to>
      <xdr:col>10</xdr:col>
      <xdr:colOff>266700</xdr:colOff>
      <xdr:row>13</xdr:row>
      <xdr:rowOff>156590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BCD2F3-A367-35DD-F6E7-A0AACAEE8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9474" y="2400299"/>
          <a:ext cx="251576" cy="289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</xdr:rowOff>
    </xdr:from>
    <xdr:to>
      <xdr:col>4</xdr:col>
      <xdr:colOff>16668</xdr:colOff>
      <xdr:row>14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DE5BE3-D72E-06CB-D0D5-58BC9A126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1"/>
          <a:ext cx="1893093" cy="25241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41813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C3B07D-0DAA-4B1E-865D-32967E63C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2862"/>
        </a:xfrm>
        <a:prstGeom prst="rect">
          <a:avLst/>
        </a:prstGeom>
      </xdr:spPr>
    </xdr:pic>
    <xdr:clientData/>
  </xdr:twoCellAnchor>
  <xdr:twoCellAnchor editAs="oneCell">
    <xdr:from>
      <xdr:col>9</xdr:col>
      <xdr:colOff>184250</xdr:colOff>
      <xdr:row>12</xdr:row>
      <xdr:rowOff>57150</xdr:rowOff>
    </xdr:from>
    <xdr:to>
      <xdr:col>10</xdr:col>
      <xdr:colOff>160547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48190A-93B5-2F38-BB2C-B2C9DE52A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3325" y="2400300"/>
          <a:ext cx="271572" cy="323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</xdr:rowOff>
    </xdr:from>
    <xdr:to>
      <xdr:col>4</xdr:col>
      <xdr:colOff>66675</xdr:colOff>
      <xdr:row>14</xdr:row>
      <xdr:rowOff>66676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0D3B7B-2DBF-6503-DDEF-E043FE7E2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1"/>
          <a:ext cx="1943100" cy="25908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7FA7-6686-4F50-BADB-06A512C1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12</xdr:row>
      <xdr:rowOff>85726</xdr:rowOff>
    </xdr:from>
    <xdr:to>
      <xdr:col>9</xdr:col>
      <xdr:colOff>257174</xdr:colOff>
      <xdr:row>13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D5DAAF-9364-C7A2-FA17-C46B6D523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7175" y="2428876"/>
          <a:ext cx="219074" cy="21907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8EEA3-1EE8-48D5-ACC7-BA2CDBF8B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12</xdr:row>
      <xdr:rowOff>39720</xdr:rowOff>
    </xdr:from>
    <xdr:to>
      <xdr:col>10</xdr:col>
      <xdr:colOff>285749</xdr:colOff>
      <xdr:row>13</xdr:row>
      <xdr:rowOff>156591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F3D1C7-BD6F-DB7E-3E6D-D8BD1EBB6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2382870"/>
          <a:ext cx="266699" cy="3073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</xdr:rowOff>
    </xdr:from>
    <xdr:to>
      <xdr:col>4</xdr:col>
      <xdr:colOff>9525</xdr:colOff>
      <xdr:row>13</xdr:row>
      <xdr:rowOff>180976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5181FA-718C-EF4B-1F2F-511443355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1"/>
          <a:ext cx="1885950" cy="2514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1EDE08-A494-4FC8-9C71-F5C153070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0009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47625</xdr:rowOff>
    </xdr:from>
    <xdr:to>
      <xdr:col>10</xdr:col>
      <xdr:colOff>131445</xdr:colOff>
      <xdr:row>13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260CCAB-B618-43F9-99A9-4ECB6CB23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9075" y="2390775"/>
          <a:ext cx="426720" cy="2857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4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6588D7-F0D8-4051-B5B5-1D4D8EAF1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0962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11</xdr:row>
      <xdr:rowOff>180975</xdr:rowOff>
    </xdr:from>
    <xdr:to>
      <xdr:col>12</xdr:col>
      <xdr:colOff>47625</xdr:colOff>
      <xdr:row>14</xdr:row>
      <xdr:rowOff>3613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F1C316-2544-4831-967C-293DB5324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333625"/>
          <a:ext cx="381000" cy="3941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4</xdr:col>
      <xdr:colOff>16670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28761C-D98B-975F-EEE5-4B0A9BC97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90500"/>
          <a:ext cx="1893094" cy="25241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1E494F-5B72-455E-9582-A222E6BD5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3819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11</xdr:row>
      <xdr:rowOff>161925</xdr:rowOff>
    </xdr:from>
    <xdr:to>
      <xdr:col>12</xdr:col>
      <xdr:colOff>238124</xdr:colOff>
      <xdr:row>14</xdr:row>
      <xdr:rowOff>47624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7CA3C6-545D-413F-8800-BD279C258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5825" y="2314575"/>
          <a:ext cx="457199" cy="4571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19050</xdr:colOff>
      <xdr:row>14</xdr:row>
      <xdr:rowOff>3175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FE5778-AB7F-D676-EEBE-F1EE393EE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895475" cy="2527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161926</xdr:rowOff>
    </xdr:from>
    <xdr:to>
      <xdr:col>17</xdr:col>
      <xdr:colOff>276226</xdr:colOff>
      <xdr:row>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78467-08A2-44E5-BCF8-3892BCB98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1" y="161926"/>
          <a:ext cx="876300" cy="819149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12</xdr:row>
      <xdr:rowOff>47625</xdr:rowOff>
    </xdr:from>
    <xdr:to>
      <xdr:col>12</xdr:col>
      <xdr:colOff>209550</xdr:colOff>
      <xdr:row>13</xdr:row>
      <xdr:rowOff>115897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B96328-0508-4A33-8846-E99A7626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2390775"/>
          <a:ext cx="514350" cy="25877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4</xdr:col>
      <xdr:colOff>16670</xdr:colOff>
      <xdr:row>14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E48CE5-1BA8-5008-BA69-14A7D2C79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200025"/>
          <a:ext cx="1893094" cy="25241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4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F55033-52CE-4DBB-ADC3-242788854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00099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11</xdr:row>
      <xdr:rowOff>152400</xdr:rowOff>
    </xdr:from>
    <xdr:to>
      <xdr:col>12</xdr:col>
      <xdr:colOff>209549</xdr:colOff>
      <xdr:row>14</xdr:row>
      <xdr:rowOff>38099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4BF34E-512E-4B7C-A47B-D98C245BC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0" y="2305050"/>
          <a:ext cx="457199" cy="4571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</xdr:row>
      <xdr:rowOff>9525</xdr:rowOff>
    </xdr:from>
    <xdr:to>
      <xdr:col>4</xdr:col>
      <xdr:colOff>38100</xdr:colOff>
      <xdr:row>14</xdr:row>
      <xdr:rowOff>12699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58A783-1D19-C3F3-2106-6E888F73C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1" y="200025"/>
          <a:ext cx="1895474" cy="25272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62BFC6-5646-4A06-BA4D-EBF63DB74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342901</xdr:colOff>
      <xdr:row>12</xdr:row>
      <xdr:rowOff>47625</xdr:rowOff>
    </xdr:from>
    <xdr:to>
      <xdr:col>10</xdr:col>
      <xdr:colOff>2</xdr:colOff>
      <xdr:row>13</xdr:row>
      <xdr:rowOff>171451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15B7AE-4529-329D-BB9F-84F766848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026" y="2390775"/>
          <a:ext cx="314326" cy="314326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</xdr:row>
      <xdr:rowOff>1</xdr:rowOff>
    </xdr:from>
    <xdr:to>
      <xdr:col>4</xdr:col>
      <xdr:colOff>16667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6CC277-DFDE-17F3-7ED7-EF2CE3054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90501"/>
          <a:ext cx="1893093" cy="25241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2F6F0-F573-4FBE-972B-B0E6E40B6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11</xdr:row>
      <xdr:rowOff>85725</xdr:rowOff>
    </xdr:from>
    <xdr:to>
      <xdr:col>12</xdr:col>
      <xdr:colOff>38098</xdr:colOff>
      <xdr:row>14</xdr:row>
      <xdr:rowOff>133348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125AF3-829E-68B0-B8AC-3A397C342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75" y="2238375"/>
          <a:ext cx="619123" cy="6191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9526</xdr:rowOff>
    </xdr:from>
    <xdr:to>
      <xdr:col>4</xdr:col>
      <xdr:colOff>9525</xdr:colOff>
      <xdr:row>14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2BD386-66A2-5867-F1EA-AD886286D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209551"/>
          <a:ext cx="1885949" cy="25145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C1E0BA-7A35-40F9-B607-04B8F5703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19149"/>
        </a:xfrm>
        <a:prstGeom prst="rect">
          <a:avLst/>
        </a:prstGeom>
      </xdr:spPr>
    </xdr:pic>
    <xdr:clientData/>
  </xdr:twoCellAnchor>
  <xdr:twoCellAnchor editAs="oneCell">
    <xdr:from>
      <xdr:col>9</xdr:col>
      <xdr:colOff>94484</xdr:colOff>
      <xdr:row>12</xdr:row>
      <xdr:rowOff>66675</xdr:rowOff>
    </xdr:from>
    <xdr:to>
      <xdr:col>11</xdr:col>
      <xdr:colOff>28338</xdr:colOff>
      <xdr:row>13</xdr:row>
      <xdr:rowOff>171317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30F31B-6AA0-7214-C28E-3C0346D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3559" y="2409825"/>
          <a:ext cx="524404" cy="295142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894668-E63F-4AE1-AE51-F38DFB252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19050</xdr:colOff>
      <xdr:row>14</xdr:row>
      <xdr:rowOff>3175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EF3453-E73B-BBE5-3934-85D2EA5D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895475" cy="2527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66676</xdr:colOff>
      <xdr:row>12</xdr:row>
      <xdr:rowOff>38100</xdr:rowOff>
    </xdr:from>
    <xdr:to>
      <xdr:col>10</xdr:col>
      <xdr:colOff>190501</xdr:colOff>
      <xdr:row>13</xdr:row>
      <xdr:rowOff>145859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6A2651-6BC1-7679-027C-7BF59063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1" y="2371725"/>
          <a:ext cx="419100" cy="29825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4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50C6EC-04BF-4E4C-B749-6461FD72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19149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600077</xdr:colOff>
      <xdr:row>1</xdr:row>
      <xdr:rowOff>1</xdr:rowOff>
    </xdr:from>
    <xdr:to>
      <xdr:col>4</xdr:col>
      <xdr:colOff>2</xdr:colOff>
      <xdr:row>13</xdr:row>
      <xdr:rowOff>180976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412497-09EF-B52A-5A7B-B7C91C1A4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7" y="200026"/>
          <a:ext cx="1885950" cy="2514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104775</xdr:colOff>
      <xdr:row>12</xdr:row>
      <xdr:rowOff>57150</xdr:rowOff>
    </xdr:from>
    <xdr:to>
      <xdr:col>11</xdr:col>
      <xdr:colOff>157269</xdr:colOff>
      <xdr:row>13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8A5526-3EE1-4054-7EF1-B3D2C4191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2390775"/>
          <a:ext cx="347769" cy="2857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B8C2D2-A618-463B-8203-43E439D7C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0</xdr:colOff>
      <xdr:row>13</xdr:row>
      <xdr:rowOff>168276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B15A43-36A7-4A85-EE7F-34DFBDC0B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876425" cy="25019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AF58A3-E8F2-445C-9A46-E0D6D6E7D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7629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12</xdr:row>
      <xdr:rowOff>36157</xdr:rowOff>
    </xdr:from>
    <xdr:to>
      <xdr:col>11</xdr:col>
      <xdr:colOff>123824</xdr:colOff>
      <xdr:row>13</xdr:row>
      <xdr:rowOff>166108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1FBC5A-8DD0-7372-71D4-894A36D6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2379307"/>
          <a:ext cx="323849" cy="3204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4</xdr:col>
      <xdr:colOff>2382</xdr:colOff>
      <xdr:row>13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8D1EA9-64F4-6605-024E-1B9B0F7F1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90500"/>
          <a:ext cx="1878806" cy="25050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028C32-51DF-44DF-9D87-A6F1BE230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12</xdr:row>
      <xdr:rowOff>47625</xdr:rowOff>
    </xdr:from>
    <xdr:to>
      <xdr:col>10</xdr:col>
      <xdr:colOff>226695</xdr:colOff>
      <xdr:row>13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5D6825-A06A-44D9-AECE-A85016E03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4325" y="2390775"/>
          <a:ext cx="426720" cy="2857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136D64-A0EC-4A46-8775-3C5135CF1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10</xdr:col>
      <xdr:colOff>30014</xdr:colOff>
      <xdr:row>12</xdr:row>
      <xdr:rowOff>94297</xdr:rowOff>
    </xdr:from>
    <xdr:to>
      <xdr:col>11</xdr:col>
      <xdr:colOff>66675</xdr:colOff>
      <xdr:row>13</xdr:row>
      <xdr:rowOff>134492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A45E1D-6D2E-3B25-78D9-BF0331EF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364" y="2437447"/>
          <a:ext cx="331936" cy="2306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1</xdr:rowOff>
    </xdr:from>
    <xdr:to>
      <xdr:col>4</xdr:col>
      <xdr:colOff>9526</xdr:colOff>
      <xdr:row>13</xdr:row>
      <xdr:rowOff>180976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2FB572-D191-2572-E6FD-A4A54ED1A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90501"/>
          <a:ext cx="1885950" cy="2514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DC8B25-B499-43E0-9743-3F0363290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47724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12</xdr:row>
      <xdr:rowOff>47625</xdr:rowOff>
    </xdr:from>
    <xdr:to>
      <xdr:col>12</xdr:col>
      <xdr:colOff>257175</xdr:colOff>
      <xdr:row>13</xdr:row>
      <xdr:rowOff>115897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3EFDD-86E1-45DF-A95C-CA6D82CE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7725" y="2390775"/>
          <a:ext cx="514350" cy="258772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4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96F3F9-546F-46AE-8A85-CACEA504D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11</xdr:col>
      <xdr:colOff>29315</xdr:colOff>
      <xdr:row>12</xdr:row>
      <xdr:rowOff>66675</xdr:rowOff>
    </xdr:from>
    <xdr:to>
      <xdr:col>12</xdr:col>
      <xdr:colOff>161924</xdr:colOff>
      <xdr:row>13</xdr:row>
      <xdr:rowOff>137541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15FD74-91FA-4E71-92EC-C2C682DDA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940" y="2409825"/>
          <a:ext cx="427884" cy="26136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4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9223E-65C5-44AC-BEDA-1DC7B163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19149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12</xdr:row>
      <xdr:rowOff>47625</xdr:rowOff>
    </xdr:from>
    <xdr:to>
      <xdr:col>10</xdr:col>
      <xdr:colOff>217170</xdr:colOff>
      <xdr:row>13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FBFC82-B595-4067-9C74-D731BA67A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2390775"/>
          <a:ext cx="426720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</xdr:row>
      <xdr:rowOff>1</xdr:rowOff>
    </xdr:from>
    <xdr:to>
      <xdr:col>4</xdr:col>
      <xdr:colOff>9525</xdr:colOff>
      <xdr:row>14</xdr:row>
      <xdr:rowOff>3177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FB5284-222D-0457-67EC-D74CDAFA1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200026"/>
          <a:ext cx="1895475" cy="25273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AD7EE-AED5-4478-B6F5-EB0FA1D1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66774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342900</xdr:colOff>
      <xdr:row>12</xdr:row>
      <xdr:rowOff>28575</xdr:rowOff>
    </xdr:from>
    <xdr:to>
      <xdr:col>10</xdr:col>
      <xdr:colOff>19050</xdr:colOff>
      <xdr:row>13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2B3215-32F9-059E-FC62-4178E0B8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025" y="2371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4</xdr:col>
      <xdr:colOff>2382</xdr:colOff>
      <xdr:row>13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56B799-E111-5768-420D-3C06CC0C3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90500"/>
          <a:ext cx="1878806" cy="25050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4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3CC27D-B133-4419-AEFC-CC90838B6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9</xdr:col>
      <xdr:colOff>243945</xdr:colOff>
      <xdr:row>12</xdr:row>
      <xdr:rowOff>38099</xdr:rowOff>
    </xdr:from>
    <xdr:to>
      <xdr:col>10</xdr:col>
      <xdr:colOff>257174</xdr:colOff>
      <xdr:row>13</xdr:row>
      <xdr:rowOff>161924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0F7D1F-F5B3-057B-0D0D-BDD2B6EDB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3020" y="2381249"/>
          <a:ext cx="308504" cy="31432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BBCDE2-52A5-4862-9ABE-F269AEA8B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3</xdr:col>
      <xdr:colOff>283369</xdr:colOff>
      <xdr:row>13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9375D-77C1-BAD7-C98D-C0CC33A80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864519" cy="24860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941D28-6306-4717-AEB0-34F9B8A0E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38199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11</xdr:row>
      <xdr:rowOff>161925</xdr:rowOff>
    </xdr:from>
    <xdr:to>
      <xdr:col>12</xdr:col>
      <xdr:colOff>209549</xdr:colOff>
      <xdr:row>14</xdr:row>
      <xdr:rowOff>47624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0F1695-0386-4417-AF50-5F088E226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0" y="2314575"/>
          <a:ext cx="457199" cy="45719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CE2AC-E5C4-436E-AA3E-91A8A0187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76299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12</xdr:row>
      <xdr:rowOff>32904</xdr:rowOff>
    </xdr:from>
    <xdr:to>
      <xdr:col>11</xdr:col>
      <xdr:colOff>184793</xdr:colOff>
      <xdr:row>13</xdr:row>
      <xdr:rowOff>163835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CA5B49-5EA9-EDC9-4F01-C876C9595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376054"/>
          <a:ext cx="441968" cy="3214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</xdr:rowOff>
    </xdr:from>
    <xdr:to>
      <xdr:col>4</xdr:col>
      <xdr:colOff>9524</xdr:colOff>
      <xdr:row>13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612FDC-A6E5-EE2C-428C-5BF5ED9BE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1"/>
          <a:ext cx="1885949" cy="25145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CF8417-459D-4778-A291-0DF5F1874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11</xdr:row>
      <xdr:rowOff>133350</xdr:rowOff>
    </xdr:from>
    <xdr:to>
      <xdr:col>11</xdr:col>
      <xdr:colOff>114300</xdr:colOff>
      <xdr:row>14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EAB98A-3B66-F938-F065-D75F61B6B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8625" y="228600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</xdr:rowOff>
    </xdr:from>
    <xdr:to>
      <xdr:col>4</xdr:col>
      <xdr:colOff>19050</xdr:colOff>
      <xdr:row>14</xdr:row>
      <xdr:rowOff>3176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F3CAB8-A70E-FE6C-6293-D5822EA30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1"/>
          <a:ext cx="1895475" cy="2527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07C8F9-9D5D-4AEE-8E5A-64DEC7F96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  <xdr:twoCellAnchor editAs="oneCell">
    <xdr:from>
      <xdr:col>11</xdr:col>
      <xdr:colOff>288364</xdr:colOff>
      <xdr:row>12</xdr:row>
      <xdr:rowOff>57150</xdr:rowOff>
    </xdr:from>
    <xdr:to>
      <xdr:col>12</xdr:col>
      <xdr:colOff>276224</xdr:colOff>
      <xdr:row>13</xdr:row>
      <xdr:rowOff>155448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7406BA-E33D-460C-82DD-9D2C4056D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7989" y="2400300"/>
          <a:ext cx="283135" cy="28879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209CD5-E556-4103-94ED-CD02140F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2867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E4FB9A-DB67-4B6A-8A64-835553F3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76299"/>
        </a:xfrm>
        <a:prstGeom prst="rect">
          <a:avLst/>
        </a:prstGeom>
      </xdr:spPr>
    </xdr:pic>
    <xdr:clientData/>
  </xdr:twoCellAnchor>
  <xdr:twoCellAnchor editAs="oneCell">
    <xdr:from>
      <xdr:col>11</xdr:col>
      <xdr:colOff>9524</xdr:colOff>
      <xdr:row>12</xdr:row>
      <xdr:rowOff>76962</xdr:rowOff>
    </xdr:from>
    <xdr:to>
      <xdr:col>12</xdr:col>
      <xdr:colOff>19048</xdr:colOff>
      <xdr:row>13</xdr:row>
      <xdr:rowOff>140751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9DE295-12DC-48D6-AE58-0A583B28C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49" y="2420112"/>
          <a:ext cx="304799" cy="25428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4</xdr:col>
      <xdr:colOff>9526</xdr:colOff>
      <xdr:row>13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3E45C8-AF93-E498-8824-9811CA821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90500"/>
          <a:ext cx="1885950" cy="2514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95251</xdr:colOff>
      <xdr:row>0</xdr:row>
      <xdr:rowOff>171451</xdr:rowOff>
    </xdr:from>
    <xdr:to>
      <xdr:col>17</xdr:col>
      <xdr:colOff>457201</xdr:colOff>
      <xdr:row>5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DA788-2C85-42C7-8F8A-A34F2EDC9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6" y="171451"/>
          <a:ext cx="876300" cy="857249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276224</xdr:colOff>
      <xdr:row>12</xdr:row>
      <xdr:rowOff>89534</xdr:rowOff>
    </xdr:from>
    <xdr:to>
      <xdr:col>12</xdr:col>
      <xdr:colOff>171449</xdr:colOff>
      <xdr:row>13</xdr:row>
      <xdr:rowOff>138683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B8A386-1C95-0484-7BE9-4640576BF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4" y="2432684"/>
          <a:ext cx="485775" cy="2396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19050</xdr:colOff>
      <xdr:row>14</xdr:row>
      <xdr:rowOff>3175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2BC4EB-B010-B6FE-3099-DE24312A7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0025"/>
          <a:ext cx="1895475" cy="2527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8970D8-9907-43B4-9AA8-BA3A60BE740D}" name="Table1" displayName="Table1" ref="A1:P52" totalsRowShown="0">
  <autoFilter ref="A1:P52" xr:uid="{7B8970D8-9907-43B4-9AA8-BA3A60BE740D}"/>
  <sortState xmlns:xlrd2="http://schemas.microsoft.com/office/spreadsheetml/2017/richdata2" ref="A2:P51">
    <sortCondition ref="D1:D51"/>
  </sortState>
  <tableColumns count="16">
    <tableColumn id="1" xr3:uid="{4A4640ED-2EB6-4B3B-BDD4-6B8C4F589DB6}" name="PLAYER">
      <calculatedColumnFormula>RIGHT(D2,LEN(D2)-(FIND(",",D2)+1)) &amp; " " &amp; LEFT(D2,(FIND(",",D2,1)-1))</calculatedColumnFormula>
    </tableColumn>
    <tableColumn id="2" xr3:uid="{DA5E3220-F363-4DF9-ADA1-241C5846647E}" name="#" dataDxfId="8"/>
    <tableColumn id="3" xr3:uid="{F12BE901-D77C-49CD-88A6-BA3C7BBCC548}" name="POS" dataDxfId="7"/>
    <tableColumn id="4" xr3:uid="{5CD1679F-D434-4753-971E-65810CF5982B}" name="PLAYERraw"/>
    <tableColumn id="5" xr3:uid="{02E564D3-89D6-489A-AACE-962E1D1B8D5B}" name="B/T" dataDxfId="6"/>
    <tableColumn id="6" xr3:uid="{EABE1B1F-73FF-4766-95F6-625509675A69}" name="H-T" dataDxfId="5"/>
    <tableColumn id="7" xr3:uid="{1C53FF08-15B5-4EF3-BD9D-13ED6568DF9C}" name="W-T" dataDxfId="4"/>
    <tableColumn id="13" xr3:uid="{BD4A193A-C96F-4B78-A333-FEF8A7C8A8A5}" name="DOB" dataDxfId="3"/>
    <tableColumn id="8" xr3:uid="{C986F92E-1119-4B09-9A8D-B0743165BC08}" name="COLLEGE"/>
    <tableColumn id="9" xr3:uid="{BA7DFF51-798A-4CBB-A224-0274C863BE51}" name="Col Coord"/>
    <tableColumn id="10" xr3:uid="{3598F9A6-1F54-420F-AE59-D1E051E96F4C}" name="CLASS" dataDxfId="2"/>
    <tableColumn id="11" xr3:uid="{BD224A4A-CFB6-4208-8609-D3EF5E6975A9}" name="HOMETOWN"/>
    <tableColumn id="12" xr3:uid="{CB0B30DC-9BB3-4065-9DDD-2BED57A57014}" name="HT Coord"/>
    <tableColumn id="14" xr3:uid="{EBFD86C8-A576-4CDB-AC2C-5850E7C0D574}" name="College Source"/>
    <tableColumn id="17" xr3:uid="{837970D4-59CC-47FB-B510-0184ED659B28}" name="Summer Source"/>
    <tableColumn id="16" xr3:uid="{3A4188A6-783E-499A-BD76-C65B32814BD1}" name="Long School" dataDxfId="1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5163B8-F92F-4EF4-B6D4-1FD47DE8E76D}" name="Table2" displayName="Table2" ref="A1:AK36" totalsRowShown="0">
  <autoFilter ref="A1:AK36" xr:uid="{095163B8-F92F-4EF4-B6D4-1FD47DE8E76D}"/>
  <tableColumns count="37">
    <tableColumn id="1" xr3:uid="{A689808A-0EEF-4979-9592-8680CBFCD269}" name="1"/>
    <tableColumn id="2" xr3:uid="{694B7B81-07D2-4C34-92C4-4067E70F6312}" name="2"/>
    <tableColumn id="3" xr3:uid="{9096184F-58D7-404D-AAB5-FF7E4F34E521}" name="3"/>
    <tableColumn id="4" xr3:uid="{C0BE461C-AF7A-4214-B39E-2440197CD8D4}" name="4"/>
    <tableColumn id="5" xr3:uid="{92CBEE85-C4AB-4E0C-827A-6DE3AA7BF192}" name="5"/>
    <tableColumn id="6" xr3:uid="{DE134821-0C33-4439-8C79-D6F4CD478F26}" name="6"/>
    <tableColumn id="7" xr3:uid="{C1E4D5A4-4D4C-4B1A-8D60-A725B248AAFD}" name="7"/>
    <tableColumn id="8" xr3:uid="{CDC7A7CC-4780-4A07-BA8B-D028FB1A1322}" name="8"/>
    <tableColumn id="9" xr3:uid="{239A05F8-7258-424F-A0C8-E6F4EF416F6F}" name="9"/>
    <tableColumn id="10" xr3:uid="{A5157F35-5952-40EE-A3AF-2A7AAAA32846}" name="10"/>
    <tableColumn id="11" xr3:uid="{C4B7313A-6255-499A-A528-8DA24227707B}" name="11"/>
    <tableColumn id="12" xr3:uid="{4C1995F4-CAB6-447F-9059-8A76AEAF218C}" name="12"/>
    <tableColumn id="13" xr3:uid="{6915F8B1-4B9F-469C-BDC1-C9BEC0AB51BA}" name="13"/>
    <tableColumn id="14" xr3:uid="{806FB727-CDEC-4EC4-B760-3B4D63847310}" name="14"/>
    <tableColumn id="15" xr3:uid="{CD291924-DA30-4756-B53B-42A87795C4AF}" name="15"/>
    <tableColumn id="16" xr3:uid="{C3B2C2AA-77AC-4FF6-B45A-7158AB423CC3}" name="16"/>
    <tableColumn id="17" xr3:uid="{4A6B04AF-85E8-4144-AC27-11DCEBDD888B}" name="17"/>
    <tableColumn id="18" xr3:uid="{BBB8AE59-DB06-4A0E-94D6-5CA4E0C4F9C5}" name="18"/>
    <tableColumn id="19" xr3:uid="{C15ADA2E-70A4-46C9-9E50-989EE2E8ACA1}" name="19"/>
    <tableColumn id="20" xr3:uid="{28143A53-38D1-4EB6-8D56-1A293E512170}" name="20"/>
    <tableColumn id="21" xr3:uid="{2AD6218A-E12B-4116-9C93-265CE5782EF5}" name="21"/>
    <tableColumn id="22" xr3:uid="{25605A33-00C9-45AD-A3CC-9BA29E4C2395}" name="22"/>
    <tableColumn id="23" xr3:uid="{78CD125B-EF41-46CA-B155-004B552B05D9}" name="23"/>
    <tableColumn id="24" xr3:uid="{6FDA7301-FF6D-4778-96E8-40E9B24A7431}" name="24"/>
    <tableColumn id="25" xr3:uid="{EE0E9AB5-3CE0-4695-B875-DEF2847F737E}" name="25"/>
    <tableColumn id="26" xr3:uid="{CB03B46C-2EE9-4EF0-B775-B27DC8E7FD9F}" name="26"/>
    <tableColumn id="27" xr3:uid="{E06B72CD-3252-4BB4-AF30-167F5293D6BA}" name="27"/>
    <tableColumn id="28" xr3:uid="{2F6BF9D5-D7B5-4ECD-A270-E5F5026B7CF9}" name="28"/>
    <tableColumn id="29" xr3:uid="{0B8933E8-5868-41A4-8F32-44518374490B}" name="29"/>
    <tableColumn id="30" xr3:uid="{24638C5C-0538-4A13-AB95-DB46AF0CB933}" name="30"/>
    <tableColumn id="31" xr3:uid="{CB0ED51A-E67F-4965-B5CC-19E19CB11D24}" name="31"/>
    <tableColumn id="32" xr3:uid="{578D84D8-D6CC-4461-966E-28E83B4EF32C}" name="32"/>
    <tableColumn id="33" xr3:uid="{C03F394A-36E3-45BC-8238-F90E50C25BF0}" name="33"/>
    <tableColumn id="34" xr3:uid="{7743A378-559A-479E-984A-08A8EF3E4DCC}" name="34"/>
    <tableColumn id="35" xr3:uid="{FF0CE082-9720-416B-946F-03B83C9A87AA}" name="35"/>
    <tableColumn id="36" xr3:uid="{2874920E-B1DA-47A7-8266-DD278075BA82}" name="36"/>
    <tableColumn id="37" xr3:uid="{658956B5-DFA5-4D6B-A75D-ADAB3CDF5582}" name="37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570C456-5B31-4B0F-AA74-E05FD13B02F5}" name="Table4" displayName="Table4" ref="A1:AD24" totalsRowShown="0">
  <autoFilter ref="A1:AD24" xr:uid="{8570C456-5B31-4B0F-AA74-E05FD13B02F5}"/>
  <tableColumns count="30">
    <tableColumn id="1" xr3:uid="{EBDCEB5A-6EBF-407E-809B-103853A8271E}" name="1"/>
    <tableColumn id="2" xr3:uid="{6E0DE00C-ABE2-424A-AD30-13A860D37824}" name="2"/>
    <tableColumn id="18" xr3:uid="{9777EE1F-CA03-4D74-B4B4-F97AC01FB29D}" name="18"/>
    <tableColumn id="3" xr3:uid="{E7E2F834-DD8E-407B-8497-2B4E38B5E89C}" name="3"/>
    <tableColumn id="4" xr3:uid="{B7AD0497-6733-4C4D-B168-F74AA1B5BAD1}" name="4"/>
    <tableColumn id="5" xr3:uid="{081B825B-1AB1-4109-AB44-354A99A74FB5}" name="5"/>
    <tableColumn id="6" xr3:uid="{5B53F8FB-81F5-47DA-8434-28B9ECC5E2C8}" name="6"/>
    <tableColumn id="7" xr3:uid="{118D04FF-7AC6-4044-AD9B-2C4CDA16C5DB}" name="7"/>
    <tableColumn id="8" xr3:uid="{E8A79BCC-9234-471F-A553-2151050861E3}" name="8"/>
    <tableColumn id="9" xr3:uid="{BC878962-2B06-4D02-939A-CE6D7623AFF1}" name="9"/>
    <tableColumn id="10" xr3:uid="{84C0F5D8-5A0B-4516-A162-89660D692C86}" name="10"/>
    <tableColumn id="11" xr3:uid="{8C0FEABE-CCC3-4539-8FF9-9CA9BD51184B}" name="11"/>
    <tableColumn id="12" xr3:uid="{064A6230-7025-4289-9DE4-049A8E4BCEF1}" name="12"/>
    <tableColumn id="13" xr3:uid="{451F8AD3-1D88-4816-8903-D9E1CE55F5FD}" name="13"/>
    <tableColumn id="14" xr3:uid="{FC8F6301-D504-4DAF-92FC-30977F8CA46C}" name="14"/>
    <tableColumn id="15" xr3:uid="{D0E0D6AF-1637-4A86-9D87-50A0C237EB62}" name="15"/>
    <tableColumn id="16" xr3:uid="{C0AB2F95-C6FC-4DB6-8CD7-48A5F8AA3E17}" name="16"/>
    <tableColumn id="17" xr3:uid="{26DDB009-3258-419C-A2DF-CBE77A91990E}" name="17"/>
    <tableColumn id="19" xr3:uid="{01F04E65-068D-40EE-BE82-43C794BEB3C6}" name="172"/>
    <tableColumn id="20" xr3:uid="{501EDD63-A309-470B-B60A-20557F6C1B0F}" name="173"/>
    <tableColumn id="21" xr3:uid="{92E9C4EB-3328-482E-9F7C-97D1D8498446}" name="174"/>
    <tableColumn id="22" xr3:uid="{E61DE7C7-0B91-49E6-90F5-15BF8C4A225F}" name="175"/>
    <tableColumn id="23" xr3:uid="{311FB964-AE29-4D37-8689-6866BEF17D68}" name="176"/>
    <tableColumn id="24" xr3:uid="{39525BF7-1AA3-4DEF-9EC1-1F7DCDB1A221}" name="177"/>
    <tableColumn id="25" xr3:uid="{81A0C210-D681-4B2E-89A8-490EFADA6AA2}" name="178"/>
    <tableColumn id="26" xr3:uid="{44F767EC-4976-4BDF-9072-90B57EE569A0}" name="179"/>
    <tableColumn id="27" xr3:uid="{42F96F6F-2286-46E4-9907-91B89AC13BF0}" name="180"/>
    <tableColumn id="28" xr3:uid="{ECFAD6E8-0C99-434D-8B04-728C815C4C20}" name="181"/>
    <tableColumn id="29" xr3:uid="{51A46EAE-39E7-43A7-9F2D-176F9B7468B1}" name="182"/>
    <tableColumn id="30" xr3:uid="{5B3416ED-61FC-4792-87A5-FDB1B5A2CA5C}" name="183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DC9156-DFBC-4416-9EF1-DE4626BF2533}" name="Table3" displayName="Table3" ref="A1:AK18" totalsRowShown="0" headerRowDxfId="0">
  <autoFilter ref="A1:AK18" xr:uid="{71DC9156-DFBC-4416-9EF1-DE4626BF2533}"/>
  <tableColumns count="37">
    <tableColumn id="1" xr3:uid="{D6F11CA1-8CEE-44F5-843C-CFE2BECC64C2}" name="Name"/>
    <tableColumn id="2" xr3:uid="{F5615E32-0060-4C39-9ADA-8DA49D7E6AF5}" name="Year"/>
    <tableColumn id="3" xr3:uid="{D5841F3C-911A-4680-97C6-DAEE1E430780}" name="Age"/>
    <tableColumn id="4" xr3:uid="{4D2ACA49-A0E4-4651-AA25-87A50873ECDA}" name="AgeDif"/>
    <tableColumn id="5" xr3:uid="{59F5321A-45DD-4CB4-B56E-6AE4C508BC36}" name="Tm"/>
    <tableColumn id="6" xr3:uid="{04B67C72-DE15-4A6C-93BA-D021F1493D05}" name="Lg"/>
    <tableColumn id="7" xr3:uid="{60E01184-4A5F-4541-8C48-521584779F29}" name="Lev"/>
    <tableColumn id="8" xr3:uid="{E95AA8F5-BB24-439E-B1A4-F566446DABAA}" name="Aff"/>
    <tableColumn id="9" xr3:uid="{50586C2E-9169-4C88-823F-D6125774999B}" name="W"/>
    <tableColumn id="10" xr3:uid="{8729A607-4A94-4EC9-B51B-4FDD8AFED694}" name="L"/>
    <tableColumn id="11" xr3:uid="{45057B13-DCA3-4DB4-BD54-DA38632CC1EF}" name="W-L%"/>
    <tableColumn id="12" xr3:uid="{A358E51D-46BB-41DC-8367-630BE9340695}" name="ERA"/>
    <tableColumn id="13" xr3:uid="{72901F52-40B0-48A6-ABB6-05877BA7639D}" name="RA9"/>
    <tableColumn id="14" xr3:uid="{97719768-6ED4-4FE7-AA46-38973D1329BE}" name="G"/>
    <tableColumn id="15" xr3:uid="{D1F3320E-2439-43B1-B5B9-DE12ADFF996C}" name="GS"/>
    <tableColumn id="16" xr3:uid="{6E512D8C-BB56-47B0-BF55-7186325FEB88}" name="GF"/>
    <tableColumn id="17" xr3:uid="{958CC159-AD8F-4B3F-99D8-D4E6755AF2FC}" name="CG"/>
    <tableColumn id="18" xr3:uid="{0AA218E5-195D-4656-809B-335FFB6FE967}" name="SHO"/>
    <tableColumn id="19" xr3:uid="{5A2568E8-3BA5-4960-B90D-F011E47ADEF5}" name="SV"/>
    <tableColumn id="20" xr3:uid="{095C333D-B3F9-4D4F-8E29-FB3DC8CA16C7}" name="IP"/>
    <tableColumn id="21" xr3:uid="{33401B26-0DF7-4529-A5A1-55E80D3E4684}" name="H"/>
    <tableColumn id="22" xr3:uid="{EDB3B0BD-D851-4596-8991-6D05B43E2CF8}" name="R"/>
    <tableColumn id="23" xr3:uid="{94C4C597-5AA9-4B45-85C6-9D2CABFDF421}" name="ER"/>
    <tableColumn id="24" xr3:uid="{DE81F6A0-D5A5-46EA-9C83-4BDB97E79072}" name="HR"/>
    <tableColumn id="25" xr3:uid="{F65E6164-AAAA-4012-AF4C-85E9211047F4}" name="BB"/>
    <tableColumn id="26" xr3:uid="{470A8E49-BBB1-461B-8BFE-14D58DEB64B2}" name="IBB"/>
    <tableColumn id="27" xr3:uid="{7DF5786E-0B6B-4502-9AB2-0AA2ABE1B777}" name="SO"/>
    <tableColumn id="28" xr3:uid="{FCA4A1C3-0075-43DA-9725-5850DD2E4E51}" name="HBP"/>
    <tableColumn id="29" xr3:uid="{50A869D5-A737-48D4-B27C-F981F9A3F9BD}" name="BK"/>
    <tableColumn id="30" xr3:uid="{A01DB370-D195-436C-830C-D3E9A934F989}" name="WP"/>
    <tableColumn id="31" xr3:uid="{367D86FC-75D8-457B-9F8C-90819493E565}" name="BF"/>
    <tableColumn id="32" xr3:uid="{B54362DA-13BC-46D8-B775-DFD765683FD4}" name="WHIP"/>
    <tableColumn id="33" xr3:uid="{4B5CD5A2-48F5-4B75-BB10-12B9CBBF85A0}" name="H9"/>
    <tableColumn id="34" xr3:uid="{6F86E47D-02EB-4E9F-AA15-8A1DAA86277F}" name="HR9"/>
    <tableColumn id="35" xr3:uid="{0987E334-69C6-43F1-960B-8760C33EE560}" name="BB9"/>
    <tableColumn id="36" xr3:uid="{8EEE7AF1-A69A-44C7-8581-69B529DE73B0}" name="SO9"/>
    <tableColumn id="37" xr3:uid="{84397527-FCE3-4A11-BA2E-AAC65E9357D0}" name="SO/W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D5F6C95-3965-4CA0-A509-1B3041468D36}" name="Table5" displayName="Table5" ref="A1:AE15" totalsRowShown="0">
  <autoFilter ref="A1:AE15" xr:uid="{3D5F6C95-3965-4CA0-A509-1B3041468D36}"/>
  <tableColumns count="31">
    <tableColumn id="1" xr3:uid="{C08C81A2-79BD-4142-AC95-DA0BD5EF77AB}" name="Name"/>
    <tableColumn id="2" xr3:uid="{9462D501-E3E1-4509-BD1F-9E18DAD759C3}" name="Year"/>
    <tableColumn id="3" xr3:uid="{C8CE198A-DFC5-49A1-820C-D57AD3741837}" name="Age"/>
    <tableColumn id="4" xr3:uid="{CD83A5BF-D457-4B71-9766-EC28275AF96C}" name="AgeDif"/>
    <tableColumn id="5" xr3:uid="{64E9AD51-73EB-47AD-AC02-8BC59AC9A723}" name="Tm"/>
    <tableColumn id="6" xr3:uid="{F1EFC49F-0AA0-4EC0-A520-B36038F6D298}" name="Lg"/>
    <tableColumn id="7" xr3:uid="{53A59684-3907-4E95-9359-9CB833A1465C}" name="Lev"/>
    <tableColumn id="8" xr3:uid="{17454F84-06E2-44D7-BF3D-7A6C460A4DE6}" name="Aff"/>
    <tableColumn id="9" xr3:uid="{B6247C98-104B-4A34-A388-0783F1CDA7A7}" name="G"/>
    <tableColumn id="10" xr3:uid="{A49DDB1F-F9F4-4B18-86EA-0C1995D5646F}" name="PA"/>
    <tableColumn id="11" xr3:uid="{D4717912-08E1-4FA9-A144-4846DCFCDCCD}" name="AB"/>
    <tableColumn id="12" xr3:uid="{CF249062-66AC-4762-A23B-2BED3A4F132E}" name="R"/>
    <tableColumn id="13" xr3:uid="{FE3AA4C8-0888-4A09-8678-4A5138986481}" name="H"/>
    <tableColumn id="14" xr3:uid="{96EAF0D6-A142-41F2-BA94-6F69A515A32A}" name="2B"/>
    <tableColumn id="15" xr3:uid="{15289FF6-447F-4B6F-8F8D-BF92BDCD85B9}" name="3B"/>
    <tableColumn id="16" xr3:uid="{E8FB0CFD-0B71-41DB-A394-CC212C728BE7}" name="HR"/>
    <tableColumn id="17" xr3:uid="{EEA94E7E-102A-49E7-95DC-AB47F5355D1F}" name="RBI"/>
    <tableColumn id="18" xr3:uid="{3645E8F2-3B56-4489-BD39-5F0444FA34B5}" name="SB"/>
    <tableColumn id="19" xr3:uid="{F21ED6DB-1AE9-42F2-BAB1-2DB028EDA58B}" name="CS"/>
    <tableColumn id="20" xr3:uid="{B410B32C-0696-4CDA-A1DB-17D92012C12F}" name="BB"/>
    <tableColumn id="21" xr3:uid="{D1B83C4A-D17D-49EA-B7C7-EE2BAA063DE4}" name="SO"/>
    <tableColumn id="22" xr3:uid="{23C84AD7-9CFD-4A87-A572-679C3E318911}" name="BA"/>
    <tableColumn id="23" xr3:uid="{64A9F2BA-B49B-4AA1-BD3A-F3C1D3D13150}" name="OBP"/>
    <tableColumn id="24" xr3:uid="{F3D2078A-B2CF-4C1B-9D54-FF7A48448F93}" name="SLG"/>
    <tableColumn id="25" xr3:uid="{E06C5C85-F43A-4397-8C91-412B9AC20739}" name="OPS"/>
    <tableColumn id="26" xr3:uid="{EE58EE14-E14F-4FB1-A158-22E7543759E0}" name="TB"/>
    <tableColumn id="27" xr3:uid="{5E57F306-5828-4CBC-B1F4-BB1F2C40A810}" name="GDP"/>
    <tableColumn id="28" xr3:uid="{A268AEA7-CDD6-4961-882E-9122FC581BC6}" name="HBP"/>
    <tableColumn id="29" xr3:uid="{7424CD23-3F82-49C3-ABE3-DA51077C18DE}" name="SH"/>
    <tableColumn id="30" xr3:uid="{0C296867-2FDE-4886-8D18-FEE6A18AF92E}" name="SF"/>
    <tableColumn id="31" xr3:uid="{F50DDF74-90EE-4CC7-A61E-B79CC76EC4EA}" name="IBB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5F117-F5A5-4748-8F2A-3774623FA9FD}">
  <dimension ref="A1:R52"/>
  <sheetViews>
    <sheetView topLeftCell="A22" workbookViewId="0">
      <pane xSplit="1" topLeftCell="B1" activePane="topRight" state="frozen"/>
      <selection pane="topRight" activeCell="I34" sqref="I34"/>
    </sheetView>
  </sheetViews>
  <sheetFormatPr defaultRowHeight="15" x14ac:dyDescent="0.25"/>
  <cols>
    <col min="1" max="1" width="18.28515625" customWidth="1"/>
    <col min="2" max="2" width="4.140625" style="1" customWidth="1"/>
    <col min="3" max="3" width="22.28515625" style="5" customWidth="1"/>
    <col min="4" max="4" width="18.28515625" customWidth="1"/>
    <col min="5" max="7" width="9.140625" style="1"/>
    <col min="8" max="8" width="22.140625" style="12" customWidth="1"/>
    <col min="9" max="9" width="24" style="6" customWidth="1"/>
    <col min="10" max="10" width="14" style="6" customWidth="1"/>
    <col min="11" max="11" width="16.5703125" style="1" customWidth="1"/>
    <col min="12" max="12" width="27.42578125" customWidth="1"/>
    <col min="13" max="13" width="18.140625" customWidth="1"/>
    <col min="14" max="14" width="18.28515625" customWidth="1"/>
    <col min="15" max="15" width="14.42578125" customWidth="1"/>
    <col min="16" max="16" width="10.85546875" customWidth="1"/>
    <col min="18" max="18" width="10.42578125" bestFit="1" customWidth="1"/>
  </cols>
  <sheetData>
    <row r="1" spans="1:18" x14ac:dyDescent="0.25">
      <c r="A1" t="s">
        <v>1</v>
      </c>
      <c r="B1" s="1" t="s">
        <v>0</v>
      </c>
      <c r="C1" s="5" t="s">
        <v>126</v>
      </c>
      <c r="D1" t="s">
        <v>89</v>
      </c>
      <c r="E1" s="1" t="s">
        <v>2</v>
      </c>
      <c r="F1" s="1" t="s">
        <v>3</v>
      </c>
      <c r="G1" s="1" t="s">
        <v>4</v>
      </c>
      <c r="H1" s="12" t="s">
        <v>134</v>
      </c>
      <c r="I1" s="6" t="s">
        <v>5</v>
      </c>
      <c r="J1" s="5" t="s">
        <v>129</v>
      </c>
      <c r="K1" s="1" t="s">
        <v>6</v>
      </c>
      <c r="L1" t="s">
        <v>7</v>
      </c>
      <c r="M1" s="5" t="s">
        <v>128</v>
      </c>
      <c r="N1" t="s">
        <v>212</v>
      </c>
      <c r="O1" t="s">
        <v>230</v>
      </c>
      <c r="P1" t="s">
        <v>526</v>
      </c>
    </row>
    <row r="2" spans="1:18" x14ac:dyDescent="0.25">
      <c r="A2" t="str">
        <f t="shared" ref="A2:A33" si="0">RIGHT(D2,LEN(D2)-(FIND(",",D2)+1)) &amp; " " &amp; LEFT(D2,(FIND(",",D2,1)-1))</f>
        <v>Cole Altherr</v>
      </c>
      <c r="B2" s="1">
        <v>99</v>
      </c>
      <c r="C2" s="5" t="str" cm="1">
        <f t="array" ref="C2">_xlfn.IFS(RIGHT(E2,1)="R","Right-Handed Pitcher",RIGHT(E2,1)="L","Left-Handed Pitcher")</f>
        <v>Right-Handed Pitcher</v>
      </c>
      <c r="D2" t="s">
        <v>513</v>
      </c>
      <c r="E2" s="41" t="s">
        <v>9</v>
      </c>
      <c r="F2" s="3" t="s">
        <v>52</v>
      </c>
      <c r="G2" s="1">
        <v>195</v>
      </c>
      <c r="H2" s="12" t="s">
        <v>514</v>
      </c>
      <c r="I2" s="6" t="s">
        <v>515</v>
      </c>
      <c r="K2" s="41" t="s">
        <v>63</v>
      </c>
      <c r="L2" t="s">
        <v>516</v>
      </c>
      <c r="N2" t="s">
        <v>299</v>
      </c>
      <c r="P2" s="6" t="s">
        <v>527</v>
      </c>
      <c r="R2" s="33"/>
    </row>
    <row r="3" spans="1:18" x14ac:dyDescent="0.25">
      <c r="A3" t="str">
        <f t="shared" si="0"/>
        <v>Keegan Batka</v>
      </c>
      <c r="B3" s="1">
        <v>6</v>
      </c>
      <c r="C3" s="5" t="str" cm="1">
        <f t="array" ref="C3">_xlfn.IFS(RIGHT(E3,1)="R","Right-Handed Pitcher",RIGHT(E3,1)="L","Left-Handed Pitcher")</f>
        <v>Right-Handed Pitcher</v>
      </c>
      <c r="D3" s="28" t="s">
        <v>346</v>
      </c>
      <c r="E3" s="3" t="s">
        <v>9</v>
      </c>
      <c r="F3" s="3" t="s">
        <v>56</v>
      </c>
      <c r="G3" s="1">
        <v>205</v>
      </c>
      <c r="H3" s="12" t="s">
        <v>421</v>
      </c>
      <c r="I3" t="s">
        <v>79</v>
      </c>
      <c r="J3" s="6" t="s">
        <v>368</v>
      </c>
      <c r="K3" s="12" t="s">
        <v>18</v>
      </c>
      <c r="L3" t="s">
        <v>347</v>
      </c>
      <c r="N3" t="s">
        <v>188</v>
      </c>
      <c r="O3" t="s">
        <v>299</v>
      </c>
      <c r="P3" t="s">
        <v>528</v>
      </c>
      <c r="R3" s="33"/>
    </row>
    <row r="4" spans="1:18" x14ac:dyDescent="0.25">
      <c r="A4" t="str">
        <f t="shared" si="0"/>
        <v>Adam Berghorst</v>
      </c>
      <c r="B4" s="1">
        <v>36</v>
      </c>
      <c r="C4" s="5" t="str" cm="1">
        <f t="array" ref="C4">_xlfn.IFS(RIGHT(E4,1)="R","Right-Handed Pitcher",RIGHT(E4,1)="L","Left-Handed Pitcher")</f>
        <v>Right-Handed Pitcher</v>
      </c>
      <c r="D4" t="s">
        <v>517</v>
      </c>
      <c r="E4" s="1" t="s">
        <v>9</v>
      </c>
      <c r="F4" s="3" t="s">
        <v>518</v>
      </c>
      <c r="G4" s="1">
        <v>255</v>
      </c>
      <c r="H4" s="12" t="s">
        <v>519</v>
      </c>
      <c r="I4" s="6" t="s">
        <v>75</v>
      </c>
      <c r="K4" s="1" t="s">
        <v>10</v>
      </c>
      <c r="L4" t="s">
        <v>520</v>
      </c>
      <c r="N4" t="s">
        <v>299</v>
      </c>
      <c r="O4" t="s">
        <v>299</v>
      </c>
      <c r="P4" s="6" t="s">
        <v>529</v>
      </c>
      <c r="R4" s="33"/>
    </row>
    <row r="5" spans="1:18" x14ac:dyDescent="0.25">
      <c r="A5" t="str">
        <f t="shared" si="0"/>
        <v>Lucas Bixby</v>
      </c>
      <c r="B5" s="1">
        <v>27</v>
      </c>
      <c r="C5" s="5" t="str" cm="1">
        <f t="array" ref="C5">_xlfn.IFS(RIGHT(E5,1)="R","Right-Handed Pitcher",RIGHT(E5,1)="L","Left-Handed Pitcher")</f>
        <v>Right-Handed Pitcher</v>
      </c>
      <c r="D5" t="s">
        <v>8</v>
      </c>
      <c r="E5" s="36" t="s">
        <v>9</v>
      </c>
      <c r="F5" s="3" t="s">
        <v>50</v>
      </c>
      <c r="G5" s="1">
        <v>200</v>
      </c>
      <c r="H5" s="12" t="s">
        <v>422</v>
      </c>
      <c r="I5" t="s">
        <v>65</v>
      </c>
      <c r="J5" t="s">
        <v>369</v>
      </c>
      <c r="K5" s="36" t="s">
        <v>10</v>
      </c>
      <c r="L5" t="s">
        <v>85</v>
      </c>
      <c r="N5" t="s">
        <v>188</v>
      </c>
      <c r="O5" t="s">
        <v>231</v>
      </c>
      <c r="P5" t="s">
        <v>530</v>
      </c>
      <c r="R5" s="33"/>
    </row>
    <row r="6" spans="1:18" x14ac:dyDescent="0.25">
      <c r="A6" t="str">
        <f t="shared" si="0"/>
        <v>Jackson Braden</v>
      </c>
      <c r="B6" s="1">
        <v>26</v>
      </c>
      <c r="C6" s="5" t="s">
        <v>406</v>
      </c>
      <c r="D6" t="s">
        <v>506</v>
      </c>
      <c r="E6" s="1" t="s">
        <v>47</v>
      </c>
      <c r="F6" s="3" t="s">
        <v>57</v>
      </c>
      <c r="G6" s="1">
        <v>176</v>
      </c>
      <c r="H6" s="12" t="s">
        <v>507</v>
      </c>
      <c r="I6" s="6" t="s">
        <v>68</v>
      </c>
      <c r="K6" s="1" t="s">
        <v>14</v>
      </c>
      <c r="L6" t="s">
        <v>508</v>
      </c>
      <c r="N6" t="s">
        <v>299</v>
      </c>
      <c r="P6" s="6" t="s">
        <v>531</v>
      </c>
      <c r="R6" s="33"/>
    </row>
    <row r="7" spans="1:18" x14ac:dyDescent="0.25">
      <c r="A7" t="str">
        <f t="shared" si="0"/>
        <v>James Canar</v>
      </c>
      <c r="B7" s="1">
        <v>8</v>
      </c>
      <c r="C7" s="5" t="s">
        <v>132</v>
      </c>
      <c r="D7" t="s">
        <v>40</v>
      </c>
      <c r="E7" s="1" t="s">
        <v>9</v>
      </c>
      <c r="F7" s="3" t="s">
        <v>57</v>
      </c>
      <c r="G7" s="1">
        <v>185</v>
      </c>
      <c r="H7" s="12" t="s">
        <v>423</v>
      </c>
      <c r="I7" t="s">
        <v>371</v>
      </c>
      <c r="J7" t="s">
        <v>370</v>
      </c>
      <c r="K7" s="1" t="s">
        <v>10</v>
      </c>
      <c r="L7" t="s">
        <v>295</v>
      </c>
      <c r="N7" t="s">
        <v>188</v>
      </c>
      <c r="P7" t="s">
        <v>371</v>
      </c>
      <c r="R7" s="33"/>
    </row>
    <row r="8" spans="1:18" x14ac:dyDescent="0.25">
      <c r="A8" t="str">
        <f t="shared" si="0"/>
        <v>Will Conroy</v>
      </c>
      <c r="B8" s="1">
        <v>99</v>
      </c>
      <c r="C8" s="5" t="str" cm="1">
        <f t="array" ref="C8">_xlfn.IFS(RIGHT(E8,1)="R","Right-Handed Pitcher",RIGHT(E8,1)="L","Left-Handed Pitcher")</f>
        <v>Right-Handed Pitcher</v>
      </c>
      <c r="D8" t="s">
        <v>11</v>
      </c>
      <c r="E8" s="1" t="s">
        <v>12</v>
      </c>
      <c r="F8" s="3" t="s">
        <v>51</v>
      </c>
      <c r="G8" s="1">
        <v>185</v>
      </c>
      <c r="H8" s="12" t="s">
        <v>424</v>
      </c>
      <c r="I8" t="s">
        <v>402</v>
      </c>
      <c r="J8" t="s">
        <v>372</v>
      </c>
      <c r="K8" s="1" t="s">
        <v>61</v>
      </c>
      <c r="L8" t="s">
        <v>86</v>
      </c>
      <c r="N8" t="s">
        <v>299</v>
      </c>
      <c r="O8" t="s">
        <v>231</v>
      </c>
      <c r="P8" t="s">
        <v>532</v>
      </c>
      <c r="R8" s="33"/>
    </row>
    <row r="9" spans="1:18" x14ac:dyDescent="0.25">
      <c r="A9" t="str">
        <f t="shared" si="0"/>
        <v>Travis Cowan</v>
      </c>
      <c r="B9" s="1">
        <v>19</v>
      </c>
      <c r="C9" s="5" t="str" cm="1">
        <f t="array" ref="C9">_xlfn.IFS(RIGHT(E9,1)="R","Right-Handed Pitcher",RIGHT(E9,1)="L","Left-Handed Pitcher")</f>
        <v>Right-Handed Pitcher</v>
      </c>
      <c r="D9" t="s">
        <v>13</v>
      </c>
      <c r="E9" s="1" t="s">
        <v>9</v>
      </c>
      <c r="F9" s="3" t="s">
        <v>52</v>
      </c>
      <c r="G9" s="1">
        <v>170</v>
      </c>
      <c r="H9" s="12" t="s">
        <v>425</v>
      </c>
      <c r="I9" t="s">
        <v>66</v>
      </c>
      <c r="J9" t="s">
        <v>373</v>
      </c>
      <c r="K9" s="1" t="s">
        <v>14</v>
      </c>
      <c r="L9" t="s">
        <v>87</v>
      </c>
      <c r="N9" t="s">
        <v>188</v>
      </c>
      <c r="O9" t="s">
        <v>231</v>
      </c>
      <c r="P9" t="s">
        <v>533</v>
      </c>
      <c r="R9" s="33"/>
    </row>
    <row r="10" spans="1:18" x14ac:dyDescent="0.25">
      <c r="A10" t="str">
        <f t="shared" si="0"/>
        <v>Nick Davies</v>
      </c>
      <c r="B10" s="1">
        <v>10</v>
      </c>
      <c r="C10" s="5" t="str" cm="1">
        <f t="array" ref="C10">_xlfn.IFS(RIGHT(E10,1)="R","Right-Handed Pitcher",RIGHT(E10,1)="L","Left-Handed Pitcher")</f>
        <v>Left-Handed Pitcher</v>
      </c>
      <c r="D10" t="s">
        <v>15</v>
      </c>
      <c r="E10" s="1" t="s">
        <v>16</v>
      </c>
      <c r="F10" s="3" t="s">
        <v>51</v>
      </c>
      <c r="G10" s="1">
        <v>190</v>
      </c>
      <c r="H10" s="12" t="s">
        <v>426</v>
      </c>
      <c r="I10" t="s">
        <v>67</v>
      </c>
      <c r="J10" t="s">
        <v>374</v>
      </c>
      <c r="K10" s="1" t="s">
        <v>10</v>
      </c>
      <c r="L10" t="s">
        <v>357</v>
      </c>
      <c r="O10" t="s">
        <v>232</v>
      </c>
      <c r="P10" t="s">
        <v>534</v>
      </c>
      <c r="R10" s="33"/>
    </row>
    <row r="11" spans="1:18" x14ac:dyDescent="0.25">
      <c r="A11" t="str">
        <f t="shared" si="0"/>
        <v>Rolando De La Cruz</v>
      </c>
      <c r="B11" s="1">
        <v>99</v>
      </c>
      <c r="C11" s="5" t="str" cm="1">
        <f t="array" ref="C11">_xlfn.IFS(RIGHT(E11,1)="R","Right-Handed Pitcher",RIGHT(E11,1)="L","Left-Handed Pitcher")</f>
        <v>Right-Handed Pitcher</v>
      </c>
      <c r="D11" t="s">
        <v>17</v>
      </c>
      <c r="E11" s="1" t="s">
        <v>9</v>
      </c>
      <c r="F11" s="3" t="s">
        <v>52</v>
      </c>
      <c r="G11" s="1">
        <v>240</v>
      </c>
      <c r="H11" s="12" t="s">
        <v>427</v>
      </c>
      <c r="I11" t="s">
        <v>80</v>
      </c>
      <c r="J11" t="s">
        <v>375</v>
      </c>
      <c r="K11" s="1" t="s">
        <v>18</v>
      </c>
      <c r="L11" t="s">
        <v>233</v>
      </c>
      <c r="N11" t="s">
        <v>188</v>
      </c>
      <c r="O11" t="s">
        <v>231</v>
      </c>
      <c r="P11" t="s">
        <v>535</v>
      </c>
      <c r="R11" s="33"/>
    </row>
    <row r="12" spans="1:18" x14ac:dyDescent="0.25">
      <c r="A12" t="str">
        <f t="shared" si="0"/>
        <v>Daunte DeCello</v>
      </c>
      <c r="B12" s="1">
        <v>99</v>
      </c>
      <c r="C12" s="5" t="s">
        <v>132</v>
      </c>
      <c r="D12" t="s">
        <v>358</v>
      </c>
      <c r="E12" s="1" t="s">
        <v>9</v>
      </c>
      <c r="F12" s="3" t="s">
        <v>58</v>
      </c>
      <c r="G12" s="1">
        <v>195</v>
      </c>
      <c r="H12" s="12" t="s">
        <v>428</v>
      </c>
      <c r="I12" t="s">
        <v>71</v>
      </c>
      <c r="J12" t="s">
        <v>376</v>
      </c>
      <c r="K12" s="1" t="s">
        <v>64</v>
      </c>
      <c r="L12" t="s">
        <v>301</v>
      </c>
      <c r="N12" t="s">
        <v>188</v>
      </c>
      <c r="O12" t="s">
        <v>299</v>
      </c>
      <c r="P12" t="s">
        <v>536</v>
      </c>
      <c r="R12" s="33"/>
    </row>
    <row r="13" spans="1:18" x14ac:dyDescent="0.25">
      <c r="A13" t="str">
        <f t="shared" si="0"/>
        <v>Aaron Dolney</v>
      </c>
      <c r="B13" s="1">
        <v>29</v>
      </c>
      <c r="C13" s="5" t="s">
        <v>131</v>
      </c>
      <c r="D13" t="s">
        <v>19</v>
      </c>
      <c r="E13" s="31" t="s">
        <v>12</v>
      </c>
      <c r="F13" s="3" t="s">
        <v>50</v>
      </c>
      <c r="G13" s="1">
        <v>220</v>
      </c>
      <c r="H13" s="12" t="s">
        <v>429</v>
      </c>
      <c r="I13" t="s">
        <v>70</v>
      </c>
      <c r="J13" t="s">
        <v>377</v>
      </c>
      <c r="K13" s="31" t="s">
        <v>18</v>
      </c>
      <c r="L13" t="s">
        <v>238</v>
      </c>
      <c r="N13" t="s">
        <v>231</v>
      </c>
      <c r="O13" t="s">
        <v>231</v>
      </c>
      <c r="P13" t="s">
        <v>537</v>
      </c>
      <c r="R13" s="33"/>
    </row>
    <row r="14" spans="1:18" x14ac:dyDescent="0.25">
      <c r="A14" t="str">
        <f t="shared" si="0"/>
        <v>Donovan Garcia</v>
      </c>
      <c r="B14" s="1">
        <v>99</v>
      </c>
      <c r="C14" s="5" t="s">
        <v>132</v>
      </c>
      <c r="D14" t="s">
        <v>41</v>
      </c>
      <c r="E14" s="1" t="s">
        <v>9</v>
      </c>
      <c r="F14" s="3" t="s">
        <v>59</v>
      </c>
      <c r="G14" s="1">
        <v>175</v>
      </c>
      <c r="H14" s="12" t="s">
        <v>430</v>
      </c>
      <c r="I14" t="s">
        <v>379</v>
      </c>
      <c r="J14" t="s">
        <v>378</v>
      </c>
      <c r="K14" s="1" t="s">
        <v>18</v>
      </c>
      <c r="L14" t="s">
        <v>302</v>
      </c>
      <c r="N14" t="s">
        <v>231</v>
      </c>
      <c r="P14" t="s">
        <v>379</v>
      </c>
      <c r="R14" s="33"/>
    </row>
    <row r="15" spans="1:18" x14ac:dyDescent="0.25">
      <c r="A15" t="str">
        <f t="shared" si="0"/>
        <v>Josh Getz</v>
      </c>
      <c r="B15" s="1">
        <v>99</v>
      </c>
      <c r="C15" s="5" t="s">
        <v>132</v>
      </c>
      <c r="D15" t="s">
        <v>42</v>
      </c>
      <c r="E15" s="1" t="s">
        <v>9</v>
      </c>
      <c r="F15" s="3" t="s">
        <v>58</v>
      </c>
      <c r="G15" s="1">
        <v>165</v>
      </c>
      <c r="H15" s="12" t="s">
        <v>431</v>
      </c>
      <c r="I15" t="s">
        <v>317</v>
      </c>
      <c r="J15" t="s">
        <v>380</v>
      </c>
      <c r="K15" s="1" t="s">
        <v>23</v>
      </c>
      <c r="L15" t="s">
        <v>316</v>
      </c>
      <c r="P15" t="s">
        <v>538</v>
      </c>
      <c r="R15" s="33"/>
    </row>
    <row r="16" spans="1:18" x14ac:dyDescent="0.25">
      <c r="A16" t="str">
        <f t="shared" si="0"/>
        <v>Isaiah Gibbs</v>
      </c>
      <c r="B16" s="1">
        <v>7</v>
      </c>
      <c r="C16" s="5" t="s">
        <v>133</v>
      </c>
      <c r="D16" t="s">
        <v>48</v>
      </c>
      <c r="E16" s="1" t="s">
        <v>9</v>
      </c>
      <c r="F16" s="4" t="s">
        <v>54</v>
      </c>
      <c r="G16" s="1">
        <v>195</v>
      </c>
      <c r="H16" s="12" t="s">
        <v>432</v>
      </c>
      <c r="I16" t="s">
        <v>76</v>
      </c>
      <c r="J16" t="s">
        <v>381</v>
      </c>
      <c r="K16" s="1" t="s">
        <v>14</v>
      </c>
      <c r="L16" t="s">
        <v>332</v>
      </c>
      <c r="N16" t="s">
        <v>188</v>
      </c>
      <c r="O16" t="s">
        <v>299</v>
      </c>
      <c r="P16" t="s">
        <v>539</v>
      </c>
      <c r="R16" s="33"/>
    </row>
    <row r="17" spans="1:18" x14ac:dyDescent="0.25">
      <c r="A17" t="str">
        <f t="shared" si="0"/>
        <v>Rafael Gomez Jr.</v>
      </c>
      <c r="B17" s="1">
        <v>3</v>
      </c>
      <c r="C17" s="9" t="s">
        <v>133</v>
      </c>
      <c r="D17" t="s">
        <v>334</v>
      </c>
      <c r="E17" s="1" t="s">
        <v>9</v>
      </c>
      <c r="F17" s="3" t="s">
        <v>51</v>
      </c>
      <c r="G17" s="1">
        <v>182</v>
      </c>
      <c r="H17" s="12" t="s">
        <v>433</v>
      </c>
      <c r="I17" t="s">
        <v>68</v>
      </c>
      <c r="J17" t="s">
        <v>382</v>
      </c>
      <c r="K17" s="1" t="s">
        <v>10</v>
      </c>
      <c r="L17" t="s">
        <v>335</v>
      </c>
      <c r="N17" t="s">
        <v>188</v>
      </c>
      <c r="P17" t="s">
        <v>531</v>
      </c>
      <c r="R17" s="33"/>
    </row>
    <row r="18" spans="1:18" x14ac:dyDescent="0.25">
      <c r="A18" t="str">
        <f t="shared" si="0"/>
        <v>Joey Grabanski</v>
      </c>
      <c r="B18" s="1">
        <v>21</v>
      </c>
      <c r="C18" s="5" t="s">
        <v>132</v>
      </c>
      <c r="D18" t="s">
        <v>43</v>
      </c>
      <c r="E18" s="1" t="s">
        <v>9</v>
      </c>
      <c r="F18" s="4" t="s">
        <v>54</v>
      </c>
      <c r="G18" s="1">
        <v>258</v>
      </c>
      <c r="H18" s="12" t="s">
        <v>434</v>
      </c>
      <c r="I18" t="s">
        <v>91</v>
      </c>
      <c r="J18" t="s">
        <v>383</v>
      </c>
      <c r="K18" s="1" t="s">
        <v>18</v>
      </c>
      <c r="L18" t="s">
        <v>321</v>
      </c>
      <c r="N18" t="s">
        <v>188</v>
      </c>
      <c r="O18" t="s">
        <v>299</v>
      </c>
      <c r="P18" t="s">
        <v>540</v>
      </c>
      <c r="R18" s="33"/>
    </row>
    <row r="19" spans="1:18" x14ac:dyDescent="0.25">
      <c r="A19" t="str">
        <f t="shared" si="0"/>
        <v>Justin Graves</v>
      </c>
      <c r="B19" s="1">
        <v>25</v>
      </c>
      <c r="C19" s="5" t="s">
        <v>485</v>
      </c>
      <c r="D19" t="s">
        <v>486</v>
      </c>
      <c r="E19" s="1" t="s">
        <v>21</v>
      </c>
      <c r="F19" s="3" t="s">
        <v>51</v>
      </c>
      <c r="G19" s="1">
        <v>175</v>
      </c>
      <c r="H19" s="12" t="s">
        <v>487</v>
      </c>
      <c r="I19" s="6" t="s">
        <v>65</v>
      </c>
      <c r="J19" t="s">
        <v>369</v>
      </c>
      <c r="K19" s="1" t="s">
        <v>10</v>
      </c>
      <c r="L19" t="s">
        <v>488</v>
      </c>
      <c r="N19" t="s">
        <v>299</v>
      </c>
      <c r="P19" s="6" t="s">
        <v>530</v>
      </c>
      <c r="R19" s="33"/>
    </row>
    <row r="20" spans="1:18" x14ac:dyDescent="0.25">
      <c r="A20" t="str">
        <f t="shared" si="0"/>
        <v>Jake Habelitz</v>
      </c>
      <c r="B20" s="1">
        <v>99</v>
      </c>
      <c r="C20" s="5" t="str" cm="1">
        <f t="array" ref="C20">_xlfn.IFS(RIGHT(E20,1)="R","Right-Handed Pitcher",RIGHT(E20,1)="L","Left-Handed Pitcher")</f>
        <v>Left-Handed Pitcher</v>
      </c>
      <c r="D20" t="s">
        <v>20</v>
      </c>
      <c r="E20" s="1" t="s">
        <v>21</v>
      </c>
      <c r="F20" s="3" t="s">
        <v>50</v>
      </c>
      <c r="G20" s="1">
        <v>210</v>
      </c>
      <c r="H20" s="12" t="s">
        <v>435</v>
      </c>
      <c r="I20" t="s">
        <v>68</v>
      </c>
      <c r="J20" t="s">
        <v>382</v>
      </c>
      <c r="K20" s="1" t="s">
        <v>61</v>
      </c>
      <c r="L20" t="s">
        <v>241</v>
      </c>
      <c r="N20" t="s">
        <v>188</v>
      </c>
      <c r="P20" t="s">
        <v>531</v>
      </c>
      <c r="R20" s="33"/>
    </row>
    <row r="21" spans="1:18" x14ac:dyDescent="0.25">
      <c r="A21" t="str">
        <f t="shared" si="0"/>
        <v>Billy Hancock</v>
      </c>
      <c r="B21" s="1">
        <v>14</v>
      </c>
      <c r="C21" s="5" t="s">
        <v>131</v>
      </c>
      <c r="D21" t="s">
        <v>38</v>
      </c>
      <c r="E21" s="1" t="s">
        <v>9</v>
      </c>
      <c r="F21" s="3" t="s">
        <v>52</v>
      </c>
      <c r="G21" s="1">
        <v>190</v>
      </c>
      <c r="H21" s="12" t="s">
        <v>436</v>
      </c>
      <c r="I21" t="s">
        <v>77</v>
      </c>
      <c r="J21" t="s">
        <v>384</v>
      </c>
      <c r="K21" s="1" t="s">
        <v>10</v>
      </c>
      <c r="L21" t="s">
        <v>340</v>
      </c>
      <c r="N21" t="s">
        <v>188</v>
      </c>
      <c r="O21" t="s">
        <v>231</v>
      </c>
      <c r="P21" t="s">
        <v>552</v>
      </c>
      <c r="R21" s="33"/>
    </row>
    <row r="22" spans="1:18" x14ac:dyDescent="0.25">
      <c r="A22" t="str">
        <f t="shared" si="0"/>
        <v>Dominic Hann</v>
      </c>
      <c r="B22" s="1">
        <v>30</v>
      </c>
      <c r="C22" s="5" t="s">
        <v>406</v>
      </c>
      <c r="D22" t="s">
        <v>407</v>
      </c>
      <c r="E22" s="1" t="s">
        <v>47</v>
      </c>
      <c r="F22" s="3" t="s">
        <v>56</v>
      </c>
      <c r="G22" s="1">
        <v>225</v>
      </c>
      <c r="H22" s="12" t="s">
        <v>437</v>
      </c>
      <c r="I22" s="6" t="s">
        <v>75</v>
      </c>
      <c r="J22" t="s">
        <v>386</v>
      </c>
      <c r="K22" s="1" t="s">
        <v>18</v>
      </c>
      <c r="L22" t="s">
        <v>408</v>
      </c>
      <c r="N22" t="s">
        <v>299</v>
      </c>
      <c r="O22" t="s">
        <v>299</v>
      </c>
      <c r="P22" s="6" t="s">
        <v>529</v>
      </c>
      <c r="R22" s="33"/>
    </row>
    <row r="23" spans="1:18" x14ac:dyDescent="0.25">
      <c r="A23" t="str">
        <f t="shared" si="0"/>
        <v>Core Jackson</v>
      </c>
      <c r="B23" s="1">
        <v>6</v>
      </c>
      <c r="C23" s="5" t="s">
        <v>132</v>
      </c>
      <c r="D23" t="s">
        <v>44</v>
      </c>
      <c r="E23" s="1" t="s">
        <v>12</v>
      </c>
      <c r="F23" s="3" t="s">
        <v>56</v>
      </c>
      <c r="G23" s="1">
        <v>190</v>
      </c>
      <c r="H23" s="12" t="s">
        <v>438</v>
      </c>
      <c r="I23" t="s">
        <v>81</v>
      </c>
      <c r="J23" t="s">
        <v>385</v>
      </c>
      <c r="K23" s="1" t="s">
        <v>23</v>
      </c>
      <c r="L23" t="s">
        <v>359</v>
      </c>
      <c r="N23" t="s">
        <v>299</v>
      </c>
      <c r="P23" t="s">
        <v>541</v>
      </c>
      <c r="R23" s="33"/>
    </row>
    <row r="24" spans="1:18" x14ac:dyDescent="0.25">
      <c r="A24" t="str">
        <f t="shared" si="0"/>
        <v>Dillon Kark</v>
      </c>
      <c r="B24" s="1">
        <v>9</v>
      </c>
      <c r="C24" s="5" t="s">
        <v>132</v>
      </c>
      <c r="D24" t="s">
        <v>45</v>
      </c>
      <c r="E24" s="1" t="s">
        <v>9</v>
      </c>
      <c r="F24" s="3" t="s">
        <v>52</v>
      </c>
      <c r="G24" s="1">
        <v>185</v>
      </c>
      <c r="H24" s="12" t="s">
        <v>439</v>
      </c>
      <c r="I24" t="s">
        <v>75</v>
      </c>
      <c r="J24" t="s">
        <v>386</v>
      </c>
      <c r="K24" s="1" t="s">
        <v>63</v>
      </c>
      <c r="L24" t="s">
        <v>328</v>
      </c>
      <c r="N24" t="s">
        <v>299</v>
      </c>
      <c r="O24" t="s">
        <v>299</v>
      </c>
      <c r="P24" t="s">
        <v>529</v>
      </c>
      <c r="R24" s="33"/>
    </row>
    <row r="25" spans="1:18" x14ac:dyDescent="0.25">
      <c r="A25" t="str">
        <f t="shared" si="0"/>
        <v>Sean Knorr</v>
      </c>
      <c r="B25" s="1">
        <v>99</v>
      </c>
      <c r="C25" s="5" t="str" cm="1">
        <f t="array" ref="C25">_xlfn.IFS(RIGHT(E25,1)="R","Right-Handed Pitcher",RIGHT(E25,1)="L","Left-Handed Pitcher")</f>
        <v>Right-Handed Pitcher</v>
      </c>
      <c r="D25" t="s">
        <v>22</v>
      </c>
      <c r="E25" s="1" t="s">
        <v>12</v>
      </c>
      <c r="F25" s="3" t="s">
        <v>53</v>
      </c>
      <c r="G25" s="1">
        <v>165</v>
      </c>
      <c r="H25" s="12" t="s">
        <v>440</v>
      </c>
      <c r="I25" t="s">
        <v>79</v>
      </c>
      <c r="J25" s="6" t="s">
        <v>368</v>
      </c>
      <c r="K25" s="1" t="s">
        <v>23</v>
      </c>
      <c r="L25" t="s">
        <v>243</v>
      </c>
      <c r="N25" t="s">
        <v>188</v>
      </c>
      <c r="P25" t="s">
        <v>528</v>
      </c>
      <c r="R25" s="33"/>
    </row>
    <row r="26" spans="1:18" x14ac:dyDescent="0.25">
      <c r="A26" t="str">
        <f t="shared" si="0"/>
        <v>Gavin Knust</v>
      </c>
      <c r="B26" s="1">
        <v>31</v>
      </c>
      <c r="C26" s="5" t="str" cm="1">
        <f t="array" ref="C26">_xlfn.IFS(RIGHT(E26,1)="R","Right-Handed Pitcher",RIGHT(E26,1)="L","Left-Handed Pitcher")</f>
        <v>Left-Handed Pitcher</v>
      </c>
      <c r="D26" t="s">
        <v>24</v>
      </c>
      <c r="E26" s="1" t="s">
        <v>21</v>
      </c>
      <c r="F26" s="3" t="s">
        <v>52</v>
      </c>
      <c r="G26" s="1">
        <v>205</v>
      </c>
      <c r="H26" s="12" t="s">
        <v>441</v>
      </c>
      <c r="I26" t="s">
        <v>71</v>
      </c>
      <c r="J26" t="s">
        <v>376</v>
      </c>
      <c r="K26" s="1" t="s">
        <v>18</v>
      </c>
      <c r="L26" t="s">
        <v>244</v>
      </c>
      <c r="N26" t="s">
        <v>188</v>
      </c>
      <c r="P26" t="s">
        <v>536</v>
      </c>
      <c r="R26" s="33"/>
    </row>
    <row r="27" spans="1:18" x14ac:dyDescent="0.25">
      <c r="A27" t="str">
        <f t="shared" si="0"/>
        <v>Caleb Lanoux</v>
      </c>
      <c r="B27" s="1">
        <v>16</v>
      </c>
      <c r="C27" s="5" t="str" cm="1">
        <f t="array" ref="C27">_xlfn.IFS(RIGHT(E27,1)="R","Right-Handed Pitcher",RIGHT(E27,1)="L","Left-Handed Pitcher")</f>
        <v>Right-Handed Pitcher</v>
      </c>
      <c r="D27" t="s">
        <v>25</v>
      </c>
      <c r="E27" s="1" t="s">
        <v>9</v>
      </c>
      <c r="F27" s="4" t="s">
        <v>54</v>
      </c>
      <c r="G27" s="1">
        <v>205</v>
      </c>
      <c r="H27" s="12" t="s">
        <v>442</v>
      </c>
      <c r="I27" t="s">
        <v>68</v>
      </c>
      <c r="J27" t="s">
        <v>382</v>
      </c>
      <c r="K27" s="1" t="s">
        <v>10</v>
      </c>
      <c r="L27" t="s">
        <v>248</v>
      </c>
      <c r="N27" t="s">
        <v>188</v>
      </c>
      <c r="O27" t="s">
        <v>232</v>
      </c>
      <c r="P27" t="s">
        <v>531</v>
      </c>
      <c r="R27" s="33"/>
    </row>
    <row r="28" spans="1:18" x14ac:dyDescent="0.25">
      <c r="A28" t="str">
        <f t="shared" si="0"/>
        <v>Jacob Lycan</v>
      </c>
      <c r="B28" s="1">
        <v>28</v>
      </c>
      <c r="C28" s="5" t="str" cm="1">
        <f t="array" ref="C28">_xlfn.IFS(RIGHT(E28,1)="R","Right-Handed Pitcher",RIGHT(E28,1)="L","Left-Handed Pitcher")</f>
        <v>Right-Handed Pitcher</v>
      </c>
      <c r="D28" t="s">
        <v>26</v>
      </c>
      <c r="E28" s="1" t="s">
        <v>9</v>
      </c>
      <c r="F28" s="3" t="s">
        <v>50</v>
      </c>
      <c r="G28" s="1">
        <v>215</v>
      </c>
      <c r="H28" s="12" t="s">
        <v>443</v>
      </c>
      <c r="I28" t="s">
        <v>91</v>
      </c>
      <c r="J28" t="s">
        <v>383</v>
      </c>
      <c r="K28" s="1" t="s">
        <v>10</v>
      </c>
      <c r="L28" t="s">
        <v>253</v>
      </c>
      <c r="N28" t="s">
        <v>188</v>
      </c>
      <c r="P28" t="s">
        <v>540</v>
      </c>
      <c r="R28" s="33"/>
    </row>
    <row r="29" spans="1:18" x14ac:dyDescent="0.25">
      <c r="A29" t="str">
        <f t="shared" si="0"/>
        <v>Garrett Martin</v>
      </c>
      <c r="B29" s="1">
        <v>12</v>
      </c>
      <c r="C29" s="5" t="str" cm="1">
        <f t="array" ref="C29">_xlfn.IFS(RIGHT(E29,1)="R","Right-Handed Pitcher",RIGHT(E29,1)="L","Left-Handed Pitcher")</f>
        <v>Right-Handed Pitcher</v>
      </c>
      <c r="D29" t="s">
        <v>27</v>
      </c>
      <c r="E29" s="1" t="s">
        <v>9</v>
      </c>
      <c r="F29" s="3" t="s">
        <v>50</v>
      </c>
      <c r="G29" s="1">
        <v>240</v>
      </c>
      <c r="H29" s="12" t="s">
        <v>444</v>
      </c>
      <c r="I29" t="s">
        <v>68</v>
      </c>
      <c r="J29" t="s">
        <v>382</v>
      </c>
      <c r="K29" s="1" t="s">
        <v>14</v>
      </c>
      <c r="L29" t="s">
        <v>252</v>
      </c>
      <c r="N29" t="s">
        <v>188</v>
      </c>
      <c r="O29" t="s">
        <v>231</v>
      </c>
      <c r="P29" t="s">
        <v>531</v>
      </c>
      <c r="R29" s="33"/>
    </row>
    <row r="30" spans="1:18" x14ac:dyDescent="0.25">
      <c r="A30" t="str">
        <f t="shared" si="0"/>
        <v>Jace Matkin</v>
      </c>
      <c r="B30" s="1">
        <v>24</v>
      </c>
      <c r="C30" s="5" t="s">
        <v>133</v>
      </c>
      <c r="D30" t="s">
        <v>480</v>
      </c>
      <c r="E30" s="1" t="s">
        <v>9</v>
      </c>
      <c r="F30" s="3" t="s">
        <v>56</v>
      </c>
      <c r="G30" s="1">
        <v>220</v>
      </c>
      <c r="H30" s="12" t="s">
        <v>481</v>
      </c>
      <c r="I30" s="6" t="s">
        <v>477</v>
      </c>
      <c r="K30" s="1" t="s">
        <v>10</v>
      </c>
      <c r="L30" t="s">
        <v>482</v>
      </c>
      <c r="N30" t="s">
        <v>231</v>
      </c>
      <c r="O30" t="s">
        <v>231</v>
      </c>
      <c r="P30" s="6" t="s">
        <v>542</v>
      </c>
      <c r="R30" s="33"/>
    </row>
    <row r="31" spans="1:18" x14ac:dyDescent="0.25">
      <c r="A31" t="str">
        <f t="shared" si="0"/>
        <v>Lex Meinderts</v>
      </c>
      <c r="B31" s="1">
        <v>99</v>
      </c>
      <c r="C31" s="5" t="str" cm="1">
        <f t="array" ref="C31">_xlfn.IFS(RIGHT(E31,1)="R","Right-Handed Pitcher",RIGHT(E31,1)="L","Left-Handed Pitcher")</f>
        <v>Right-Handed Pitcher</v>
      </c>
      <c r="D31" t="s">
        <v>28</v>
      </c>
      <c r="E31" s="1" t="s">
        <v>9</v>
      </c>
      <c r="F31" s="3" t="s">
        <v>51</v>
      </c>
      <c r="G31" s="1">
        <v>205</v>
      </c>
      <c r="H31" s="12" t="s">
        <v>445</v>
      </c>
      <c r="I31" t="s">
        <v>387</v>
      </c>
      <c r="J31" t="s">
        <v>388</v>
      </c>
      <c r="K31" s="1" t="s">
        <v>10</v>
      </c>
      <c r="L31" t="s">
        <v>256</v>
      </c>
      <c r="N31" t="s">
        <v>188</v>
      </c>
      <c r="O31" t="s">
        <v>231</v>
      </c>
      <c r="P31" t="s">
        <v>387</v>
      </c>
      <c r="R31" s="33"/>
    </row>
    <row r="32" spans="1:18" x14ac:dyDescent="0.25">
      <c r="A32" t="str">
        <f t="shared" si="0"/>
        <v>Robbie Merced</v>
      </c>
      <c r="B32" s="1">
        <v>2</v>
      </c>
      <c r="C32" s="5" t="s">
        <v>512</v>
      </c>
      <c r="D32" t="s">
        <v>363</v>
      </c>
      <c r="E32" s="31" t="s">
        <v>9</v>
      </c>
      <c r="F32" s="3" t="s">
        <v>56</v>
      </c>
      <c r="G32" s="1">
        <v>185</v>
      </c>
      <c r="H32" s="12" t="s">
        <v>446</v>
      </c>
      <c r="I32" s="6" t="s">
        <v>364</v>
      </c>
      <c r="J32" s="6" t="s">
        <v>389</v>
      </c>
      <c r="K32" s="31" t="s">
        <v>64</v>
      </c>
      <c r="L32" t="s">
        <v>365</v>
      </c>
      <c r="N32" t="s">
        <v>188</v>
      </c>
      <c r="O32" t="s">
        <v>231</v>
      </c>
      <c r="P32" s="6" t="s">
        <v>543</v>
      </c>
      <c r="R32" s="33"/>
    </row>
    <row r="33" spans="1:18" x14ac:dyDescent="0.25">
      <c r="A33" t="str">
        <f t="shared" si="0"/>
        <v>Patrick Mills</v>
      </c>
      <c r="B33" s="1">
        <v>15</v>
      </c>
      <c r="C33" s="5" t="s">
        <v>132</v>
      </c>
      <c r="D33" t="s">
        <v>327</v>
      </c>
      <c r="E33" s="1" t="s">
        <v>21</v>
      </c>
      <c r="F33" s="3" t="s">
        <v>50</v>
      </c>
      <c r="G33" s="1">
        <v>210</v>
      </c>
      <c r="H33" s="12" t="s">
        <v>447</v>
      </c>
      <c r="I33" t="s">
        <v>556</v>
      </c>
      <c r="J33"/>
      <c r="K33" s="1" t="s">
        <v>10</v>
      </c>
      <c r="L33" t="s">
        <v>322</v>
      </c>
      <c r="N33" t="s">
        <v>188</v>
      </c>
      <c r="O33" t="s">
        <v>299</v>
      </c>
      <c r="P33" t="s">
        <v>544</v>
      </c>
      <c r="R33" s="33"/>
    </row>
    <row r="34" spans="1:18" x14ac:dyDescent="0.25">
      <c r="A34" t="str">
        <f t="shared" ref="A34:A51" si="1">RIGHT(D34,LEN(D34)-(FIND(",",D34)+1)) &amp; " " &amp; LEFT(D34,(FIND(",",D34,1)-1))</f>
        <v>Jeremiah Newman</v>
      </c>
      <c r="B34" s="1">
        <v>1</v>
      </c>
      <c r="C34" s="5" t="str" cm="1">
        <f t="array" ref="C34">_xlfn.IFS(RIGHT(E34,1)="R","Right-Handed Pitcher",RIGHT(E34,1)="L","Left-Handed Pitcher")</f>
        <v>Right-Handed Pitcher</v>
      </c>
      <c r="D34" t="s">
        <v>29</v>
      </c>
      <c r="E34" s="1" t="s">
        <v>9</v>
      </c>
      <c r="F34" s="4" t="s">
        <v>54</v>
      </c>
      <c r="G34" s="1">
        <v>190</v>
      </c>
      <c r="H34" s="12" t="s">
        <v>448</v>
      </c>
      <c r="I34" t="s">
        <v>405</v>
      </c>
      <c r="J34" t="s">
        <v>390</v>
      </c>
      <c r="K34" s="1" t="s">
        <v>61</v>
      </c>
      <c r="L34" t="s">
        <v>260</v>
      </c>
      <c r="P34" t="s">
        <v>545</v>
      </c>
      <c r="R34" s="33"/>
    </row>
    <row r="35" spans="1:18" x14ac:dyDescent="0.25">
      <c r="A35" t="str">
        <f t="shared" si="1"/>
        <v>Bobby Nichols</v>
      </c>
      <c r="B35" s="1">
        <v>4</v>
      </c>
      <c r="C35" s="5" t="s">
        <v>133</v>
      </c>
      <c r="D35" t="s">
        <v>489</v>
      </c>
      <c r="E35" s="1" t="s">
        <v>9</v>
      </c>
      <c r="F35" s="3" t="s">
        <v>57</v>
      </c>
      <c r="G35" s="1">
        <v>185</v>
      </c>
      <c r="H35" s="12" t="s">
        <v>490</v>
      </c>
      <c r="I35" s="6" t="s">
        <v>364</v>
      </c>
      <c r="K35" s="1" t="s">
        <v>18</v>
      </c>
      <c r="L35" t="s">
        <v>491</v>
      </c>
      <c r="N35" t="s">
        <v>299</v>
      </c>
      <c r="P35" s="6" t="s">
        <v>543</v>
      </c>
      <c r="R35" s="33"/>
    </row>
    <row r="36" spans="1:18" x14ac:dyDescent="0.25">
      <c r="A36" t="str">
        <f t="shared" si="1"/>
        <v>Cohen Nies</v>
      </c>
      <c r="B36" s="1">
        <v>39</v>
      </c>
      <c r="C36" s="5" t="str" cm="1">
        <f t="array" ref="C36">_xlfn.IFS(RIGHT(E36,1)="R","Right-Handed Pitcher",RIGHT(E36,1)="L","Left-Handed Pitcher")</f>
        <v>Right-Handed Pitcher</v>
      </c>
      <c r="D36" t="s">
        <v>30</v>
      </c>
      <c r="E36" s="1" t="s">
        <v>9</v>
      </c>
      <c r="F36" s="3" t="s">
        <v>55</v>
      </c>
      <c r="G36" s="1">
        <v>250</v>
      </c>
      <c r="H36" s="12" t="s">
        <v>449</v>
      </c>
      <c r="I36" t="s">
        <v>392</v>
      </c>
      <c r="J36" t="s">
        <v>391</v>
      </c>
      <c r="K36" s="1" t="s">
        <v>62</v>
      </c>
      <c r="L36" t="s">
        <v>261</v>
      </c>
      <c r="N36" t="s">
        <v>188</v>
      </c>
      <c r="O36" t="s">
        <v>231</v>
      </c>
      <c r="P36" t="s">
        <v>392</v>
      </c>
      <c r="R36" s="33"/>
    </row>
    <row r="37" spans="1:18" x14ac:dyDescent="0.25">
      <c r="A37" t="str">
        <f t="shared" si="1"/>
        <v>Tate Peterson</v>
      </c>
      <c r="B37" s="1">
        <v>99</v>
      </c>
      <c r="C37" s="5" t="s">
        <v>133</v>
      </c>
      <c r="D37" t="s">
        <v>49</v>
      </c>
      <c r="E37" s="1" t="s">
        <v>21</v>
      </c>
      <c r="F37" s="3" t="s">
        <v>60</v>
      </c>
      <c r="G37" s="1">
        <v>175</v>
      </c>
      <c r="H37" s="12" t="s">
        <v>450</v>
      </c>
      <c r="I37" t="s">
        <v>553</v>
      </c>
      <c r="J37" s="6" t="s">
        <v>368</v>
      </c>
      <c r="K37" s="1" t="s">
        <v>63</v>
      </c>
      <c r="L37" t="s">
        <v>360</v>
      </c>
      <c r="N37" t="s">
        <v>188</v>
      </c>
      <c r="P37" t="s">
        <v>528</v>
      </c>
      <c r="R37" s="33"/>
    </row>
    <row r="38" spans="1:18" x14ac:dyDescent="0.25">
      <c r="A38" t="str">
        <f t="shared" si="1"/>
        <v>Fisher Pyatt</v>
      </c>
      <c r="B38" s="1">
        <v>5</v>
      </c>
      <c r="C38" s="5" t="s">
        <v>132</v>
      </c>
      <c r="D38" t="s">
        <v>46</v>
      </c>
      <c r="E38" s="1" t="s">
        <v>47</v>
      </c>
      <c r="F38" s="4" t="s">
        <v>54</v>
      </c>
      <c r="G38" s="1">
        <v>180</v>
      </c>
      <c r="H38" s="12" t="s">
        <v>451</v>
      </c>
      <c r="I38" t="s">
        <v>69</v>
      </c>
      <c r="J38" t="s">
        <v>393</v>
      </c>
      <c r="K38" s="1" t="s">
        <v>63</v>
      </c>
      <c r="L38" t="s">
        <v>329</v>
      </c>
      <c r="N38" t="s">
        <v>299</v>
      </c>
      <c r="O38" t="s">
        <v>299</v>
      </c>
      <c r="P38" t="s">
        <v>546</v>
      </c>
      <c r="R38" s="33"/>
    </row>
    <row r="39" spans="1:18" x14ac:dyDescent="0.25">
      <c r="A39" t="str">
        <f t="shared" si="1"/>
        <v>Jaidan Quinn</v>
      </c>
      <c r="B39" s="27">
        <v>99</v>
      </c>
      <c r="C39" s="28" t="s">
        <v>264</v>
      </c>
      <c r="D39" t="s">
        <v>90</v>
      </c>
      <c r="E39" s="29" t="s">
        <v>12</v>
      </c>
      <c r="F39" s="3" t="s">
        <v>51</v>
      </c>
      <c r="G39" s="27">
        <v>225</v>
      </c>
      <c r="H39" s="12" t="s">
        <v>452</v>
      </c>
      <c r="I39" t="s">
        <v>91</v>
      </c>
      <c r="J39" t="s">
        <v>383</v>
      </c>
      <c r="K39" s="29" t="s">
        <v>18</v>
      </c>
      <c r="L39" t="s">
        <v>337</v>
      </c>
      <c r="N39" t="s">
        <v>188</v>
      </c>
      <c r="P39" t="s">
        <v>540</v>
      </c>
      <c r="R39" s="33"/>
    </row>
    <row r="40" spans="1:18" x14ac:dyDescent="0.25">
      <c r="A40" t="str">
        <f t="shared" si="1"/>
        <v>Noah Richardson</v>
      </c>
      <c r="B40" s="29">
        <v>99</v>
      </c>
      <c r="C40" s="28" t="str" cm="1">
        <f t="array" ref="C40">_xlfn.IFS(RIGHT(E40,1)="R","Right-Handed Pitcher",RIGHT(E40,1)="L","Left-Handed Pitcher")</f>
        <v>Left-Handed Pitcher</v>
      </c>
      <c r="D40" t="s">
        <v>31</v>
      </c>
      <c r="E40" s="29" t="s">
        <v>21</v>
      </c>
      <c r="F40" s="3" t="s">
        <v>50</v>
      </c>
      <c r="G40" s="29">
        <v>243</v>
      </c>
      <c r="H40" s="12" t="s">
        <v>453</v>
      </c>
      <c r="I40" t="s">
        <v>72</v>
      </c>
      <c r="J40" t="s">
        <v>394</v>
      </c>
      <c r="K40" s="29" t="s">
        <v>14</v>
      </c>
      <c r="L40" t="s">
        <v>361</v>
      </c>
      <c r="N40" t="s">
        <v>231</v>
      </c>
      <c r="P40" t="s">
        <v>547</v>
      </c>
      <c r="R40" s="33"/>
    </row>
    <row r="41" spans="1:18" x14ac:dyDescent="0.25">
      <c r="A41" t="str">
        <f t="shared" si="1"/>
        <v>Nathan Ross</v>
      </c>
      <c r="B41" s="31">
        <v>13</v>
      </c>
      <c r="C41" s="28" t="str" cm="1">
        <f t="array" ref="C41">_xlfn.IFS(RIGHT(E41,1)="R","Right-Handed Pitcher",RIGHT(E41,1)="L","Left-Handed Pitcher")</f>
        <v>Right-Handed Pitcher</v>
      </c>
      <c r="D41" t="s">
        <v>32</v>
      </c>
      <c r="E41" s="31" t="s">
        <v>9</v>
      </c>
      <c r="F41" s="4" t="s">
        <v>54</v>
      </c>
      <c r="G41" s="31">
        <v>175</v>
      </c>
      <c r="H41" s="12" t="s">
        <v>454</v>
      </c>
      <c r="I41" t="s">
        <v>79</v>
      </c>
      <c r="J41" s="6" t="s">
        <v>368</v>
      </c>
      <c r="K41" s="31" t="s">
        <v>23</v>
      </c>
      <c r="L41" t="s">
        <v>265</v>
      </c>
      <c r="N41" t="s">
        <v>188</v>
      </c>
      <c r="P41" t="s">
        <v>528</v>
      </c>
      <c r="R41" s="33"/>
    </row>
    <row r="42" spans="1:18" x14ac:dyDescent="0.25">
      <c r="A42" t="str">
        <f t="shared" si="1"/>
        <v>Brett Sanchez</v>
      </c>
      <c r="B42" s="31">
        <v>17</v>
      </c>
      <c r="C42" s="28" t="str" cm="1">
        <f t="array" ref="C42">_xlfn.IFS(RIGHT(E42,1)="R","Right-Handed Pitcher",RIGHT(E42,1)="L","Left-Handed Pitcher")</f>
        <v>Right-Handed Pitcher</v>
      </c>
      <c r="D42" t="s">
        <v>33</v>
      </c>
      <c r="E42" s="31" t="s">
        <v>12</v>
      </c>
      <c r="F42" s="3" t="s">
        <v>50</v>
      </c>
      <c r="G42" s="31">
        <v>187</v>
      </c>
      <c r="H42" s="12" t="s">
        <v>455</v>
      </c>
      <c r="I42" t="s">
        <v>266</v>
      </c>
      <c r="J42" t="s">
        <v>395</v>
      </c>
      <c r="K42" s="31" t="s">
        <v>63</v>
      </c>
      <c r="L42" t="s">
        <v>288</v>
      </c>
      <c r="N42" t="s">
        <v>231</v>
      </c>
      <c r="P42" t="s">
        <v>548</v>
      </c>
      <c r="R42" s="33"/>
    </row>
    <row r="43" spans="1:18" x14ac:dyDescent="0.25">
      <c r="A43" t="str">
        <f t="shared" si="1"/>
        <v>Peter Schaefer</v>
      </c>
      <c r="B43" s="31">
        <v>34</v>
      </c>
      <c r="C43" s="28" t="str" cm="1">
        <f t="array" ref="C43">_xlfn.IFS(RIGHT(E43,1)="R","Right-Handed Pitcher",RIGHT(E43,1)="L","Left-Handed Pitcher")</f>
        <v>Right-Handed Pitcher</v>
      </c>
      <c r="D43" t="s">
        <v>34</v>
      </c>
      <c r="E43" s="31" t="s">
        <v>12</v>
      </c>
      <c r="F43" s="4" t="s">
        <v>54</v>
      </c>
      <c r="G43" s="31">
        <v>205</v>
      </c>
      <c r="H43" s="12" t="s">
        <v>456</v>
      </c>
      <c r="I43" t="s">
        <v>73</v>
      </c>
      <c r="J43" t="s">
        <v>396</v>
      </c>
      <c r="K43" s="31" t="s">
        <v>10</v>
      </c>
      <c r="L43" t="s">
        <v>289</v>
      </c>
      <c r="N43" t="s">
        <v>231</v>
      </c>
      <c r="O43" t="s">
        <v>231</v>
      </c>
      <c r="P43" t="s">
        <v>549</v>
      </c>
      <c r="R43" s="33"/>
    </row>
    <row r="44" spans="1:18" x14ac:dyDescent="0.25">
      <c r="A44" t="str">
        <f t="shared" si="1"/>
        <v>Gabe Sotres</v>
      </c>
      <c r="B44" s="32">
        <v>23</v>
      </c>
      <c r="C44" s="28" t="s">
        <v>131</v>
      </c>
      <c r="D44" t="s">
        <v>492</v>
      </c>
      <c r="E44" s="32" t="s">
        <v>9</v>
      </c>
      <c r="F44" s="3" t="s">
        <v>58</v>
      </c>
      <c r="G44" s="32">
        <v>205</v>
      </c>
      <c r="H44" s="12" t="s">
        <v>493</v>
      </c>
      <c r="I44" s="6" t="s">
        <v>75</v>
      </c>
      <c r="K44" s="32" t="s">
        <v>63</v>
      </c>
      <c r="L44" t="s">
        <v>482</v>
      </c>
      <c r="N44" t="s">
        <v>231</v>
      </c>
      <c r="O44" t="s">
        <v>299</v>
      </c>
      <c r="P44" s="6" t="s">
        <v>529</v>
      </c>
    </row>
    <row r="45" spans="1:18" x14ac:dyDescent="0.25">
      <c r="A45" t="str">
        <f t="shared" si="1"/>
        <v>Derick Stager</v>
      </c>
      <c r="B45" s="34">
        <v>99</v>
      </c>
      <c r="C45" s="28" t="s">
        <v>131</v>
      </c>
      <c r="D45" t="s">
        <v>39</v>
      </c>
      <c r="E45" s="34" t="s">
        <v>9</v>
      </c>
      <c r="F45" s="3" t="s">
        <v>56</v>
      </c>
      <c r="G45" s="34">
        <v>210</v>
      </c>
      <c r="H45" s="12" t="s">
        <v>457</v>
      </c>
      <c r="I45" t="s">
        <v>68</v>
      </c>
      <c r="J45" t="s">
        <v>382</v>
      </c>
      <c r="K45" s="34" t="s">
        <v>18</v>
      </c>
      <c r="L45" t="s">
        <v>362</v>
      </c>
      <c r="N45" t="s">
        <v>188</v>
      </c>
      <c r="P45" t="s">
        <v>531</v>
      </c>
    </row>
    <row r="46" spans="1:18" x14ac:dyDescent="0.25">
      <c r="A46" t="str">
        <f t="shared" si="1"/>
        <v>David Stich Jr.</v>
      </c>
      <c r="B46" s="34">
        <v>28</v>
      </c>
      <c r="C46" s="28" t="str" cm="1">
        <f t="array" ref="C46">_xlfn.IFS(RIGHT(E46,1)="R","Right-Handed Pitcher",RIGHT(E46,1)="L","Left-Handed Pitcher")</f>
        <v>Right-Handed Pitcher</v>
      </c>
      <c r="D46" t="s">
        <v>35</v>
      </c>
      <c r="E46" s="34" t="s">
        <v>9</v>
      </c>
      <c r="F46" s="3" t="s">
        <v>50</v>
      </c>
      <c r="G46" s="34">
        <v>235</v>
      </c>
      <c r="H46" s="12" t="s">
        <v>458</v>
      </c>
      <c r="I46" t="s">
        <v>397</v>
      </c>
      <c r="J46" t="s">
        <v>398</v>
      </c>
      <c r="K46" s="34" t="s">
        <v>61</v>
      </c>
      <c r="L46" t="s">
        <v>336</v>
      </c>
      <c r="N46" t="s">
        <v>188</v>
      </c>
      <c r="P46" t="s">
        <v>397</v>
      </c>
    </row>
    <row r="47" spans="1:18" x14ac:dyDescent="0.25">
      <c r="A47" t="str">
        <f t="shared" si="1"/>
        <v>Anthony Tejeda</v>
      </c>
      <c r="B47" s="34">
        <v>18</v>
      </c>
      <c r="C47" s="28" t="s">
        <v>264</v>
      </c>
      <c r="D47" t="s">
        <v>409</v>
      </c>
      <c r="E47" s="34" t="s">
        <v>9</v>
      </c>
      <c r="F47" s="3" t="s">
        <v>52</v>
      </c>
      <c r="G47" s="34">
        <v>195</v>
      </c>
      <c r="H47" s="12" t="s">
        <v>459</v>
      </c>
      <c r="I47" s="6" t="s">
        <v>410</v>
      </c>
      <c r="K47" s="34" t="s">
        <v>14</v>
      </c>
      <c r="L47" t="s">
        <v>411</v>
      </c>
      <c r="N47" t="s">
        <v>188</v>
      </c>
      <c r="O47" t="s">
        <v>299</v>
      </c>
      <c r="P47" s="6" t="s">
        <v>410</v>
      </c>
    </row>
    <row r="48" spans="1:18" x14ac:dyDescent="0.25">
      <c r="A48" t="str">
        <f t="shared" si="1"/>
        <v>Zack Tukis</v>
      </c>
      <c r="B48" s="34">
        <v>35</v>
      </c>
      <c r="C48" s="28" t="s">
        <v>406</v>
      </c>
      <c r="D48" t="s">
        <v>412</v>
      </c>
      <c r="E48" s="34" t="s">
        <v>9</v>
      </c>
      <c r="F48" s="3" t="s">
        <v>413</v>
      </c>
      <c r="G48" s="34">
        <v>190</v>
      </c>
      <c r="H48" s="12" t="s">
        <v>460</v>
      </c>
      <c r="I48" s="6" t="s">
        <v>402</v>
      </c>
      <c r="J48" t="s">
        <v>372</v>
      </c>
      <c r="K48" s="34" t="s">
        <v>61</v>
      </c>
      <c r="L48" t="s">
        <v>414</v>
      </c>
      <c r="N48" t="s">
        <v>299</v>
      </c>
      <c r="O48" t="s">
        <v>299</v>
      </c>
      <c r="P48" s="6" t="s">
        <v>532</v>
      </c>
    </row>
    <row r="49" spans="1:16" x14ac:dyDescent="0.25">
      <c r="A49" t="str">
        <f t="shared" si="1"/>
        <v>Julian Vargas</v>
      </c>
      <c r="B49" s="35">
        <v>1</v>
      </c>
      <c r="C49" s="28" t="s">
        <v>406</v>
      </c>
      <c r="D49" t="s">
        <v>494</v>
      </c>
      <c r="E49" s="35" t="s">
        <v>9</v>
      </c>
      <c r="F49" s="3" t="s">
        <v>59</v>
      </c>
      <c r="G49" s="35">
        <v>160</v>
      </c>
      <c r="H49" s="12" t="s">
        <v>427</v>
      </c>
      <c r="I49" s="6" t="s">
        <v>495</v>
      </c>
      <c r="K49" s="35" t="s">
        <v>18</v>
      </c>
      <c r="L49" t="s">
        <v>496</v>
      </c>
      <c r="N49" t="s">
        <v>299</v>
      </c>
      <c r="P49" s="6" t="s">
        <v>550</v>
      </c>
    </row>
    <row r="50" spans="1:16" x14ac:dyDescent="0.25">
      <c r="A50" t="str">
        <f t="shared" si="1"/>
        <v>Hank Weiss</v>
      </c>
      <c r="B50" s="41">
        <v>11</v>
      </c>
      <c r="C50" s="28" t="str" cm="1">
        <f t="array" ref="C50">_xlfn.IFS(RIGHT(E50,1)="R","Right-Handed Pitcher",RIGHT(E50,1)="L","Left-Handed Pitcher")</f>
        <v>Right-Handed Pitcher</v>
      </c>
      <c r="D50" t="s">
        <v>36</v>
      </c>
      <c r="E50" s="41" t="s">
        <v>9</v>
      </c>
      <c r="F50" s="4" t="s">
        <v>54</v>
      </c>
      <c r="G50" s="41">
        <v>175</v>
      </c>
      <c r="H50" s="12" t="s">
        <v>461</v>
      </c>
      <c r="I50" t="s">
        <v>74</v>
      </c>
      <c r="J50" t="s">
        <v>399</v>
      </c>
      <c r="K50" s="41" t="s">
        <v>23</v>
      </c>
      <c r="L50" t="s">
        <v>338</v>
      </c>
      <c r="N50" t="s">
        <v>231</v>
      </c>
      <c r="P50" t="s">
        <v>551</v>
      </c>
    </row>
    <row r="51" spans="1:16" x14ac:dyDescent="0.25">
      <c r="A51" t="str">
        <f t="shared" si="1"/>
        <v>Robert Whelan</v>
      </c>
      <c r="B51" s="41">
        <v>18</v>
      </c>
      <c r="C51" s="28" t="str" cm="1">
        <f t="array" ref="C51">_xlfn.IFS(RIGHT(E51,1)="R","Right-Handed Pitcher",RIGHT(E51,1)="L","Left-Handed Pitcher")</f>
        <v>Right-Handed Pitcher</v>
      </c>
      <c r="D51" t="s">
        <v>37</v>
      </c>
      <c r="E51" s="41" t="s">
        <v>9</v>
      </c>
      <c r="F51" s="3" t="s">
        <v>50</v>
      </c>
      <c r="G51" s="41">
        <v>230</v>
      </c>
      <c r="H51" s="12" t="s">
        <v>462</v>
      </c>
      <c r="I51" t="s">
        <v>401</v>
      </c>
      <c r="J51" t="s">
        <v>400</v>
      </c>
      <c r="K51" s="41" t="s">
        <v>23</v>
      </c>
      <c r="L51" t="s">
        <v>339</v>
      </c>
      <c r="N51" t="s">
        <v>188</v>
      </c>
      <c r="P51" t="s">
        <v>401</v>
      </c>
    </row>
    <row r="52" spans="1:16" x14ac:dyDescent="0.25">
      <c r="A52" t="str">
        <f>RIGHT(D52,LEN(D52)-(FIND(",",D52)+1)) &amp; " " &amp; LEFT(D52,(FIND(",",D52,1)-1))</f>
        <v>Damon Cox</v>
      </c>
      <c r="B52" s="42">
        <v>10</v>
      </c>
      <c r="C52" s="28" t="s">
        <v>485</v>
      </c>
      <c r="D52" t="s">
        <v>554</v>
      </c>
      <c r="E52" s="42" t="s">
        <v>21</v>
      </c>
      <c r="F52" s="3"/>
      <c r="G52" s="42"/>
      <c r="I52" s="6" t="s">
        <v>71</v>
      </c>
      <c r="K52" s="42"/>
      <c r="L52" t="s">
        <v>555</v>
      </c>
      <c r="P52" s="6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D0D0E-EF84-4308-A955-C8B4E9932EDA}">
  <dimension ref="B1:S28"/>
  <sheetViews>
    <sheetView topLeftCell="A7" zoomScaleNormal="100" workbookViewId="0">
      <selection activeCell="C21" sqref="C21:S21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214</v>
      </c>
      <c r="G2" s="54"/>
      <c r="H2" s="54"/>
      <c r="I2" s="54"/>
      <c r="J2" s="54"/>
      <c r="K2" s="54"/>
      <c r="L2" s="54"/>
      <c r="M2" s="54"/>
      <c r="N2" s="55" t="e">
        <f>"# " &amp; VLOOKUP(F2,Table1[#All],2,FALSE)</f>
        <v>#N/A</v>
      </c>
      <c r="O2" s="55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28"/>
      <c r="H4" s="28"/>
      <c r="I4" s="28"/>
      <c r="J4" s="28"/>
      <c r="K4" s="28"/>
      <c r="L4" s="28"/>
      <c r="M4" s="28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e">
        <f>"Position: " &amp; VLOOKUP(F2,Table1[#All],3,FALSE)</f>
        <v>#N/A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e" cm="1">
        <f t="array" ref="F6">"Bats: " &amp; _xlfn.IFS(LEFT(VLOOKUP(F2,Table1[#All],5,FALSE),1)="R","Right",LEFT(VLOOKUP(F2,Table1[#All],5,FALSE),1)="L","Left",LEFT(VLOOKUP(F2,Table1[#All],5,FALSE),1)="S","Both")</f>
        <v>#N/A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e" cm="1">
        <f t="array" ref="F7">"Throws: " &amp; _xlfn.IFS(RIGHT(VLOOKUP(F2,Table1[#All],5,FALSE),1)="R","Right",RIGHT(VLOOKUP(F2,Table1[#All],5,FALSE),1)="L","Left")</f>
        <v>#N/A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8"/>
      <c r="C8" s="49"/>
      <c r="D8" s="50"/>
      <c r="F8" s="28" t="e">
        <f>"Height: " &amp; VLOOKUP(F2,Table1[#All],6,FALSE)</f>
        <v>#N/A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8"/>
      <c r="C9" s="49"/>
      <c r="D9" s="50"/>
      <c r="F9" s="28" t="e">
        <f>"Weight: " &amp; VLOOKUP(F2,Table1[#All],7,FALSE)</f>
        <v>#N/A</v>
      </c>
      <c r="P9" s="6"/>
      <c r="Q9" s="6"/>
    </row>
    <row r="10" spans="2:19" ht="15" customHeight="1" x14ac:dyDescent="0.25">
      <c r="B10" s="48"/>
      <c r="C10" s="49"/>
      <c r="D10" s="50"/>
      <c r="F10" s="28" t="e">
        <f>"Born: " &amp; VLOOKUP(F2, Table1[#All],8,FALSE) &amp; " (" &amp; VLOOKUP(F2,Table1[#All],11,FALSE) &amp; ")"</f>
        <v>#N/A</v>
      </c>
      <c r="Q10" s="11"/>
      <c r="R10" s="11"/>
      <c r="S10" s="11"/>
    </row>
    <row r="11" spans="2:19" x14ac:dyDescent="0.25">
      <c r="B11" s="48"/>
      <c r="C11" s="49"/>
      <c r="D11" s="50"/>
      <c r="F11" s="22" t="e">
        <f>"Hometown: " &amp; VLOOKUP(F2,Table1[#All],12,FALSE)</f>
        <v>#N/A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e">
        <f>"School: " &amp; VLOOKUP(F2,Table1[#All],9,FALSE)</f>
        <v>#N/A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1"/>
    </row>
    <row r="18" spans="2:19" x14ac:dyDescent="0.25">
      <c r="B18" s="13">
        <v>2022</v>
      </c>
      <c r="C18" s="13" t="e">
        <f>VLOOKUP(F2,Table1[#All],9,FALSE)</f>
        <v>#N/A</v>
      </c>
      <c r="D18" s="14" t="e" cm="1">
        <f t="array" ref="D18">_xlfn.IFS(VLOOKUP(F2,Table1[#All],14,FALSE)="NAIA Presto", VLOOKUP(F2,Table2[#All],4,FALSE),VLOOKUP(F2,Table1[#All],14,FALSE)="BR",VLOOKUP(F2,Table2[#All],14,FALSE))</f>
        <v>#N/A</v>
      </c>
      <c r="E18" s="14" t="e" cm="1">
        <f t="array" ref="E18">_xlfn.IFS(VLOOKUP(F2,Table1[#All],14,FALSE)="NAIA Presto", VLOOKUP(F2,Table2[#All],5,FALSE),VLOOKUP(F2,Table1[#All],14,FALSE)="BR", VLOOKUP(F2,Table2[#All],15,FALSE))</f>
        <v>#N/A</v>
      </c>
      <c r="F18" s="14" t="e" cm="1">
        <f t="array" ref="F18">_xlfn.IFS(VLOOKUP(F2,Table1[#All],14,FALSE)="NAIA Presto", VLOOKUP(F2,Table2[#All],6,FALSE),VLOOKUP(F2,Table1[#All],14,FALSE)="BR", VLOOKUP(F2,Table2[#All],9,FALSE))</f>
        <v>#N/A</v>
      </c>
      <c r="G18" s="14" t="e" cm="1">
        <f t="array" ref="G18">_xlfn.IFS(VLOOKUP(F2,Table1[#All],14,FALSE)="NAIA Presto", VLOOKUP(F2,Table2[#All],7,FALSE),VLOOKUP(F2,Table1[#All],14,FALSE)="BR", VLOOKUP(F2,Table2[#All],10,FALSE))</f>
        <v>#N/A</v>
      </c>
      <c r="H18" s="14" t="e" cm="1">
        <f t="array" ref="H18">_xlfn.IFS(VLOOKUP(F2,Table1[#All],14,FALSE)="NAIA Presto", VLOOKUP(F2,Table2[#All],8,FALSE),VLOOKUP(F2,Table1[#All],14,FALSE)="BR", VLOOKUP(F2,Table2[#All],19,FALSE))</f>
        <v>#N/A</v>
      </c>
      <c r="I18" s="14" t="e" cm="1">
        <f t="array" ref="I18">_xlfn.IFS(VLOOKUP(F2,Table1[#All],14,FALSE)="NAIA Presto", VLOOKUP(F2,Table2[#All],10,FALSE),VLOOKUP(F2,Table1[#All],14,FALSE)="BR", VLOOKUP(F2,Table2[#All],20,FALSE))</f>
        <v>#N/A</v>
      </c>
      <c r="J18" s="14" t="e" cm="1">
        <f t="array" ref="J18">_xlfn.IFS(VLOOKUP(F2,Table1[#All],14,FALSE)="NAIA Presto", VLOOKUP(F2,Table2[#All],11,FALSE),VLOOKUP(F2,Table1[#All],14,FALSE)="BR", VLOOKUP(F2,Table2[#All],21,FALSE))</f>
        <v>#N/A</v>
      </c>
      <c r="K18" s="14" t="e" cm="1">
        <f t="array" ref="K18">_xlfn.IFS(VLOOKUP(F2,Table1[#All],14,FALSE)="NAIA Presto", VLOOKUP(F2,Table2[#All],12,FALSE),VLOOKUP(F2,Table1[#All],14,FALSE)="BR", VLOOKUP(F2,Table2[#All],22,FALSE))</f>
        <v>#N/A</v>
      </c>
      <c r="L18" s="14" t="e" cm="1">
        <f t="array" ref="L18">_xlfn.IFS(VLOOKUP(F2,Table1[#All],14,FALSE)="NAIA Presto", VLOOKUP(F2,Table2[#All],13,FALSE),VLOOKUP(F2,Table1[#All],14,FALSE)="BR", VLOOKUP(F2,Table2[#All],23,FALSE))</f>
        <v>#N/A</v>
      </c>
      <c r="M18" s="14" t="e" cm="1">
        <f t="array" ref="M18">_xlfn.IFS(VLOOKUP(F2,Table1[#All],14,FALSE)="NAIA Presto", VLOOKUP(F2,Table2[#All],17,FALSE),VLOOKUP(F2,Table1[#All],14,FALSE)="BR", VLOOKUP(F2,Table2[#All],24,FALSE))</f>
        <v>#N/A</v>
      </c>
      <c r="N18" s="14" t="e" cm="1">
        <f t="array" ref="N18">_xlfn.IFS(VLOOKUP(F2,Table1[#All],14,FALSE)="NAIA Presto", VLOOKUP(F2,Table2[#All],14,FALSE),VLOOKUP(F2,Table1[#All],14,FALSE)="BR", VLOOKUP(F2,Table2[#All],25,FALSE))</f>
        <v>#N/A</v>
      </c>
      <c r="O18" s="14" t="e" cm="1">
        <f t="array" ref="O18">_xlfn.IFS(VLOOKUP(F2,Table1[#All],14,FALSE)="NAIA Presto", VLOOKUP(F2,Table2[#All],15,FALSE),VLOOKUP(F2,Table1[#All],14,FALSE)="BR", VLOOKUP(F2,Table2[#All],27,FALSE))</f>
        <v>#N/A</v>
      </c>
      <c r="P18" s="14" t="e" cm="1">
        <f t="array" ref="P18">_xlfn.IFS(VLOOKUP(F2,Table1[#All],14,FALSE)="NAIA Presto", VLOOKUP(F2,Table2[#All],18,FALSE),VLOOKUP(F2,Table1[#All],14,FALSE)="BR", VLOOKUP(F2,Table2[#All],12,FALSE))</f>
        <v>#N/A</v>
      </c>
      <c r="Q18" s="14" t="e" cm="1">
        <f t="array" ref="Q18">_xlfn.IFS(VLOOKUP(F2,Table1[#All],14,FALSE)="NAIA Presto", "",VLOOKUP(F2,Table1[#All],14,FALSE)="BR", VLOOKUP(F2,Table2[#All],32,FALSE))</f>
        <v>#N/A</v>
      </c>
      <c r="R18" s="14" t="e" cm="1">
        <f t="array" ref="R18">_xlfn.IFS(VLOOKUP(F2,Table1[#All],14,FALSE)="NAIA Presto", VLOOKUP(F2,Table2[#All],16,FALSE),VLOOKUP(F2,Table1[#All],14,FALSE)="BR", VLOOKUP(F2,Table2[#All],36,FALSE))</f>
        <v>#N/A</v>
      </c>
      <c r="S18" s="1"/>
    </row>
    <row r="19" spans="2:19" x14ac:dyDescent="0.25">
      <c r="B19" s="1"/>
      <c r="C19" s="1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1"/>
    </row>
    <row r="20" spans="2:19" x14ac:dyDescent="0.25">
      <c r="B20" s="13" t="s">
        <v>136</v>
      </c>
      <c r="C20" s="13" t="s">
        <v>174</v>
      </c>
      <c r="D20" s="13" t="s">
        <v>148</v>
      </c>
      <c r="E20" s="13" t="s">
        <v>175</v>
      </c>
      <c r="F20" s="13" t="s">
        <v>156</v>
      </c>
      <c r="G20" s="13" t="s">
        <v>155</v>
      </c>
      <c r="H20" s="13" t="s">
        <v>176</v>
      </c>
      <c r="I20" s="13" t="s">
        <v>177</v>
      </c>
      <c r="J20" s="13" t="s">
        <v>158</v>
      </c>
      <c r="K20" s="13" t="s">
        <v>178</v>
      </c>
      <c r="L20" s="13" t="s">
        <v>179</v>
      </c>
      <c r="M20" s="13" t="s">
        <v>180</v>
      </c>
      <c r="N20" s="13" t="s">
        <v>159</v>
      </c>
      <c r="O20" s="13" t="s">
        <v>161</v>
      </c>
      <c r="P20" s="13" t="s">
        <v>181</v>
      </c>
      <c r="Q20" s="13" t="s">
        <v>182</v>
      </c>
      <c r="R20" s="13" t="s">
        <v>183</v>
      </c>
      <c r="S20" s="13" t="s">
        <v>184</v>
      </c>
    </row>
    <row r="21" spans="2:19" x14ac:dyDescent="0.25">
      <c r="B21" s="13">
        <v>2022</v>
      </c>
      <c r="C21" s="13" t="e">
        <f>VLOOKUP(F2,Table1[#All],9,FALSE)</f>
        <v>#N/A</v>
      </c>
      <c r="D21" s="13" t="e" cm="1">
        <f t="array" ref="D21">_xlfn.IFS(VLOOKUP(F2,Table1[#All],14,FALSE)="NAIA Presto",VLOOKUP(F2,Table4[#All],4,FALSE),VLOOKUP(F2,Table1[#All],14,FALSE)="BR",VLOOKUP(F2,Table4[#All],9,FALSE))</f>
        <v>#N/A</v>
      </c>
      <c r="E21" s="13" t="e" cm="1">
        <f t="array" ref="E21">_xlfn.IFS(VLOOKUP(F2,Table1[#All],14,FALSE)="NAIA Presto",VLOOKUP(F2,Table4[#All],5,FALSE),VLOOKUP(F2,Table1[#All],14,FALSE)="BR",VLOOKUP(F2,Table4[#All],11,FALSE))</f>
        <v>#N/A</v>
      </c>
      <c r="F21" s="13" t="e" cm="1">
        <f t="array" ref="F21">_xlfn.IFS(VLOOKUP(F2,Table1[#All],14,FALSE)="NAIA Presto",VLOOKUP(F2,Table4[#All],6,FALSE),VLOOKUP(F2,Table1[#All],14,FALSE)="BR",VLOOKUP(F2,Table4[#All],12,FALSE))</f>
        <v>#N/A</v>
      </c>
      <c r="G21" s="13" t="e" cm="1">
        <f t="array" ref="G21">_xlfn.IFS(VLOOKUP(F2,Table1[#All],14,FALSE)="NAIA Presto",VLOOKUP(F2,Table4[#All],7,FALSE),VLOOKUP(F2,Table1[#All],14,FALSE)="BR",VLOOKUP(F2,Table4[#All],13,FALSE))</f>
        <v>#N/A</v>
      </c>
      <c r="H21" s="13" t="e" cm="1">
        <f t="array" ref="H21">_xlfn.IFS(VLOOKUP(F2,Table1[#All],14,FALSE)="NAIA Presto",VLOOKUP(F2,Table4[#All],8,FALSE),VLOOKUP(F2,Table1[#All],14,FALSE)="BR",VLOOKUP(F2,Table4[#All],14,FALSE))</f>
        <v>#N/A</v>
      </c>
      <c r="I21" s="13" t="e" cm="1">
        <f t="array" ref="I21">_xlfn.IFS(VLOOKUP(F2,Table1[#All],14,FALSE)="NAIA Presto",VLOOKUP(F2,Table4[#All],9,FALSE),VLOOKUP(F2,Table1[#All],14,FALSE)="BR",VLOOKUP(F2,Table4[#All],15,FALSE))</f>
        <v>#N/A</v>
      </c>
      <c r="J21" s="13" t="e" cm="1">
        <f t="array" ref="J21">_xlfn.IFS(VLOOKUP(F2,Table1[#All],14,FALSE)="NAIA Presto",VLOOKUP(F2,Table4[#All],10,FALSE),VLOOKUP(F2,Table1[#All],14,FALSE)="BR",VLOOKUP(F2,Table4[#All],16,FALSE))</f>
        <v>#N/A</v>
      </c>
      <c r="K21" s="13" t="e" cm="1">
        <f t="array" ref="K21">_xlfn.IFS(VLOOKUP(F2,Table1[#All],14,FALSE)="NAIA Presto",VLOOKUP(F2,Table4[#All],11,FALSE),VLOOKUP(F2,Table1[#All],14,FALSE)="BR",VLOOKUP(F2,Table4[#All],17,FALSE))</f>
        <v>#N/A</v>
      </c>
      <c r="L21" s="13" t="e" cm="1">
        <f t="array" ref="L21">_xlfn.IFS(VLOOKUP(F2,Table1[#All],14,FALSE)="NAIA Presto",VLOOKUP(F2,Table4[#All],14,FALSE),VLOOKUP(F2,Table1[#All],14,FALSE)="BR",VLOOKUP(F2,Table4[#All],18,FALSE))</f>
        <v>#N/A</v>
      </c>
      <c r="M21" s="13" t="e" cm="1">
        <f t="array" ref="M21">_xlfn.IFS(VLOOKUP(F2,Table1[#All],14,FALSE)="NAIA Presto",VLOOKUP(F2,Table4[#All],15,FALSE),VLOOKUP(F2,Table1[#All],14,FALSE)="BR",VLOOKUP(F2,Table4[#All],19,FALSE))</f>
        <v>#N/A</v>
      </c>
      <c r="N21" s="13" t="e" cm="1">
        <f t="array" ref="N21">_xlfn.IFS(VLOOKUP(F2,Table1[#All],14,FALSE)="NAIA Presto",VLOOKUP(F2,Table4[#All],12,FALSE),VLOOKUP(F2,Table1[#All],14,FALSE)="BR",VLOOKUP(F2,Table4[#All],20,FALSE))</f>
        <v>#N/A</v>
      </c>
      <c r="O21" s="13" t="e" cm="1">
        <f t="array" ref="O21">_xlfn.IFS(VLOOKUP(F2,Table1[#All],14,FALSE)="NAIA Presto",VLOOKUP(F2,Table4[#All],13,FALSE),VLOOKUP(F2,Table1[#All],14,FALSE)="BR",VLOOKUP(F2,Table4[#All],21,FALSE))</f>
        <v>#N/A</v>
      </c>
      <c r="P21" s="16" t="e" cm="1">
        <f t="array" ref="P21">_xlfn.IFS(VLOOKUP(F2,Table1[#All],14,FALSE)="NAIA Presto",VLOOKUP(F2,Table4[#All],16,FALSE),VLOOKUP(F2,Table1[#All],14,FALSE)="BR",VLOOKUP(F2,Table4[#All],22,FALSE))</f>
        <v>#N/A</v>
      </c>
      <c r="Q21" s="16" t="e" cm="1">
        <f t="array" ref="Q21">_xlfn.IFS(VLOOKUP(F2,Table1[#All],14,FALSE)="NAIA Presto",VLOOKUP(F2,Table4[#All],17,FALSE),VLOOKUP(F2,Table1[#All],14,FALSE)="BR",VLOOKUP(F2,Table4[#All],23,FALSE))</f>
        <v>#N/A</v>
      </c>
      <c r="R21" s="16" t="e" cm="1">
        <f t="array" ref="R21">_xlfn.IFS(VLOOKUP(F2,Table1[#All],14,FALSE)="NAIA Presto",VLOOKUP(F2,Table4[#All],18,FALSE),VLOOKUP(F2,Table1[#All],14,FALSE)="BR",VLOOKUP(F2,Table4[#All],24,FALSE))</f>
        <v>#N/A</v>
      </c>
      <c r="S21" s="16" t="e" cm="1">
        <f t="array" ref="S21">_xlfn.IFS(VLOOKUP(F2,Table1[#All],14,FALSE)="NAIA Presto",Q21+R21,VLOOKUP(F2,Table1[#All],14,FALSE)="BR",VLOOKUP(F2,Table4[#All],25,FALSE))</f>
        <v>#N/A</v>
      </c>
    </row>
    <row r="23" spans="2:19" x14ac:dyDescent="0.25">
      <c r="B23" s="44" t="s">
        <v>186</v>
      </c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</row>
    <row r="24" spans="2:19" x14ac:dyDescent="0.25">
      <c r="B24" s="13" t="s">
        <v>136</v>
      </c>
      <c r="C24" s="13" t="s">
        <v>187</v>
      </c>
      <c r="D24" s="13" t="s">
        <v>148</v>
      </c>
      <c r="E24" s="13" t="s">
        <v>149</v>
      </c>
      <c r="F24" s="13" t="s">
        <v>143</v>
      </c>
      <c r="G24" s="13" t="s">
        <v>144</v>
      </c>
      <c r="H24" s="13" t="s">
        <v>153</v>
      </c>
      <c r="I24" s="13" t="s">
        <v>154</v>
      </c>
      <c r="J24" s="13" t="s">
        <v>155</v>
      </c>
      <c r="K24" s="13" t="s">
        <v>156</v>
      </c>
      <c r="L24" s="13" t="s">
        <v>157</v>
      </c>
      <c r="M24" s="13" t="s">
        <v>158</v>
      </c>
      <c r="N24" s="13" t="s">
        <v>159</v>
      </c>
      <c r="O24" s="13" t="s">
        <v>161</v>
      </c>
      <c r="P24" s="13" t="s">
        <v>146</v>
      </c>
      <c r="Q24" s="13" t="s">
        <v>166</v>
      </c>
      <c r="R24" s="13" t="s">
        <v>185</v>
      </c>
      <c r="S24" s="1"/>
    </row>
    <row r="25" spans="2:19" x14ac:dyDescent="0.25">
      <c r="B25" s="13" t="e">
        <f>VLOOKUP(F2,Table3[#All],2,FALSE)</f>
        <v>#N/A</v>
      </c>
      <c r="C25" s="13" t="e" cm="1">
        <f t="array" ref="C25">_xlfn.IFS(VLOOKUP(F2,Table1[#All],15,FALSE)="BR",VLOOKUP(F2,Table3[#All],5,FALSE),VLOOKUP(F2,Table1[#All],15,FALSE)="Pointstreak",VLOOKUP(F2,Table3[#All],3,FALSE))</f>
        <v>#N/A</v>
      </c>
      <c r="D25" s="13" t="e" cm="1">
        <f t="array" ref="D25">_xlfn.IFS(VLOOKUP(F2,Table1[#All],15,FALSE)="BR",VLOOKUP(F2,Table3[#All],14,FALSE),VLOOKUP(F2,Table1[#All],15,FALSE)="Pointstreak",VLOOKUP(F2,Table3[#All],7,FALSE))</f>
        <v>#N/A</v>
      </c>
      <c r="E25" s="13" t="e" cm="1">
        <f t="array" ref="E25">_xlfn.IFS(VLOOKUP(F2,Table1[#All],15,FALSE)="BR",VLOOKUP(F2,Table3[#All],15,FALSE),VLOOKUP(F2,Table1[#All],15,FALSE)="Pointstreak",VLOOKUP(F2,Table3[#All],8,FALSE))</f>
        <v>#N/A</v>
      </c>
      <c r="F25" s="13" t="e" cm="1">
        <f t="array" ref="F25">_xlfn.IFS(VLOOKUP(F2,Table1[#All],15,FALSE)="BR",VLOOKUP(F2,Table3[#All],9,FALSE),VLOOKUP(F2,Table1[#All],15,FALSE)="Pointstreak",VLOOKUP(F2,Table3[#All],4,FALSE))</f>
        <v>#N/A</v>
      </c>
      <c r="G25" s="13" t="e" cm="1">
        <f t="array" ref="G25">_xlfn.IFS(VLOOKUP(F2,Table1[#All],15,FALSE)="BR",VLOOKUP(F2,Table3[#All],10,FALSE),VLOOKUP(F2,Table1[#All],15,FALSE)="Pointstreak",VLOOKUP(F2,Table3[#All],5,FALSE))</f>
        <v>#N/A</v>
      </c>
      <c r="H25" s="13" t="e" cm="1">
        <f t="array" ref="H25">_xlfn.IFS(VLOOKUP(F2,Table1[#All],15,FALSE)="BR",VLOOKUP(F2,Table3[#All],19,FALSE),VLOOKUP(F2,Table1[#All],15,FALSE)="Pointstreak",VLOOKUP(F2,Table3[#All],10,FALSE))</f>
        <v>#N/A</v>
      </c>
      <c r="I25" s="13" t="e" cm="1">
        <f t="array" ref="I25">_xlfn.IFS(VLOOKUP(F2,Table1[#All],15,FALSE)="BR",VLOOKUP(F2,Table3[#All],20,FALSE),VLOOKUP(F2,Table1[#All],15,FALSE)="Pointstreak",VLOOKUP(F2,Table3[#All],11,FALSE))</f>
        <v>#N/A</v>
      </c>
      <c r="J25" s="13" t="e" cm="1">
        <f t="array" ref="J25">_xlfn.IFS(VLOOKUP(F2,Table1[#All],15,FALSE)="BR",VLOOKUP(F2,Table3[#All],21,FALSE),VLOOKUP(F2,Table1[#All],15,FALSE)="Pointstreak",VLOOKUP(F2,Table3[#All],14,FALSE))</f>
        <v>#N/A</v>
      </c>
      <c r="K25" s="13" t="e" cm="1">
        <f t="array" ref="K25">_xlfn.IFS(VLOOKUP(F2,Table1[#All],15,FALSE)="BR",VLOOKUP(F2,Table3[#All],22,FALSE),VLOOKUP(F2,Table1[#All],15,FALSE)="Pointstreak","")</f>
        <v>#N/A</v>
      </c>
      <c r="L25" s="13" t="e" cm="1">
        <f t="array" ref="L25">_xlfn.IFS(VLOOKUP(F2,Table1[#All],15,FALSE)="BR",VLOOKUP(F2,Table3[#All],23,FALSE),VLOOKUP(F2,Table1[#All],15,FALSE)="Pointstreak","")</f>
        <v>#N/A</v>
      </c>
      <c r="M25" s="13" t="e" cm="1">
        <f t="array" ref="M25">_xlfn.IFS(VLOOKUP(F2,Table1[#All],15,FALSE)="BR",VLOOKUP(F2,Table3[#All],24,FALSE),VLOOKUP(F2,Table1[#All],15,FALSE)="Pointstreak","")</f>
        <v>#N/A</v>
      </c>
      <c r="N25" s="13" t="e" cm="1">
        <f t="array" ref="N25">_xlfn.IFS(VLOOKUP(F2,Table1[#All],15,FALSE)="BR",VLOOKUP(F2,Table3[#All],25,FALSE),VLOOKUP(F2,Table1[#All],15,FALSE)="Pointstreak",VLOOKUP(F2,Table3[#All],13,FALSE))</f>
        <v>#N/A</v>
      </c>
      <c r="O25" s="13" t="e" cm="1">
        <f t="array" ref="O25">_xlfn.IFS(VLOOKUP(F2,Table1[#All],15,FALSE)="BR",VLOOKUP(F2,Table3[#All],27,FALSE),VLOOKUP(F2,Table1[#All],15,FALSE)="Pointstreak",VLOOKUP(F2,Table3[#All],12,FALSE))</f>
        <v>#N/A</v>
      </c>
      <c r="P25" s="13" t="e" cm="1">
        <f t="array" ref="P25">_xlfn.IFS(VLOOKUP(F2,Table1[#All],15,FALSE)="BR",VLOOKUP(F2,Table3[#All],12,FALSE),VLOOKUP(F2,Table1[#All],15,FALSE)="Pointstreak",VLOOKUP(F2,Table3[#All],6,FALSE))</f>
        <v>#N/A</v>
      </c>
      <c r="Q25" s="15" t="e" cm="1">
        <f t="array" ref="Q25">_xlfn.IFS(VLOOKUP(F2,Table1[#All],15,FALSE)="BR",VLOOKUP(F2,Table3[#All],32,FALSE),VLOOKUP(F2,Table1[#All],15,FALSE)="Pointstreak","")</f>
        <v>#N/A</v>
      </c>
      <c r="R25" s="13" t="e" cm="1">
        <f t="array" ref="R25">_xlfn.IFS(VLOOKUP(F2,Table1[#All],15,FALSE)="BR",VLOOKUP(F2,Table3[#All],36,FALSE),VLOOKUP(F2,Table1[#All],15,FALSE)="Pointstreak","")</f>
        <v>#N/A</v>
      </c>
      <c r="S25" s="1"/>
    </row>
    <row r="26" spans="2:19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2:19" x14ac:dyDescent="0.25">
      <c r="B27" s="13" t="s">
        <v>136</v>
      </c>
      <c r="C27" s="13" t="s">
        <v>187</v>
      </c>
      <c r="D27" s="13" t="s">
        <v>148</v>
      </c>
      <c r="E27" s="13" t="s">
        <v>175</v>
      </c>
      <c r="F27" s="13" t="s">
        <v>156</v>
      </c>
      <c r="G27" s="13" t="s">
        <v>155</v>
      </c>
      <c r="H27" s="13" t="s">
        <v>176</v>
      </c>
      <c r="I27" s="13" t="s">
        <v>177</v>
      </c>
      <c r="J27" s="13" t="s">
        <v>158</v>
      </c>
      <c r="K27" s="13" t="s">
        <v>178</v>
      </c>
      <c r="L27" s="13" t="s">
        <v>179</v>
      </c>
      <c r="M27" s="13" t="s">
        <v>180</v>
      </c>
      <c r="N27" s="13" t="s">
        <v>159</v>
      </c>
      <c r="O27" s="13" t="s">
        <v>161</v>
      </c>
      <c r="P27" s="13" t="s">
        <v>181</v>
      </c>
      <c r="Q27" s="13" t="s">
        <v>182</v>
      </c>
      <c r="R27" s="13" t="s">
        <v>183</v>
      </c>
      <c r="S27" s="13" t="s">
        <v>184</v>
      </c>
    </row>
    <row r="28" spans="2:19" x14ac:dyDescent="0.25">
      <c r="B28" s="13" t="e" cm="1">
        <f t="array" ref="B28">_xlfn.IFS(VLOOKUP(F2,Table1[#All],15,FALSE)="BR",VLOOKUP(F2,Table5[#All],2,FALSE),VLOOKUP(F2,Table1[#All],15,FALSE)="Pointstreak",VLOOKUP(F2,Table5[#All],2,FALSE))</f>
        <v>#N/A</v>
      </c>
      <c r="C28" s="13" t="e" cm="1">
        <f t="array" ref="C28">_xlfn.IFS(VLOOKUP(F2,Table1[#All],15,FALSE)="BR",VLOOKUP(F2,Table5[#All],5,FALSE),VLOOKUP(F2,Table1[#All],15,FALSE)="Pointstreak",VLOOKUP(F2,Table5[#All],3,FALSE))</f>
        <v>#N/A</v>
      </c>
      <c r="D28" s="13" t="e" cm="1">
        <f t="array" ref="D28">_xlfn.IFS(VLOOKUP(F2,Table1[#All],15,FALSE)="BR",VLOOKUP(F2,Table5[#All],9,FALSE),VLOOKUP(F2,Table1[#All],15,FALSE)="Pointstreak",VLOOKUP(F2,Table5[#All],4,FALSE))</f>
        <v>#N/A</v>
      </c>
      <c r="E28" s="13" t="e" cm="1">
        <f t="array" ref="E28">_xlfn.IFS(VLOOKUP(F2,Table1[#All],15,FALSE)="BR",VLOOKUP(F2,Table5[#All],11,FALSE),VLOOKUP(F2,Table1[#All],15,FALSE)="Pointstreak",VLOOKUP(F2,Table5[#All],5,FALSE))</f>
        <v>#N/A</v>
      </c>
      <c r="F28" s="13" t="e" cm="1">
        <f t="array" ref="F28">_xlfn.IFS(VLOOKUP(F2,Table1[#All],15,FALSE)="BR",VLOOKUP(F2,Table5[#All],12,FALSE),VLOOKUP(F2,Table1[#All],15,FALSE)="Pointstreak",VLOOKUP(F2,Table5[#All],6,FALSE))</f>
        <v>#N/A</v>
      </c>
      <c r="G28" s="13" t="e" cm="1">
        <f t="array" ref="G28">_xlfn.IFS(VLOOKUP(F2,Table1[#All],15,FALSE)="BR",VLOOKUP(F2,Table5[#All],13,FALSE),VLOOKUP(F2,Table1[#All],15,FALSE)="Pointstreak",VLOOKUP(F2,Table5[#All],7,FALSE))</f>
        <v>#N/A</v>
      </c>
      <c r="H28" s="13" t="e" cm="1">
        <f t="array" ref="H28">_xlfn.IFS(VLOOKUP(F2,Table1[#All],15,FALSE)="BR",VLOOKUP(F2,Table5[#All],14,FALSE),VLOOKUP(F2,Table1[#All],15,FALSE)="Pointstreak",VLOOKUP(F2,Table5[#All],8,FALSE))</f>
        <v>#N/A</v>
      </c>
      <c r="I28" s="13" t="e" cm="1">
        <f t="array" ref="I28">_xlfn.IFS(VLOOKUP(F2,Table1[#All],15,FALSE)="BR",VLOOKUP(F2,Table5[#All],15,FALSE),VLOOKUP(F2,Table1[#All],15,FALSE)="Pointstreak",VLOOKUP(F2,Table5[#All],9,FALSE))</f>
        <v>#N/A</v>
      </c>
      <c r="J28" s="13" t="e" cm="1">
        <f t="array" ref="J28">_xlfn.IFS(VLOOKUP(F2,Table1[#All],15,FALSE)="BR",VLOOKUP(F2,Table5[#All],16,FALSE),VLOOKUP(F2,Table1[#All],15,FALSE)="Pointstreak",VLOOKUP(F2,Table5[#All],10,FALSE))</f>
        <v>#N/A</v>
      </c>
      <c r="K28" s="13" t="e" cm="1">
        <f t="array" ref="K28">_xlfn.IFS(VLOOKUP(F2,Table1[#All],15,FALSE)="BR",VLOOKUP(F2,Table5[#All],17,FALSE),VLOOKUP(F2,Table1[#All],15,FALSE)="Pointstreak",VLOOKUP(F2,Table5[#All],11,FALSE))</f>
        <v>#N/A</v>
      </c>
      <c r="L28" s="13" t="e" cm="1">
        <f t="array" ref="L28">_xlfn.IFS(VLOOKUP(F2,Table1[#All],15,FALSE)="BR",VLOOKUP(F2,Table5[#All],18,FALSE),VLOOKUP(F2,Table1[#All],15,FALSE)="Pointstreak",VLOOKUP(F2,Table5[#All],14,FALSE))</f>
        <v>#N/A</v>
      </c>
      <c r="M28" s="13" t="e" cm="1">
        <f t="array" ref="M28">_xlfn.IFS(VLOOKUP(F2,Table1[#All],15,FALSE)="BR",VLOOKUP(F2,Table5[#All],19,FALSE),VLOOKUP(F2,Table1[#All],15,FALSE)="Pointstreak","")</f>
        <v>#N/A</v>
      </c>
      <c r="N28" s="13" t="e" cm="1">
        <f t="array" ref="N28">_xlfn.IFS(VLOOKUP(F2,Table1[#All],15,FALSE)="BR",VLOOKUP(F2,Table5[#All],20,FALSE),VLOOKUP(F2,Table1[#All],15,FALSE)="Pointstreak",VLOOKUP(F2,Table5[#All],12,FALSE))</f>
        <v>#N/A</v>
      </c>
      <c r="O28" s="13" t="e" cm="1">
        <f t="array" ref="O28">_xlfn.IFS(VLOOKUP(F2,Table1[#All],15,FALSE)="BR",VLOOKUP(F2,Table5[#All],21,FALSE),VLOOKUP(F2,Table1[#All],15,FALSE)="Pointstreak",VLOOKUP(F2,Table5[#All],13,FALSE))</f>
        <v>#N/A</v>
      </c>
      <c r="P28" s="16" t="e" cm="1">
        <f t="array" ref="P28">_xlfn.IFS(VLOOKUP(F2,Table1[#All],15,FALSE)="BR",VLOOKUP(F2,Table5[#All],22,FALSE),VLOOKUP(F2,Table1[#All],15,FALSE)="Pointstreak",VLOOKUP(F2,Table5[#All],15,FALSE))</f>
        <v>#N/A</v>
      </c>
      <c r="Q28" s="16" t="e" cm="1">
        <f t="array" ref="Q28">_xlfn.IFS(VLOOKUP(F2,Table1[#All],15,FALSE)="BR",VLOOKUP(F2,Table5[#All],23,FALSE),VLOOKUP(F2,Table1[#All],15,FALSE)="Pointstreak","")</f>
        <v>#N/A</v>
      </c>
      <c r="R28" s="16" t="e" cm="1">
        <f t="array" ref="R28">_xlfn.IFS(VLOOKUP(F2,Table1[#All],15,FALSE)="BR",VLOOKUP(F2,Table5[#All],24,FALSE),VLOOKUP(F2,Table1[#All],15,FALSE)="Pointstreak",((G28-H28-I28-J28)+2*H28+3*I28+4*J28)/E28)</f>
        <v>#N/A</v>
      </c>
      <c r="S28" s="16" t="e" cm="1">
        <f t="array" ref="S28">_xlfn.IFS(VLOOKUP(F2,Table1[#All],15,FALSE)="BR",VLOOKUP(F2,Table5[#All],25,FALSE),VLOOKUP(F2,Table1[#All],15,FALSE)="Pointstreak",Q28+R28)</f>
        <v>#N/A</v>
      </c>
    </row>
  </sheetData>
  <mergeCells count="7">
    <mergeCell ref="F13:O14"/>
    <mergeCell ref="B23:S23"/>
    <mergeCell ref="B2:D14"/>
    <mergeCell ref="B16:S16"/>
    <mergeCell ref="F2:M3"/>
    <mergeCell ref="N2:O3"/>
    <mergeCell ref="P2:S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0B9E6-9CA8-40F1-BDB2-10643BAA1492}">
  <dimension ref="B2:S19"/>
  <sheetViews>
    <sheetView workbookViewId="0">
      <selection activeCell="P12" sqref="P12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521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99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28"/>
      <c r="H4" s="28"/>
      <c r="I4" s="28"/>
      <c r="J4" s="28"/>
      <c r="K4" s="28"/>
      <c r="L4" s="28"/>
      <c r="M4" s="28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9"/>
      <c r="C8" s="49"/>
      <c r="D8" s="49"/>
      <c r="F8" s="28" t="str">
        <f>"Height: " &amp; VLOOKUP(F2,Table1[#All],6,FALSE)</f>
        <v>Height: 6'1"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9"/>
      <c r="C9" s="49"/>
      <c r="D9" s="49"/>
      <c r="F9" s="28" t="str">
        <f>"Weight: " &amp; VLOOKUP(F2,Table1[#All],7,FALSE)</f>
        <v>Weight: 195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October 18, 1999 (R-Sophomore)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Tucson, AZ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Embry-Riddle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41"/>
    </row>
    <row r="18" spans="2:19" x14ac:dyDescent="0.25">
      <c r="B18" s="13">
        <v>2022</v>
      </c>
      <c r="C18" s="13" t="str">
        <f>VLOOKUP(F2,Table1[#All],9,FALSE)</f>
        <v>Embry-Riddle</v>
      </c>
      <c r="D18" s="14" cm="1">
        <f t="array" ref="D18">_xlfn.IFS(VLOOKUP(F2,Table1[#All],14,FALSE)="NAIA Presto", VLOOKUP(F2,Table2[#All],4,FALSE),VLOOKUP(F2,Table1[#All],14,FALSE)="BR",VLOOKUP(F2,Table2[#All],14,FALSE))</f>
        <v>8</v>
      </c>
      <c r="E18" s="14" cm="1">
        <f t="array" ref="E18">_xlfn.IFS(VLOOKUP(F2,Table1[#All],14,FALSE)="NAIA Presto", VLOOKUP(F2,Table2[#All],5,FALSE),VLOOKUP(F2,Table1[#All],14,FALSE)="BR", VLOOKUP(F2,Table2[#All],15,FALSE))</f>
        <v>2</v>
      </c>
      <c r="F18" s="14" cm="1">
        <f t="array" ref="F18">_xlfn.IFS(VLOOKUP(F2,Table1[#All],14,FALSE)="NAIA Presto", VLOOKUP(F2,Table2[#All],6,FALSE),VLOOKUP(F2,Table1[#All],14,FALSE)="BR", VLOOKUP(F2,Table2[#All],9,FALSE))</f>
        <v>0</v>
      </c>
      <c r="G18" s="14" cm="1">
        <f t="array" ref="G18">_xlfn.IFS(VLOOKUP(F2,Table1[#All],14,FALSE)="NAIA Presto", VLOOKUP(F2,Table2[#All],7,FALSE),VLOOKUP(F2,Table1[#All],14,FALSE)="BR", VLOOKUP(F2,Table2[#All],10,FALSE))</f>
        <v>1</v>
      </c>
      <c r="H18" s="14" cm="1">
        <f t="array" ref="H18">_xlfn.IFS(VLOOKUP(F2,Table1[#All],14,FALSE)="NAIA Presto", VLOOKUP(F2,Table2[#All],8,FALSE),VLOOKUP(F2,Table1[#All],14,FALSE)="BR", VLOOKUP(F2,Table2[#All],19,FALSE))</f>
        <v>2</v>
      </c>
      <c r="I18" s="14" cm="1">
        <f t="array" ref="I18">_xlfn.IFS(VLOOKUP(F2,Table1[#All],14,FALSE)="NAIA Presto", VLOOKUP(F2,Table2[#All],10,FALSE),VLOOKUP(F2,Table1[#All],14,FALSE)="BR", VLOOKUP(F2,Table2[#All],20,FALSE))</f>
        <v>15.1</v>
      </c>
      <c r="J18" s="14" cm="1">
        <f t="array" ref="J18">_xlfn.IFS(VLOOKUP(F2,Table1[#All],14,FALSE)="NAIA Presto", VLOOKUP(F2,Table2[#All],11,FALSE),VLOOKUP(F2,Table1[#All],14,FALSE)="BR", VLOOKUP(F2,Table2[#All],21,FALSE))</f>
        <v>17</v>
      </c>
      <c r="K18" s="14" cm="1">
        <f t="array" ref="K18">_xlfn.IFS(VLOOKUP(F2,Table1[#All],14,FALSE)="NAIA Presto", VLOOKUP(F2,Table2[#All],12,FALSE),VLOOKUP(F2,Table1[#All],14,FALSE)="BR", VLOOKUP(F2,Table2[#All],22,FALSE))</f>
        <v>16</v>
      </c>
      <c r="L18" s="14" cm="1">
        <f t="array" ref="L18">_xlfn.IFS(VLOOKUP(F2,Table1[#All],14,FALSE)="NAIA Presto", VLOOKUP(F2,Table2[#All],13,FALSE),VLOOKUP(F2,Table1[#All],14,FALSE)="BR", VLOOKUP(F2,Table2[#All],23,FALSE))</f>
        <v>11</v>
      </c>
      <c r="M18" s="14" cm="1">
        <f t="array" ref="M18">_xlfn.IFS(VLOOKUP(F2,Table1[#All],14,FALSE)="NAIA Presto", VLOOKUP(F2,Table2[#All],17,FALSE),VLOOKUP(F2,Table1[#All],14,FALSE)="BR", VLOOKUP(F2,Table2[#All],24,FALSE))</f>
        <v>1</v>
      </c>
      <c r="N18" s="14" cm="1">
        <f t="array" ref="N18">_xlfn.IFS(VLOOKUP(F2,Table1[#All],14,FALSE)="NAIA Presto", VLOOKUP(F2,Table2[#All],14,FALSE),VLOOKUP(F2,Table1[#All],14,FALSE)="BR", VLOOKUP(F2,Table2[#All],25,FALSE))</f>
        <v>4</v>
      </c>
      <c r="O18" s="14" cm="1">
        <f t="array" ref="O18">_xlfn.IFS(VLOOKUP(F2,Table1[#All],14,FALSE)="NAIA Presto", VLOOKUP(F2,Table2[#All],15,FALSE),VLOOKUP(F2,Table1[#All],14,FALSE)="BR", VLOOKUP(F2,Table2[#All],27,FALSE))</f>
        <v>18</v>
      </c>
      <c r="P18" s="14" cm="1">
        <f t="array" ref="P18">_xlfn.IFS(VLOOKUP(F2,Table1[#All],14,FALSE)="NAIA Presto", VLOOKUP(F2,Table2[#All],18,FALSE),VLOOKUP(F2,Table1[#All],14,FALSE)="BR", VLOOKUP(F2,Table2[#All],12,FALSE))</f>
        <v>6.46</v>
      </c>
      <c r="Q18" s="14" cm="1">
        <f t="array" ref="Q18">_xlfn.IFS(VLOOKUP(F2,Table1[#All],14,FALSE)="NAIA Presto", "",VLOOKUP(F2,Table1[#All],14,FALSE)="BR", VLOOKUP(F2,Table2[#All],32,FALSE))</f>
        <v>1.37</v>
      </c>
      <c r="R18" s="19" cm="1">
        <f t="array" ref="R18">_xlfn.IFS(VLOOKUP(F2,Table1[#All],14,FALSE)="NAIA Presto", VLOOKUP(F2,Table2[#All],16,FALSE),VLOOKUP(F2,Table1[#All],14,FALSE)="BR", VLOOKUP(F2,Table2[#All],36,FALSE))</f>
        <v>10.6</v>
      </c>
      <c r="S18" s="41"/>
    </row>
    <row r="19" spans="2:19" x14ac:dyDescent="0.25">
      <c r="B19" s="41"/>
      <c r="C19" s="41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41"/>
    </row>
  </sheetData>
  <mergeCells count="5">
    <mergeCell ref="B16:R16"/>
    <mergeCell ref="B2:D14"/>
    <mergeCell ref="F2:M3"/>
    <mergeCell ref="N2:O3"/>
    <mergeCell ref="F13:O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29239-8039-40A1-8120-D50EF2AB9443}">
  <dimension ref="B2:S25"/>
  <sheetViews>
    <sheetView showGridLines="0" workbookViewId="0">
      <selection activeCell="F6" sqref="F6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348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6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28"/>
      <c r="H4" s="28"/>
      <c r="I4" s="28"/>
      <c r="J4" s="28"/>
      <c r="K4" s="28"/>
      <c r="L4" s="28"/>
      <c r="M4" s="28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9"/>
      <c r="C8" s="49"/>
      <c r="D8" s="49"/>
      <c r="F8" s="28" t="str">
        <f>"Height: " &amp; VLOOKUP(F2,Table1[#All],6,FALSE)</f>
        <v>Height: 6'2"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9"/>
      <c r="C9" s="49"/>
      <c r="D9" s="49"/>
      <c r="F9" s="28" t="str">
        <f>"Weight: " &amp; VLOOKUP(F2,Table1[#All],7,FALSE)</f>
        <v>Weight: 205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April 30, 2002 (Sophomore)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Grand Rapids, MI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Kellogg CC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7"/>
    </row>
    <row r="18" spans="2:19" x14ac:dyDescent="0.25">
      <c r="B18" s="13">
        <v>2022</v>
      </c>
      <c r="C18" s="13" t="str">
        <f>VLOOKUP(F2,Table1[#All],9,FALSE)</f>
        <v>Kellogg CC</v>
      </c>
      <c r="D18" s="14" cm="1">
        <f t="array" ref="D18">_xlfn.IFS(VLOOKUP(F2,Table1[#All],14,FALSE)="NAIA Presto", VLOOKUP(F2,Table2[#All],4,FALSE),VLOOKUP(F2,Table1[#All],14,FALSE)="BR",VLOOKUP(F2,Table2[#All],14,FALSE))</f>
        <v>13</v>
      </c>
      <c r="E18" s="14" cm="1">
        <f t="array" ref="E18">_xlfn.IFS(VLOOKUP(F2,Table1[#All],14,FALSE)="NAIA Presto", VLOOKUP(F2,Table2[#All],5,FALSE),VLOOKUP(F2,Table1[#All],14,FALSE)="BR", VLOOKUP(F2,Table2[#All],15,FALSE))</f>
        <v>10</v>
      </c>
      <c r="F18" s="14" cm="1">
        <f t="array" ref="F18">_xlfn.IFS(VLOOKUP(F2,Table1[#All],14,FALSE)="NAIA Presto", VLOOKUP(F2,Table2[#All],6,FALSE),VLOOKUP(F2,Table1[#All],14,FALSE)="BR", VLOOKUP(F2,Table2[#All],9,FALSE))</f>
        <v>5</v>
      </c>
      <c r="G18" s="14" cm="1">
        <f t="array" ref="G18">_xlfn.IFS(VLOOKUP(F2,Table1[#All],14,FALSE)="NAIA Presto", VLOOKUP(F2,Table2[#All],7,FALSE),VLOOKUP(F2,Table1[#All],14,FALSE)="BR", VLOOKUP(F2,Table2[#All],10,FALSE))</f>
        <v>3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14" cm="1">
        <f t="array" ref="I18">_xlfn.IFS(VLOOKUP(F2,Table1[#All],14,FALSE)="NAIA Presto", VLOOKUP(F2,Table2[#All],10,FALSE),VLOOKUP(F2,Table1[#All],14,FALSE)="BR", VLOOKUP(F2,Table2[#All],20,FALSE))</f>
        <v>52</v>
      </c>
      <c r="J18" s="14" cm="1">
        <f t="array" ref="J18">_xlfn.IFS(VLOOKUP(F2,Table1[#All],14,FALSE)="NAIA Presto", VLOOKUP(F2,Table2[#All],11,FALSE),VLOOKUP(F2,Table1[#All],14,FALSE)="BR", VLOOKUP(F2,Table2[#All],21,FALSE))</f>
        <v>39</v>
      </c>
      <c r="K18" s="14" cm="1">
        <f t="array" ref="K18">_xlfn.IFS(VLOOKUP(F2,Table1[#All],14,FALSE)="NAIA Presto", VLOOKUP(F2,Table2[#All],12,FALSE),VLOOKUP(F2,Table1[#All],14,FALSE)="BR", VLOOKUP(F2,Table2[#All],22,FALSE))</f>
        <v>33</v>
      </c>
      <c r="L18" s="14" cm="1">
        <f t="array" ref="L18">_xlfn.IFS(VLOOKUP(F2,Table1[#All],14,FALSE)="NAIA Presto", VLOOKUP(F2,Table2[#All],13,FALSE),VLOOKUP(F2,Table1[#All],14,FALSE)="BR", VLOOKUP(F2,Table2[#All],23,FALSE))</f>
        <v>26</v>
      </c>
      <c r="M18" s="14" cm="1">
        <f t="array" ref="M18">_xlfn.IFS(VLOOKUP(F2,Table1[#All],14,FALSE)="NAIA Presto", VLOOKUP(F2,Table2[#All],17,FALSE),VLOOKUP(F2,Table1[#All],14,FALSE)="BR", VLOOKUP(F2,Table2[#All],24,FALSE))</f>
        <v>5</v>
      </c>
      <c r="N18" s="14" cm="1">
        <f t="array" ref="N18">_xlfn.IFS(VLOOKUP(F2,Table1[#All],14,FALSE)="NAIA Presto", VLOOKUP(F2,Table2[#All],14,FALSE),VLOOKUP(F2,Table1[#All],14,FALSE)="BR", VLOOKUP(F2,Table2[#All],25,FALSE))</f>
        <v>28</v>
      </c>
      <c r="O18" s="14" cm="1">
        <f t="array" ref="O18">_xlfn.IFS(VLOOKUP(F2,Table1[#All],14,FALSE)="NAIA Presto", VLOOKUP(F2,Table2[#All],15,FALSE),VLOOKUP(F2,Table1[#All],14,FALSE)="BR", VLOOKUP(F2,Table2[#All],27,FALSE))</f>
        <v>60</v>
      </c>
      <c r="P18" s="15" cm="1">
        <f t="array" ref="P18">_xlfn.IFS(VLOOKUP(F2,Table1[#All],14,FALSE)="NAIA Presto", VLOOKUP(F2,Table2[#All],18,FALSE),VLOOKUP(F2,Table1[#All],14,FALSE)="BR", VLOOKUP(F2,Table2[#All],12,FALSE))</f>
        <v>4.5</v>
      </c>
      <c r="Q18" s="14">
        <v>1.29</v>
      </c>
      <c r="R18" s="14" cm="1">
        <f t="array" ref="R18">_xlfn.IFS(VLOOKUP(F2,Table1[#All],14,FALSE)="NAIA Presto", VLOOKUP(F2,Table2[#All],16,FALSE),VLOOKUP(F2,Table1[#All],14,FALSE)="BR", VLOOKUP(F2,Table2[#All],36,FALSE))</f>
        <v>10.38</v>
      </c>
      <c r="S18" s="27"/>
    </row>
    <row r="19" spans="2:19" x14ac:dyDescent="0.25">
      <c r="B19" s="27"/>
      <c r="C19" s="2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27"/>
    </row>
    <row r="20" spans="2:19" x14ac:dyDescent="0.25">
      <c r="B20" s="13" t="s">
        <v>136</v>
      </c>
      <c r="C20" s="13" t="s">
        <v>174</v>
      </c>
      <c r="D20" s="13" t="s">
        <v>148</v>
      </c>
      <c r="E20" s="13" t="s">
        <v>175</v>
      </c>
      <c r="F20" s="13" t="s">
        <v>156</v>
      </c>
      <c r="G20" s="13" t="s">
        <v>155</v>
      </c>
      <c r="H20" s="13" t="s">
        <v>176</v>
      </c>
      <c r="I20" s="13" t="s">
        <v>177</v>
      </c>
      <c r="J20" s="13" t="s">
        <v>158</v>
      </c>
      <c r="K20" s="13" t="s">
        <v>178</v>
      </c>
      <c r="L20" s="13" t="s">
        <v>179</v>
      </c>
      <c r="M20" s="13" t="s">
        <v>180</v>
      </c>
      <c r="N20" s="13" t="s">
        <v>159</v>
      </c>
      <c r="O20" s="13" t="s">
        <v>161</v>
      </c>
      <c r="P20" s="13" t="s">
        <v>181</v>
      </c>
      <c r="Q20" s="13" t="s">
        <v>182</v>
      </c>
      <c r="R20" s="13" t="s">
        <v>183</v>
      </c>
      <c r="S20" s="13" t="s">
        <v>184</v>
      </c>
    </row>
    <row r="21" spans="2:19" x14ac:dyDescent="0.25">
      <c r="B21" s="13">
        <v>2022</v>
      </c>
      <c r="C21" s="13" t="str">
        <f>VLOOKUP(F2,Table1[#All],9,FALSE)</f>
        <v>Kellogg CC</v>
      </c>
      <c r="D21" s="13" cm="1">
        <f t="array" ref="D21">_xlfn.IFS(VLOOKUP(F2,Table1[#All],14,FALSE)="NAIA Presto",VLOOKUP(F2,Table4[#All],4,FALSE),VLOOKUP(F2,Table1[#All],14,FALSE)="BR",VLOOKUP(F2,Table4[#All],9,FALSE))</f>
        <v>19</v>
      </c>
      <c r="E21" s="13" cm="1">
        <f t="array" ref="E21">_xlfn.IFS(VLOOKUP(F2,Table1[#All],14,FALSE)="NAIA Presto",VLOOKUP(F2,Table4[#All],5,FALSE),VLOOKUP(F2,Table1[#All],14,FALSE)="BR",VLOOKUP(F2,Table4[#All],11,FALSE))</f>
        <v>16</v>
      </c>
      <c r="F21" s="13" cm="1">
        <f t="array" ref="F21">_xlfn.IFS(VLOOKUP(F2,Table1[#All],14,FALSE)="NAIA Presto",VLOOKUP(F2,Table4[#All],6,FALSE),VLOOKUP(F2,Table1[#All],14,FALSE)="BR",VLOOKUP(F2,Table4[#All],12,FALSE))</f>
        <v>1</v>
      </c>
      <c r="G21" s="13" cm="1">
        <f t="array" ref="G21">_xlfn.IFS(VLOOKUP(F2,Table1[#All],14,FALSE)="NAIA Presto",VLOOKUP(F2,Table4[#All],7,FALSE),VLOOKUP(F2,Table1[#All],14,FALSE)="BR",VLOOKUP(F2,Table4[#All],13,FALSE))</f>
        <v>2</v>
      </c>
      <c r="H21" s="13" cm="1">
        <f t="array" ref="H21">_xlfn.IFS(VLOOKUP(F2,Table1[#All],14,FALSE)="NAIA Presto",VLOOKUP(F2,Table4[#All],8,FALSE),VLOOKUP(F2,Table1[#All],14,FALSE)="BR",VLOOKUP(F2,Table4[#All],14,FALSE))</f>
        <v>1</v>
      </c>
      <c r="I21" s="13" cm="1">
        <f t="array" ref="I21">_xlfn.IFS(VLOOKUP(F2,Table1[#All],14,FALSE)="NAIA Presto",VLOOKUP(F2,Table4[#All],9,FALSE),VLOOKUP(F2,Table1[#All],14,FALSE)="BR",VLOOKUP(F2,Table4[#All],15,FALSE))</f>
        <v>0</v>
      </c>
      <c r="J21" s="13" cm="1">
        <f t="array" ref="J21">_xlfn.IFS(VLOOKUP(F2,Table1[#All],14,FALSE)="NAIA Presto",VLOOKUP(F2,Table4[#All],10,FALSE),VLOOKUP(F2,Table1[#All],14,FALSE)="BR",VLOOKUP(F2,Table4[#All],16,FALSE))</f>
        <v>0</v>
      </c>
      <c r="K21" s="13" cm="1">
        <f t="array" ref="K21">_xlfn.IFS(VLOOKUP(F2,Table1[#All],14,FALSE)="NAIA Presto",VLOOKUP(F2,Table4[#All],11,FALSE),VLOOKUP(F2,Table1[#All],14,FALSE)="BR",VLOOKUP(F2,Table4[#All],17,FALSE))</f>
        <v>1</v>
      </c>
      <c r="L21" s="13" cm="1">
        <f t="array" ref="L21">_xlfn.IFS(VLOOKUP(F2,Table1[#All],14,FALSE)="NAIA Presto",VLOOKUP(F2,Table4[#All],14,FALSE),VLOOKUP(F2,Table1[#All],14,FALSE)="BR",VLOOKUP(F2,Table4[#All],18,FALSE))</f>
        <v>0</v>
      </c>
      <c r="M21" s="13" cm="1">
        <f t="array" ref="M21">_xlfn.IFS(VLOOKUP(F2,Table1[#All],14,FALSE)="NAIA Presto",VLOOKUP(F2,Table4[#All],15,FALSE),VLOOKUP(F2,Table1[#All],14,FALSE)="BR",VLOOKUP(F2,Table4[#All],19,FALSE))</f>
        <v>0</v>
      </c>
      <c r="N21" s="13" cm="1">
        <f t="array" ref="N21">_xlfn.IFS(VLOOKUP(F2,Table1[#All],14,FALSE)="NAIA Presto",VLOOKUP(F2,Table4[#All],12,FALSE),VLOOKUP(F2,Table1[#All],14,FALSE)="BR",VLOOKUP(F2,Table4[#All],20,FALSE))</f>
        <v>2</v>
      </c>
      <c r="O21" s="13" cm="1">
        <f t="array" ref="O21">_xlfn.IFS(VLOOKUP(F2,Table1[#All],14,FALSE)="NAIA Presto",VLOOKUP(F2,Table4[#All],13,FALSE),VLOOKUP(F2,Table1[#All],14,FALSE)="BR",VLOOKUP(F2,Table4[#All],21,FALSE))</f>
        <v>9</v>
      </c>
      <c r="P21" s="16" cm="1">
        <f t="array" ref="P21">_xlfn.IFS(VLOOKUP(F2,Table1[#All],14,FALSE)="NAIA Presto",VLOOKUP(F2,Table4[#All],16,FALSE),VLOOKUP(F2,Table1[#All],14,FALSE)="BR",VLOOKUP(F2,Table4[#All],22,FALSE))</f>
        <v>0.125</v>
      </c>
      <c r="Q21" s="16" cm="1">
        <f t="array" ref="Q21">_xlfn.IFS(VLOOKUP(F2,Table1[#All],14,FALSE)="NAIA Presto",VLOOKUP(F2,Table4[#All],17,FALSE),VLOOKUP(F2,Table1[#All],14,FALSE)="BR",VLOOKUP(F2,Table4[#All],23,FALSE))</f>
        <v>0.222</v>
      </c>
      <c r="R21" s="16" cm="1">
        <f t="array" ref="R21">_xlfn.IFS(VLOOKUP(F2,Table1[#All],14,FALSE)="NAIA Presto",VLOOKUP(F2,Table4[#All],18,FALSE),VLOOKUP(F2,Table1[#All],14,FALSE)="BR",VLOOKUP(F2,Table4[#All],24,FALSE))</f>
        <v>0.188</v>
      </c>
      <c r="S21" s="16" cm="1">
        <f t="array" ref="S21">_xlfn.IFS(VLOOKUP(F2,Table1[#All],14,FALSE)="NAIA Presto",Q21+R21,VLOOKUP(F2,Table1[#All],14,FALSE)="BR",VLOOKUP(F2,Table4[#All],25,FALSE))</f>
        <v>0.41000000000000003</v>
      </c>
    </row>
    <row r="23" spans="2:19" x14ac:dyDescent="0.25">
      <c r="B23" s="44" t="s">
        <v>465</v>
      </c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</row>
    <row r="24" spans="2:19" x14ac:dyDescent="0.25">
      <c r="B24" s="13" t="s">
        <v>136</v>
      </c>
      <c r="C24" s="13" t="s">
        <v>187</v>
      </c>
      <c r="D24" s="13" t="s">
        <v>148</v>
      </c>
      <c r="E24" s="13" t="s">
        <v>149</v>
      </c>
      <c r="F24" s="13" t="s">
        <v>143</v>
      </c>
      <c r="G24" s="13" t="s">
        <v>144</v>
      </c>
      <c r="H24" s="13" t="s">
        <v>153</v>
      </c>
      <c r="I24" s="13" t="s">
        <v>154</v>
      </c>
      <c r="J24" s="13" t="s">
        <v>155</v>
      </c>
      <c r="K24" s="13" t="s">
        <v>156</v>
      </c>
      <c r="L24" s="13" t="s">
        <v>157</v>
      </c>
      <c r="M24" s="13" t="s">
        <v>158</v>
      </c>
      <c r="N24" s="13" t="s">
        <v>159</v>
      </c>
      <c r="O24" s="13" t="s">
        <v>161</v>
      </c>
      <c r="P24" s="13" t="s">
        <v>146</v>
      </c>
      <c r="Q24" s="13" t="s">
        <v>166</v>
      </c>
      <c r="R24" s="13" t="s">
        <v>185</v>
      </c>
      <c r="S24" s="27"/>
    </row>
    <row r="25" spans="2:19" x14ac:dyDescent="0.25">
      <c r="B25" s="13">
        <f>VLOOKUP(F2,Table3[#All],2,FALSE)</f>
        <v>2021</v>
      </c>
      <c r="C25" s="30" t="str" cm="1">
        <f t="array" ref="C25">_xlfn.IFS(VLOOKUP(F2,Table1[#All],15,FALSE)="BR",VLOOKUP(F2,Table3[#All],5,FALSE),VLOOKUP(F2,Table1[#All],15,FALSE)="Pointstreak",VLOOKUP(F2,Table3[#All],3,FALSE))</f>
        <v>Mahoning Valley Scrappers</v>
      </c>
      <c r="D25" s="13" cm="1">
        <f t="array" ref="D25">_xlfn.IFS(VLOOKUP(F2,Table1[#All],15,FALSE)="BR",VLOOKUP(F2,Table3[#All],14,FALSE),VLOOKUP(F2,Table1[#All],15,FALSE)="Pointstreak",VLOOKUP(F2,Table3[#All],7,FALSE))</f>
        <v>9</v>
      </c>
      <c r="E25" s="13" cm="1">
        <f t="array" ref="E25">_xlfn.IFS(VLOOKUP(F2,Table1[#All],15,FALSE)="BR",VLOOKUP(F2,Table3[#All],15,FALSE),VLOOKUP(F2,Table1[#All],15,FALSE)="Pointstreak",VLOOKUP(F2,Table3[#All],8,FALSE))</f>
        <v>0</v>
      </c>
      <c r="F25" s="13" cm="1">
        <f t="array" ref="F25">_xlfn.IFS(VLOOKUP(F2,Table1[#All],15,FALSE)="BR",VLOOKUP(F2,Table3[#All],9,FALSE),VLOOKUP(F2,Table1[#All],15,FALSE)="Pointstreak",VLOOKUP(F2,Table3[#All],4,FALSE))</f>
        <v>0</v>
      </c>
      <c r="G25" s="13" cm="1">
        <f t="array" ref="G25">_xlfn.IFS(VLOOKUP(F2,Table1[#All],15,FALSE)="BR",VLOOKUP(F2,Table3[#All],10,FALSE),VLOOKUP(F2,Table1[#All],15,FALSE)="Pointstreak",VLOOKUP(F2,Table3[#All],5,FALSE))</f>
        <v>0</v>
      </c>
      <c r="H25" s="13" cm="1">
        <f t="array" ref="H25">_xlfn.IFS(VLOOKUP(F2,Table1[#All],15,FALSE)="BR",VLOOKUP(F2,Table3[#All],19,FALSE),VLOOKUP(F2,Table1[#All],15,FALSE)="Pointstreak",VLOOKUP(F2,Table3[#All],10,FALSE))</f>
        <v>0</v>
      </c>
      <c r="I25" s="13" cm="1">
        <f t="array" ref="I25">_xlfn.IFS(VLOOKUP(F2,Table1[#All],15,FALSE)="BR",VLOOKUP(F2,Table3[#All],20,FALSE),VLOOKUP(F2,Table1[#All],15,FALSE)="Pointstreak",VLOOKUP(F2,Table3[#All],11,FALSE))</f>
        <v>9</v>
      </c>
      <c r="J25" s="13" cm="1">
        <f t="array" ref="J25">_xlfn.IFS(VLOOKUP(F2,Table1[#All],15,FALSE)="BR",VLOOKUP(F2,Table3[#All],21,FALSE),VLOOKUP(F2,Table1[#All],15,FALSE)="Pointstreak",VLOOKUP(F2,Table3[#All],14,FALSE))</f>
        <v>13</v>
      </c>
      <c r="K25" s="13" cm="1">
        <f t="array" ref="K25">_xlfn.IFS(VLOOKUP(F2,Table1[#All],15,FALSE)="BR",VLOOKUP(F2,Table3[#All],22,FALSE),VLOOKUP(F2,Table1[#All],15,FALSE)="Pointstreak","")</f>
        <v>11</v>
      </c>
      <c r="L25" s="13" cm="1">
        <f t="array" ref="L25">_xlfn.IFS(VLOOKUP(F2,Table1[#All],15,FALSE)="BR",VLOOKUP(F2,Table3[#All],23,FALSE),VLOOKUP(F2,Table1[#All],15,FALSE)="Pointstreak","")</f>
        <v>11</v>
      </c>
      <c r="M25" s="13" cm="1">
        <f t="array" ref="M25">_xlfn.IFS(VLOOKUP(F2,Table1[#All],15,FALSE)="BR",VLOOKUP(F2,Table3[#All],24,FALSE),VLOOKUP(F2,Table1[#All],15,FALSE)="Pointstreak","")</f>
        <v>1</v>
      </c>
      <c r="N25" s="13" cm="1">
        <f t="array" ref="N25">_xlfn.IFS(VLOOKUP(F2,Table1[#All],15,FALSE)="BR",VLOOKUP(F2,Table3[#All],25,FALSE),VLOOKUP(F2,Table1[#All],15,FALSE)="Pointstreak",VLOOKUP(F2,Table3[#All],13,FALSE))</f>
        <v>11</v>
      </c>
      <c r="O25" s="13" cm="1">
        <f t="array" ref="O25">_xlfn.IFS(VLOOKUP(F2,Table1[#All],15,FALSE)="BR",VLOOKUP(F2,Table3[#All],27,FALSE),VLOOKUP(F2,Table1[#All],15,FALSE)="Pointstreak",VLOOKUP(F2,Table3[#All],12,FALSE))</f>
        <v>2</v>
      </c>
      <c r="P25" s="15" cm="1">
        <f t="array" ref="P25">_xlfn.IFS(VLOOKUP(F2,Table1[#All],15,FALSE)="BR",VLOOKUP(F2,Table3[#All],12,FALSE),VLOOKUP(F2,Table1[#All],15,FALSE)="Pointstreak",VLOOKUP(F2,Table3[#All],6,FALSE))</f>
        <v>11</v>
      </c>
      <c r="Q25" s="15" cm="1">
        <f t="array" ref="Q25">_xlfn.IFS(VLOOKUP(F2,Table1[#All],15,FALSE)="BR",VLOOKUP(F2,Table3[#All],32,FALSE),VLOOKUP(F2,Table1[#All],15,FALSE)="Pointstreak","")</f>
        <v>2.6669999999999998</v>
      </c>
      <c r="R25" s="19" cm="1">
        <f t="array" ref="R25">_xlfn.IFS(VLOOKUP(F2,Table1[#All],15,FALSE)="BR",VLOOKUP(F2,Table3[#All],36,FALSE),VLOOKUP(F2,Table1[#All],15,FALSE)="Pointstreak","")</f>
        <v>2</v>
      </c>
      <c r="S25" s="27"/>
    </row>
  </sheetData>
  <mergeCells count="6">
    <mergeCell ref="B23:S23"/>
    <mergeCell ref="F13:O14"/>
    <mergeCell ref="B2:D14"/>
    <mergeCell ref="F2:M3"/>
    <mergeCell ref="N2:O3"/>
    <mergeCell ref="B16:R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01177-40B8-45C7-AB25-216F4215F3C0}">
  <dimension ref="B2:S22"/>
  <sheetViews>
    <sheetView showGridLines="0" workbookViewId="0">
      <selection activeCell="B2" sqref="B2:R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522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36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28"/>
      <c r="H4" s="28"/>
      <c r="I4" s="28"/>
      <c r="J4" s="28"/>
      <c r="K4" s="28"/>
      <c r="L4" s="28"/>
      <c r="M4" s="28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9"/>
      <c r="C8" s="49"/>
      <c r="D8" s="49"/>
      <c r="F8" s="28" t="str">
        <f>"Height: " &amp; VLOOKUP(F2,Table1[#All],6,FALSE)</f>
        <v>Height: 6'7"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9"/>
      <c r="C9" s="49"/>
      <c r="D9" s="49"/>
      <c r="F9" s="28" t="str">
        <f>"Weight: " &amp; VLOOKUP(F2,Table1[#All],7,FALSE)</f>
        <v>Weight: 255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October 4, 2000 (Junior)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Zeeland, MI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Michigan State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41"/>
    </row>
    <row r="18" spans="2:19" x14ac:dyDescent="0.25">
      <c r="B18" s="13">
        <v>2022</v>
      </c>
      <c r="C18" s="13" t="str">
        <f>VLOOKUP(F2,Table1[#All],9,FALSE)</f>
        <v>Michigan State</v>
      </c>
      <c r="D18" s="14" cm="1">
        <f t="array" ref="D18">_xlfn.IFS(VLOOKUP(F2,Table1[#All],14,FALSE)="NAIA Presto", VLOOKUP(F2,Table2[#All],4,FALSE),VLOOKUP(F2,Table1[#All],14,FALSE)="BR",VLOOKUP(F2,Table2[#All],14,FALSE))</f>
        <v>13</v>
      </c>
      <c r="E18" s="14" cm="1">
        <f t="array" ref="E18">_xlfn.IFS(VLOOKUP(F2,Table1[#All],14,FALSE)="NAIA Presto", VLOOKUP(F2,Table2[#All],5,FALSE),VLOOKUP(F2,Table1[#All],14,FALSE)="BR", VLOOKUP(F2,Table2[#All],15,FALSE))</f>
        <v>6</v>
      </c>
      <c r="F18" s="14" cm="1">
        <f t="array" ref="F18">_xlfn.IFS(VLOOKUP(F2,Table1[#All],14,FALSE)="NAIA Presto", VLOOKUP(F2,Table2[#All],6,FALSE),VLOOKUP(F2,Table1[#All],14,FALSE)="BR", VLOOKUP(F2,Table2[#All],9,FALSE))</f>
        <v>1</v>
      </c>
      <c r="G18" s="14" cm="1">
        <f t="array" ref="G18">_xlfn.IFS(VLOOKUP(F2,Table1[#All],14,FALSE)="NAIA Presto", VLOOKUP(F2,Table2[#All],7,FALSE),VLOOKUP(F2,Table1[#All],14,FALSE)="BR", VLOOKUP(F2,Table2[#All],10,FALSE))</f>
        <v>2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14" cm="1">
        <f t="array" ref="I18">_xlfn.IFS(VLOOKUP(F2,Table1[#All],14,FALSE)="NAIA Presto", VLOOKUP(F2,Table2[#All],10,FALSE),VLOOKUP(F2,Table1[#All],14,FALSE)="BR", VLOOKUP(F2,Table2[#All],20,FALSE))</f>
        <v>27</v>
      </c>
      <c r="J18" s="14" cm="1">
        <f t="array" ref="J18">_xlfn.IFS(VLOOKUP(F2,Table1[#All],14,FALSE)="NAIA Presto", VLOOKUP(F2,Table2[#All],11,FALSE),VLOOKUP(F2,Table1[#All],14,FALSE)="BR", VLOOKUP(F2,Table2[#All],21,FALSE))</f>
        <v>25</v>
      </c>
      <c r="K18" s="14" cm="1">
        <f t="array" ref="K18">_xlfn.IFS(VLOOKUP(F2,Table1[#All],14,FALSE)="NAIA Presto", VLOOKUP(F2,Table2[#All],12,FALSE),VLOOKUP(F2,Table1[#All],14,FALSE)="BR", VLOOKUP(F2,Table2[#All],22,FALSE))</f>
        <v>30</v>
      </c>
      <c r="L18" s="14" cm="1">
        <f t="array" ref="L18">_xlfn.IFS(VLOOKUP(F2,Table1[#All],14,FALSE)="NAIA Presto", VLOOKUP(F2,Table2[#All],13,FALSE),VLOOKUP(F2,Table1[#All],14,FALSE)="BR", VLOOKUP(F2,Table2[#All],23,FALSE))</f>
        <v>24</v>
      </c>
      <c r="M18" s="14" cm="1">
        <f t="array" ref="M18">_xlfn.IFS(VLOOKUP(F2,Table1[#All],14,FALSE)="NAIA Presto", VLOOKUP(F2,Table2[#All],17,FALSE),VLOOKUP(F2,Table1[#All],14,FALSE)="BR", VLOOKUP(F2,Table2[#All],24,FALSE))</f>
        <v>4</v>
      </c>
      <c r="N18" s="14" cm="1">
        <f t="array" ref="N18">_xlfn.IFS(VLOOKUP(F2,Table1[#All],14,FALSE)="NAIA Presto", VLOOKUP(F2,Table2[#All],14,FALSE),VLOOKUP(F2,Table1[#All],14,FALSE)="BR", VLOOKUP(F2,Table2[#All],25,FALSE))</f>
        <v>22</v>
      </c>
      <c r="O18" s="14" cm="1">
        <f t="array" ref="O18">_xlfn.IFS(VLOOKUP(F2,Table1[#All],14,FALSE)="NAIA Presto", VLOOKUP(F2,Table2[#All],15,FALSE),VLOOKUP(F2,Table1[#All],14,FALSE)="BR", VLOOKUP(F2,Table2[#All],27,FALSE))</f>
        <v>13</v>
      </c>
      <c r="P18" s="19" cm="1">
        <f t="array" ref="P18">_xlfn.IFS(VLOOKUP(F2,Table1[#All],14,FALSE)="NAIA Presto", VLOOKUP(F2,Table2[#All],18,FALSE),VLOOKUP(F2,Table1[#All],14,FALSE)="BR", VLOOKUP(F2,Table2[#All],12,FALSE))</f>
        <v>8</v>
      </c>
      <c r="Q18" s="19" cm="1">
        <f t="array" ref="Q18">_xlfn.IFS(VLOOKUP(F2,Table1[#All],14,FALSE)="NAIA Presto", "",VLOOKUP(F2,Table1[#All],14,FALSE)="BR", VLOOKUP(F2,Table2[#All],32,FALSE))</f>
        <v>1.7410000000000001</v>
      </c>
      <c r="R18" s="19" cm="1">
        <f t="array" ref="R18">_xlfn.IFS(VLOOKUP(F2,Table1[#All],14,FALSE)="NAIA Presto", VLOOKUP(F2,Table2[#All],16,FALSE),VLOOKUP(F2,Table1[#All],14,FALSE)="BR", VLOOKUP(F2,Table2[#All],36,FALSE))</f>
        <v>4.3</v>
      </c>
      <c r="S18" s="41"/>
    </row>
    <row r="19" spans="2:19" x14ac:dyDescent="0.25">
      <c r="B19" s="41"/>
      <c r="C19" s="41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41"/>
    </row>
    <row r="20" spans="2:19" x14ac:dyDescent="0.25">
      <c r="B20" s="57" t="s">
        <v>186</v>
      </c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10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149</v>
      </c>
      <c r="F21" s="13" t="s">
        <v>143</v>
      </c>
      <c r="G21" s="13" t="s">
        <v>144</v>
      </c>
      <c r="H21" s="13" t="s">
        <v>153</v>
      </c>
      <c r="I21" s="13" t="s">
        <v>154</v>
      </c>
      <c r="J21" s="13" t="s">
        <v>155</v>
      </c>
      <c r="K21" s="13" t="s">
        <v>156</v>
      </c>
      <c r="L21" s="13" t="s">
        <v>157</v>
      </c>
      <c r="M21" s="13" t="s">
        <v>158</v>
      </c>
      <c r="N21" s="13" t="s">
        <v>159</v>
      </c>
      <c r="O21" s="13" t="s">
        <v>161</v>
      </c>
      <c r="P21" s="13" t="s">
        <v>146</v>
      </c>
      <c r="Q21" s="13" t="s">
        <v>166</v>
      </c>
      <c r="R21" s="13" t="s">
        <v>185</v>
      </c>
      <c r="S21" s="41"/>
    </row>
    <row r="22" spans="2:19" x14ac:dyDescent="0.25">
      <c r="B22" s="13">
        <f>VLOOKUP(F2,Table3[#All],2,FALSE)</f>
        <v>2021</v>
      </c>
      <c r="C22" s="13" t="str" cm="1">
        <f t="array" ref="C22">_xlfn.IFS(VLOOKUP(F2,Table1[#All],15,FALSE)="BR",VLOOKUP(F2,Table3[#All],5,FALSE),VLOOKUP(F2,Table1[#All],15,FALSE)="Pointstreak",VLOOKUP(F2,Table3[#All],3,FALSE))</f>
        <v>Muskegon</v>
      </c>
      <c r="D22" s="13" cm="1">
        <f t="array" ref="D22">_xlfn.IFS(VLOOKUP(F2,Table1[#All],15,FALSE)="BR",VLOOKUP(F2,Table3[#All],14,FALSE),VLOOKUP(F2,Table1[#All],15,FALSE)="Pointstreak",VLOOKUP(F2,Table3[#All],7,FALSE))</f>
        <v>7</v>
      </c>
      <c r="E22" s="13" cm="1">
        <f t="array" ref="E22">_xlfn.IFS(VLOOKUP(F2,Table1[#All],15,FALSE)="BR",VLOOKUP(F2,Table3[#All],15,FALSE),VLOOKUP(F2,Table1[#All],15,FALSE)="Pointstreak",VLOOKUP(F2,Table3[#All],8,FALSE))</f>
        <v>6</v>
      </c>
      <c r="F22" s="13" cm="1">
        <f t="array" ref="F22">_xlfn.IFS(VLOOKUP(F2,Table1[#All],15,FALSE)="BR",VLOOKUP(F2,Table3[#All],9,FALSE),VLOOKUP(F2,Table1[#All],15,FALSE)="Pointstreak",VLOOKUP(F2,Table3[#All],4,FALSE))</f>
        <v>2</v>
      </c>
      <c r="G22" s="13" cm="1">
        <f t="array" ref="G22">_xlfn.IFS(VLOOKUP(F2,Table1[#All],15,FALSE)="BR",VLOOKUP(F2,Table3[#All],10,FALSE),VLOOKUP(F2,Table1[#All],15,FALSE)="Pointstreak",VLOOKUP(F2,Table3[#All],5,FALSE))</f>
        <v>1</v>
      </c>
      <c r="H22" s="13" cm="1">
        <f t="array" ref="H22">_xlfn.IFS(VLOOKUP(F2,Table1[#All],15,FALSE)="BR",VLOOKUP(F2,Table3[#All],19,FALSE),VLOOKUP(F2,Table1[#All],15,FALSE)="Pointstreak",VLOOKUP(F2,Table3[#All],10,FALSE))</f>
        <v>0</v>
      </c>
      <c r="I22" s="13" cm="1">
        <f t="array" ref="I22">_xlfn.IFS(VLOOKUP(F2,Table1[#All],15,FALSE)="BR",VLOOKUP(F2,Table3[#All],20,FALSE),VLOOKUP(F2,Table1[#All],15,FALSE)="Pointstreak",VLOOKUP(F2,Table3[#All],11,FALSE))</f>
        <v>39</v>
      </c>
      <c r="J22" s="13" cm="1">
        <f t="array" ref="J22">_xlfn.IFS(VLOOKUP(F2,Table1[#All],15,FALSE)="BR",VLOOKUP(F2,Table3[#All],21,FALSE),VLOOKUP(F2,Table1[#All],15,FALSE)="Pointstreak",VLOOKUP(F2,Table3[#All],14,FALSE))</f>
        <v>31</v>
      </c>
      <c r="K22" s="13" cm="1">
        <f t="array" ref="K22">_xlfn.IFS(VLOOKUP(F2,Table1[#All],15,FALSE)="BR",VLOOKUP(F2,Table3[#All],22,FALSE),VLOOKUP(F2,Table1[#All],15,FALSE)="Pointstreak","")</f>
        <v>19</v>
      </c>
      <c r="L22" s="13" cm="1">
        <f t="array" ref="L22">_xlfn.IFS(VLOOKUP(F2,Table1[#All],15,FALSE)="BR",VLOOKUP(F2,Table3[#All],23,FALSE),VLOOKUP(F2,Table1[#All],15,FALSE)="Pointstreak","")</f>
        <v>15</v>
      </c>
      <c r="M22" s="13" cm="1">
        <f t="array" ref="M22">_xlfn.IFS(VLOOKUP(F2,Table1[#All],15,FALSE)="BR",VLOOKUP(F2,Table3[#All],24,FALSE),VLOOKUP(F2,Table1[#All],15,FALSE)="Pointstreak","")</f>
        <v>2</v>
      </c>
      <c r="N22" s="13" cm="1">
        <f t="array" ref="N22">_xlfn.IFS(VLOOKUP(F2,Table1[#All],15,FALSE)="BR",VLOOKUP(F2,Table3[#All],25,FALSE),VLOOKUP(F2,Table1[#All],15,FALSE)="Pointstreak",VLOOKUP(F2,Table3[#All],13,FALSE))</f>
        <v>12</v>
      </c>
      <c r="O22" s="13" cm="1">
        <f t="array" ref="O22">_xlfn.IFS(VLOOKUP(F2,Table1[#All],15,FALSE)="BR",VLOOKUP(F2,Table3[#All],27,FALSE),VLOOKUP(F2,Table1[#All],15,FALSE)="Pointstreak",VLOOKUP(F2,Table3[#All],12,FALSE))</f>
        <v>47</v>
      </c>
      <c r="P22" s="13" cm="1">
        <f t="array" ref="P22">_xlfn.IFS(VLOOKUP(F2,Table1[#All],15,FALSE)="BR",VLOOKUP(F2,Table3[#All],12,FALSE),VLOOKUP(F2,Table1[#All],15,FALSE)="Pointstreak",VLOOKUP(F2,Table3[#All],6,FALSE))</f>
        <v>3.46</v>
      </c>
      <c r="Q22" s="15" cm="1">
        <f t="array" ref="Q22">_xlfn.IFS(VLOOKUP(F2,Table1[#All],15,FALSE)="BR",VLOOKUP(F2,Table3[#All],32,FALSE),VLOOKUP(F2,Table1[#All],15,FALSE)="Pointstreak","")</f>
        <v>1.103</v>
      </c>
      <c r="R22" s="13" cm="1">
        <f t="array" ref="R22">_xlfn.IFS(VLOOKUP(F2,Table1[#All],15,FALSE)="BR",VLOOKUP(F2,Table3[#All],36,FALSE),VLOOKUP(F2,Table1[#All],15,FALSE)="Pointstreak","")</f>
        <v>10.8</v>
      </c>
      <c r="S22" s="41"/>
    </row>
  </sheetData>
  <mergeCells count="6">
    <mergeCell ref="B16:R16"/>
    <mergeCell ref="B20:R20"/>
    <mergeCell ref="B2:D14"/>
    <mergeCell ref="F2:M3"/>
    <mergeCell ref="N2:O3"/>
    <mergeCell ref="F13:O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6EACC-748D-4A42-A5A7-535D26C7B4D7}">
  <dimension ref="A2:T22"/>
  <sheetViews>
    <sheetView showGridLines="0" zoomScale="90" zoomScaleNormal="90" workbookViewId="0">
      <selection activeCell="M8" sqref="M8"/>
    </sheetView>
  </sheetViews>
  <sheetFormatPr defaultRowHeight="15" x14ac:dyDescent="0.25"/>
  <cols>
    <col min="1" max="1" width="2.85546875" customWidth="1"/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8" width="7.7109375" customWidth="1"/>
    <col min="19" max="19" width="2.85546875" customWidth="1"/>
  </cols>
  <sheetData>
    <row r="2" spans="2:19" ht="18.75" customHeight="1" x14ac:dyDescent="0.25">
      <c r="B2" s="49"/>
      <c r="C2" s="49"/>
      <c r="D2" s="49"/>
      <c r="F2" s="54" t="s">
        <v>88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27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6'4"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200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October 15, 2000 (Junior)</v>
      </c>
      <c r="P10" s="11"/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Dewitt, IA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Vanguard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10"/>
    </row>
    <row r="17" spans="1:20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1"/>
    </row>
    <row r="18" spans="1:20" x14ac:dyDescent="0.25">
      <c r="B18" s="13">
        <v>2022</v>
      </c>
      <c r="C18" s="13" t="s">
        <v>65</v>
      </c>
      <c r="D18" s="14" cm="1">
        <f t="array" ref="D18">_xlfn.IFS(VLOOKUP(F2,Table1[#All],14,FALSE)="NAIA Presto", VLOOKUP(F2,Table2[#All],4,FALSE))</f>
        <v>14</v>
      </c>
      <c r="E18" s="14" cm="1">
        <f t="array" ref="E18">_xlfn.IFS(VLOOKUP(F2,Table1[#All],14,FALSE)="NAIA Presto", VLOOKUP(F2,Table2[#All],5,FALSE))</f>
        <v>13</v>
      </c>
      <c r="F18" s="14" cm="1">
        <f t="array" ref="F18">_xlfn.IFS(VLOOKUP(F2,Table1[#All],14,FALSE)="NAIA Presto", VLOOKUP(F2,Table2[#All],6,FALSE))</f>
        <v>10</v>
      </c>
      <c r="G18" s="14" cm="1">
        <f t="array" ref="G18">_xlfn.IFS(VLOOKUP(F2,Table1[#All],14,FALSE)="NAIA Presto", VLOOKUP(F2,Table2[#All],7,FALSE))</f>
        <v>0</v>
      </c>
      <c r="H18" s="14" cm="1">
        <f t="array" ref="H18">_xlfn.IFS(VLOOKUP(F2,Table1[#All],14,FALSE)="NAIA Presto", VLOOKUP(F2,Table2[#All],8,FALSE))</f>
        <v>0</v>
      </c>
      <c r="I18" s="14" cm="1">
        <f t="array" ref="I18">_xlfn.IFS(VLOOKUP(F2,Table1[#All],14,FALSE)="NAIA Presto", VLOOKUP(F2,Table2[#All],10,FALSE))</f>
        <v>83.2</v>
      </c>
      <c r="J18" s="14" cm="1">
        <f t="array" ref="J18">_xlfn.IFS(VLOOKUP(F2,Table1[#All],14,FALSE)="NAIA Presto", VLOOKUP(F2,Table2[#All],11,FALSE))</f>
        <v>87</v>
      </c>
      <c r="K18" s="14" cm="1">
        <f t="array" ref="K18">_xlfn.IFS(VLOOKUP(F2,Table1[#All],14,FALSE)="NAIA Presto", VLOOKUP(F2,Table2[#All],12,FALSE))</f>
        <v>31</v>
      </c>
      <c r="L18" s="14" cm="1">
        <f t="array" ref="L18">_xlfn.IFS(VLOOKUP(F2,Table1[#All],14,FALSE)="NAIA Presto", VLOOKUP(F2,Table2[#All],13,FALSE))</f>
        <v>29</v>
      </c>
      <c r="M18" s="14" cm="1">
        <f t="array" ref="M18">_xlfn.IFS(VLOOKUP(F2,Table1[#All],14,FALSE)="NAIA Presto", VLOOKUP(F2,Table2[#All],17,FALSE))</f>
        <v>6</v>
      </c>
      <c r="N18" s="14" cm="1">
        <f t="array" ref="N18">_xlfn.IFS(VLOOKUP(F2,Table1[#All],14,FALSE)="NAIA Presto", VLOOKUP(F2,Table2[#All],14,FALSE))</f>
        <v>14</v>
      </c>
      <c r="O18" s="14" cm="1">
        <f t="array" ref="O18">_xlfn.IFS(VLOOKUP(F2,Table1[#All],14,FALSE)="NAIA Presto", VLOOKUP(F2,Table2[#All],15,FALSE))</f>
        <v>54</v>
      </c>
      <c r="P18" s="14" cm="1">
        <f t="array" ref="P18">_xlfn.IFS(VLOOKUP(F2,Table1[#All],14,FALSE)="NAIA Presto", VLOOKUP(F2,Table2[#All],18,FALSE))</f>
        <v>3.12</v>
      </c>
      <c r="Q18" s="14">
        <v>1.21</v>
      </c>
      <c r="R18" s="14" cm="1">
        <f t="array" ref="R18">_xlfn.IFS(VLOOKUP(F2,Table1[#All],14,FALSE)="NAIA Presto", VLOOKUP(F2,Table2[#All],16,FALSE))</f>
        <v>5.81</v>
      </c>
      <c r="S18" s="1"/>
    </row>
    <row r="19" spans="1:20" x14ac:dyDescent="0.25">
      <c r="B19" s="1"/>
      <c r="C19" s="1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1"/>
    </row>
    <row r="20" spans="1:20" x14ac:dyDescent="0.25">
      <c r="A20" s="10"/>
      <c r="B20" s="44" t="s">
        <v>466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10"/>
      <c r="T20" s="10"/>
    </row>
    <row r="21" spans="1:20" x14ac:dyDescent="0.25">
      <c r="B21" s="13" t="s">
        <v>136</v>
      </c>
      <c r="C21" s="13" t="s">
        <v>187</v>
      </c>
      <c r="D21" s="13" t="s">
        <v>148</v>
      </c>
      <c r="E21" s="13" t="s">
        <v>149</v>
      </c>
      <c r="F21" s="13" t="s">
        <v>143</v>
      </c>
      <c r="G21" s="13" t="s">
        <v>144</v>
      </c>
      <c r="H21" s="13" t="s">
        <v>153</v>
      </c>
      <c r="I21" s="13" t="s">
        <v>154</v>
      </c>
      <c r="J21" s="13" t="s">
        <v>155</v>
      </c>
      <c r="K21" s="13" t="s">
        <v>156</v>
      </c>
      <c r="L21" s="13" t="s">
        <v>157</v>
      </c>
      <c r="M21" s="13" t="s">
        <v>158</v>
      </c>
      <c r="N21" s="13" t="s">
        <v>159</v>
      </c>
      <c r="O21" s="13" t="s">
        <v>161</v>
      </c>
      <c r="P21" s="13" t="s">
        <v>146</v>
      </c>
      <c r="Q21" s="13" t="s">
        <v>166</v>
      </c>
      <c r="R21" s="13" t="s">
        <v>185</v>
      </c>
      <c r="S21" s="1"/>
    </row>
    <row r="22" spans="1:20" x14ac:dyDescent="0.25">
      <c r="B22" s="13">
        <f>VLOOKUP(F2,Table3[#All],2,FALSE)</f>
        <v>2021</v>
      </c>
      <c r="C22" s="25" t="str">
        <f>VLOOKUP(F2,Table3[#All],5,FALSE)</f>
        <v>Battle Creek Bombers</v>
      </c>
      <c r="D22" s="13">
        <f>VLOOKUP(F2,Table3[#All],14,FALSE)</f>
        <v>4</v>
      </c>
      <c r="E22" s="13">
        <f>VLOOKUP(F2,Table3[#All],15,FALSE)</f>
        <v>1</v>
      </c>
      <c r="F22" s="13">
        <f>VLOOKUP(F2,Table3[#All],9,FALSE)</f>
        <v>2</v>
      </c>
      <c r="G22" s="13">
        <f>VLOOKUP(F2,Table3[#All],10,FALSE)</f>
        <v>0</v>
      </c>
      <c r="H22" s="13">
        <f>VLOOKUP(F2,Table3[#All],19,FALSE)</f>
        <v>0</v>
      </c>
      <c r="I22" s="13">
        <f>VLOOKUP(F2,Table3[#All],20,FALSE)</f>
        <v>17.100000000000001</v>
      </c>
      <c r="J22" s="13">
        <f>VLOOKUP(F2,Table3[#All],21,FALSE)</f>
        <v>17</v>
      </c>
      <c r="K22" s="13">
        <f>VLOOKUP(F2,Table3[#All],22,FALSE)</f>
        <v>5</v>
      </c>
      <c r="L22" s="13">
        <f>VLOOKUP(F2,Table3[#All],23,FALSE)</f>
        <v>5</v>
      </c>
      <c r="M22" s="13">
        <f>VLOOKUP(F2,Table3[#All],24,FALSE)</f>
        <v>2</v>
      </c>
      <c r="N22" s="13">
        <f>VLOOKUP(F2,Table3[#All],25,FALSE)</f>
        <v>3</v>
      </c>
      <c r="O22" s="13">
        <f>VLOOKUP(F2,Table3[#All],27,FALSE)</f>
        <v>12</v>
      </c>
      <c r="P22" s="15">
        <f>VLOOKUP(F2,Table3[#All],12,FALSE)</f>
        <v>2.6</v>
      </c>
      <c r="Q22" s="15">
        <f>VLOOKUP(F2,Table3[#All],32,FALSE)</f>
        <v>1.1539999999999999</v>
      </c>
      <c r="R22" s="15">
        <f>VLOOKUP(F2,Table3[#All],36,FALSE)</f>
        <v>6.2</v>
      </c>
      <c r="S22" s="1"/>
    </row>
  </sheetData>
  <mergeCells count="7">
    <mergeCell ref="F13:O14"/>
    <mergeCell ref="B2:D14"/>
    <mergeCell ref="B16:R16"/>
    <mergeCell ref="B20:R20"/>
    <mergeCell ref="F2:M3"/>
    <mergeCell ref="N2:O3"/>
    <mergeCell ref="P2:S5"/>
  </mergeCells>
  <pageMargins left="0.7" right="0.7" top="0.75" bottom="0.75" header="0.3" footer="0.3"/>
  <pageSetup scale="7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DF967-8F8C-4FAF-99A5-EFA0908D7F29}">
  <dimension ref="B2:S19"/>
  <sheetViews>
    <sheetView showGridLines="0" workbookViewId="0">
      <selection activeCell="F2" sqref="F2:M3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509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26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28"/>
      <c r="H4" s="28"/>
      <c r="I4" s="28"/>
      <c r="J4" s="28"/>
      <c r="K4" s="28"/>
      <c r="L4" s="28"/>
      <c r="M4" s="28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Both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9"/>
      <c r="C8" s="49"/>
      <c r="D8" s="49"/>
      <c r="F8" s="28" t="str">
        <f>"Height: " &amp; VLOOKUP(F2,Table1[#All],6,FALSE)</f>
        <v>Height: 5'11"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9"/>
      <c r="C9" s="49"/>
      <c r="D9" s="49"/>
      <c r="F9" s="28" t="str">
        <f>"Weight: " &amp; VLOOKUP(F2,Table1[#All],7,FALSE)</f>
        <v>Weight: 176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April 19, 1999 (Senior)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Adairsville, GA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Middle Georgia State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35"/>
    </row>
    <row r="18" spans="2:19" x14ac:dyDescent="0.25">
      <c r="B18" s="13">
        <v>2022</v>
      </c>
      <c r="C18" s="20" t="str">
        <f>VLOOKUP(F2,Table1[#All],9,FALSE)</f>
        <v>Middle Georgia State</v>
      </c>
      <c r="D18" s="14" cm="1">
        <f t="array" ref="D18">_xlfn.IFS(VLOOKUP(F2,Table1[#All],14,FALSE)="NAIA Presto", VLOOKUP(F2,Table2[#All],4,FALSE),VLOOKUP(F2,Table1[#All],14,FALSE)="BR",VLOOKUP(F2,Table2[#All],14,FALSE))</f>
        <v>14</v>
      </c>
      <c r="E18" s="14" cm="1">
        <f t="array" ref="E18">_xlfn.IFS(VLOOKUP(F2,Table1[#All],14,FALSE)="NAIA Presto", VLOOKUP(F2,Table2[#All],5,FALSE),VLOOKUP(F2,Table1[#All],14,FALSE)="BR", VLOOKUP(F2,Table2[#All],15,FALSE))</f>
        <v>14</v>
      </c>
      <c r="F18" s="14" cm="1">
        <f t="array" ref="F18">_xlfn.IFS(VLOOKUP(F2,Table1[#All],14,FALSE)="NAIA Presto", VLOOKUP(F2,Table2[#All],6,FALSE),VLOOKUP(F2,Table1[#All],14,FALSE)="BR", VLOOKUP(F2,Table2[#All],9,FALSE))</f>
        <v>4</v>
      </c>
      <c r="G18" s="14" cm="1">
        <f t="array" ref="G18">_xlfn.IFS(VLOOKUP(F2,Table1[#All],14,FALSE)="NAIA Presto", VLOOKUP(F2,Table2[#All],7,FALSE),VLOOKUP(F2,Table1[#All],14,FALSE)="BR", VLOOKUP(F2,Table2[#All],10,FALSE))</f>
        <v>4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14" cm="1">
        <f t="array" ref="I18">_xlfn.IFS(VLOOKUP(F2,Table1[#All],14,FALSE)="NAIA Presto", VLOOKUP(F2,Table2[#All],10,FALSE),VLOOKUP(F2,Table1[#All],14,FALSE)="BR", VLOOKUP(F2,Table2[#All],20,FALSE))</f>
        <v>73.2</v>
      </c>
      <c r="J18" s="14" cm="1">
        <f t="array" ref="J18">_xlfn.IFS(VLOOKUP(F2,Table1[#All],14,FALSE)="NAIA Presto", VLOOKUP(F2,Table2[#All],11,FALSE),VLOOKUP(F2,Table1[#All],14,FALSE)="BR", VLOOKUP(F2,Table2[#All],21,FALSE))</f>
        <v>70</v>
      </c>
      <c r="K18" s="14" cm="1">
        <f t="array" ref="K18">_xlfn.IFS(VLOOKUP(F2,Table1[#All],14,FALSE)="NAIA Presto", VLOOKUP(F2,Table2[#All],12,FALSE),VLOOKUP(F2,Table1[#All],14,FALSE)="BR", VLOOKUP(F2,Table2[#All],22,FALSE))</f>
        <v>40</v>
      </c>
      <c r="L18" s="14" cm="1">
        <f t="array" ref="L18">_xlfn.IFS(VLOOKUP(F2,Table1[#All],14,FALSE)="NAIA Presto", VLOOKUP(F2,Table2[#All],13,FALSE),VLOOKUP(F2,Table1[#All],14,FALSE)="BR", VLOOKUP(F2,Table2[#All],23,FALSE))</f>
        <v>30</v>
      </c>
      <c r="M18" s="14" cm="1">
        <f t="array" ref="M18">_xlfn.IFS(VLOOKUP(F2,Table1[#All],14,FALSE)="NAIA Presto", VLOOKUP(F2,Table2[#All],17,FALSE),VLOOKUP(F2,Table1[#All],14,FALSE)="BR", VLOOKUP(F2,Table2[#All],24,FALSE))</f>
        <v>6</v>
      </c>
      <c r="N18" s="14" cm="1">
        <f t="array" ref="N18">_xlfn.IFS(VLOOKUP(F2,Table1[#All],14,FALSE)="NAIA Presto", VLOOKUP(F2,Table2[#All],14,FALSE),VLOOKUP(F2,Table1[#All],14,FALSE)="BR", VLOOKUP(F2,Table2[#All],25,FALSE))</f>
        <v>28</v>
      </c>
      <c r="O18" s="14" cm="1">
        <f t="array" ref="O18">_xlfn.IFS(VLOOKUP(F2,Table1[#All],14,FALSE)="NAIA Presto", VLOOKUP(F2,Table2[#All],15,FALSE),VLOOKUP(F2,Table1[#All],14,FALSE)="BR", VLOOKUP(F2,Table2[#All],27,FALSE))</f>
        <v>82</v>
      </c>
      <c r="P18" s="14" cm="1">
        <f t="array" ref="P18">_xlfn.IFS(VLOOKUP(F2,Table1[#All],14,FALSE)="NAIA Presto", VLOOKUP(F2,Table2[#All],18,FALSE),VLOOKUP(F2,Table1[#All],14,FALSE)="BR", VLOOKUP(F2,Table2[#All],12,FALSE))</f>
        <v>3.67</v>
      </c>
      <c r="Q18" s="14" cm="1">
        <f t="array" ref="Q18">_xlfn.IFS(VLOOKUP(F2,Table1[#All],14,FALSE)="NAIA Presto", "",VLOOKUP(F2,Table1[#All],14,FALSE)="BR", VLOOKUP(F2,Table2[#All],32,FALSE))</f>
        <v>1.33</v>
      </c>
      <c r="R18" s="19" cm="1">
        <f t="array" ref="R18">_xlfn.IFS(VLOOKUP(F2,Table1[#All],14,FALSE)="NAIA Presto", VLOOKUP(F2,Table2[#All],16,FALSE),VLOOKUP(F2,Table1[#All],14,FALSE)="BR", VLOOKUP(F2,Table2[#All],36,FALSE))</f>
        <v>10</v>
      </c>
      <c r="S18" s="35"/>
    </row>
    <row r="19" spans="2:19" x14ac:dyDescent="0.25">
      <c r="B19" s="35"/>
      <c r="C19" s="35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35"/>
    </row>
  </sheetData>
  <mergeCells count="6">
    <mergeCell ref="B16:S16"/>
    <mergeCell ref="B2:D14"/>
    <mergeCell ref="F2:M3"/>
    <mergeCell ref="N2:O3"/>
    <mergeCell ref="P2:S5"/>
    <mergeCell ref="F13:O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AD125-43D5-4440-97D6-4875FA92D74E}">
  <dimension ref="B2:S18"/>
  <sheetViews>
    <sheetView showGridLines="0" workbookViewId="0">
      <selection activeCell="B2" sqref="B2:S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116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8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Infielder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5'11"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185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May 15, 2000 (Junior)</v>
      </c>
      <c r="P10" s="11"/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Longmont, CO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McPherson College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McPherson College</v>
      </c>
      <c r="D18" s="13" cm="1">
        <f t="array" ref="D18">_xlfn.IFS(VLOOKUP(F2,Table1[#All],14,FALSE)="NAIA Presto",VLOOKUP(F2,Table4[#All],4,FALSE))</f>
        <v>51</v>
      </c>
      <c r="E18" s="13" cm="1">
        <f t="array" ref="E18">_xlfn.IFS(VLOOKUP(F2,Table1[#All],14,FALSE)="NAIA Presto",VLOOKUP(F2,Table4[#All],5,FALSE))</f>
        <v>194</v>
      </c>
      <c r="F18" s="13" cm="1">
        <f t="array" ref="F18">_xlfn.IFS(VLOOKUP(F2,Table1[#All],14,FALSE)="NAIA Presto",VLOOKUP(F2,Table4[#All],6,FALSE))</f>
        <v>38</v>
      </c>
      <c r="G18" s="13" cm="1">
        <f t="array" ref="G18">_xlfn.IFS(VLOOKUP(F2,Table1[#All],14,FALSE)="NAIA Presto",VLOOKUP(F2,Table4[#All],7,FALSE))</f>
        <v>67</v>
      </c>
      <c r="H18" s="13" cm="1">
        <f t="array" ref="H18">_xlfn.IFS(VLOOKUP(F2,Table1[#All],14,FALSE)="NAIA Presto",VLOOKUP(F2,Table4[#All],8,FALSE))</f>
        <v>12</v>
      </c>
      <c r="I18" s="13" cm="1">
        <f t="array" ref="I18">_xlfn.IFS(VLOOKUP(F2,Table1[#All],14,FALSE)="NAIA Presto",VLOOKUP(F2,Table4[#All],9,FALSE))</f>
        <v>2</v>
      </c>
      <c r="J18" s="13" cm="1">
        <f t="array" ref="J18">_xlfn.IFS(VLOOKUP(F2,Table1[#All],14,FALSE)="NAIA Presto",VLOOKUP(F2,Table4[#All],10,FALSE))</f>
        <v>15</v>
      </c>
      <c r="K18" s="13" cm="1">
        <f t="array" ref="K18">_xlfn.IFS(VLOOKUP(F2,Table1[#All],14,FALSE)="NAIA Presto",VLOOKUP(F2,Table4[#All],11,FALSE))</f>
        <v>53</v>
      </c>
      <c r="L18" s="13" cm="1">
        <f t="array" ref="L18">_xlfn.IFS(VLOOKUP(F2,Table1[#All],14,FALSE)="NAIA Presto",VLOOKUP(F2,Table4[#All],14,FALSE))</f>
        <v>0</v>
      </c>
      <c r="M18" s="13" cm="1">
        <f t="array" ref="M18">_xlfn.IFS(VLOOKUP(F2,Table1[#All],14,FALSE)="NAIA Presto",VLOOKUP(F2,Table4[#All],15,FALSE))</f>
        <v>1</v>
      </c>
      <c r="N18" s="13" cm="1">
        <f t="array" ref="N18">_xlfn.IFS(VLOOKUP(F2,Table1[#All],14,FALSE)="NAIA Presto",VLOOKUP(F2,Table4[#All],12,FALSE))</f>
        <v>19</v>
      </c>
      <c r="O18" s="13" cm="1">
        <f t="array" ref="O18">_xlfn.IFS(VLOOKUP(F2,Table1[#All],14,FALSE)="NAIA Presto",VLOOKUP(F2,Table4[#All],13,FALSE))</f>
        <v>27</v>
      </c>
      <c r="P18" s="16" cm="1">
        <f t="array" ref="P18">_xlfn.IFS(VLOOKUP(F2,Table1[#All],14,FALSE)="NAIA Presto",VLOOKUP(F2,Table4[#All],16,FALSE))</f>
        <v>0.34499999999999997</v>
      </c>
      <c r="Q18" s="16" cm="1">
        <f t="array" ref="Q18">_xlfn.IFS(VLOOKUP(F2,Table1[#All],14,FALSE)="NAIA Presto",VLOOKUP(F2,Table4[#All],17,FALSE))</f>
        <v>0.41399999999999998</v>
      </c>
      <c r="R18" s="16" cm="1">
        <f t="array" ref="R18">_xlfn.IFS(VLOOKUP(F2,Table1[#All],14,FALSE)="NAIA Presto",VLOOKUP(F2,Table4[#All],18,FALSE))</f>
        <v>0.66</v>
      </c>
      <c r="S18" s="16" cm="1">
        <f t="array" ref="S18">_xlfn.IFS(VLOOKUP(F2,Table1[#All],14,FALSE)="NAIA Presto",Q18+R18)</f>
        <v>1.0740000000000001</v>
      </c>
    </row>
  </sheetData>
  <mergeCells count="6">
    <mergeCell ref="B16:S16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F0D-BC51-40D0-8DAF-361BCF939131}">
  <dimension ref="B1:S22"/>
  <sheetViews>
    <sheetView workbookViewId="0">
      <selection activeCell="S6" sqref="S6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92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99</v>
      </c>
      <c r="O2" s="55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8"/>
      <c r="C8" s="49"/>
      <c r="D8" s="50"/>
      <c r="F8" s="9" t="str">
        <f>"Height: " &amp; VLOOKUP(F2,Table1[#All],6,FALSE)</f>
        <v>Height: 6'3"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8"/>
      <c r="C9" s="49"/>
      <c r="D9" s="50"/>
      <c r="F9" s="9" t="str">
        <f>"Weight: " &amp; VLOOKUP(F2,Table1[#All],7,FALSE)</f>
        <v>Weight: 185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July 25, 2001 (R-Freshman)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Raven Run, PA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str">
        <f>"School: " &amp; VLOOKUP(F2,Table1[#All],9,FALSE)</f>
        <v>School: Millersville-Pennsylvania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1"/>
    </row>
    <row r="18" spans="2:19" x14ac:dyDescent="0.25">
      <c r="B18" s="13">
        <v>2022</v>
      </c>
      <c r="C18" s="30" t="str">
        <f>VLOOKUP(F2,Table1[#All],9,FALSE)</f>
        <v>Millersville-Pennsylvania</v>
      </c>
      <c r="D18" s="14" cm="1">
        <f t="array" ref="D18">_xlfn.IFS(VLOOKUP(F2,Table1[#All],14,FALSE)="NAIA Presto", VLOOKUP(F2,Table2[#All],4,FALSE),VLOOKUP(F2,Table1[#All],14,FALSE)="BR",VLOOKUP(F2,Table2[#All],14,FALSE))</f>
        <v>6</v>
      </c>
      <c r="E18" s="14" cm="1">
        <f t="array" ref="E18">_xlfn.IFS(VLOOKUP(F2,Table1[#All],14,FALSE)="NAIA Presto", VLOOKUP(F2,Table2[#All],5,FALSE),VLOOKUP(F2,Table1[#All],14,FALSE)="BR", VLOOKUP(F2,Table2[#All],15,FALSE))</f>
        <v>0</v>
      </c>
      <c r="F18" s="14" cm="1">
        <f t="array" ref="F18">_xlfn.IFS(VLOOKUP(F2,Table1[#All],14,FALSE)="NAIA Presto", VLOOKUP(F2,Table2[#All],6,FALSE),VLOOKUP(F2,Table1[#All],14,FALSE)="BR", VLOOKUP(F2,Table2[#All],9,FALSE))</f>
        <v>0</v>
      </c>
      <c r="G18" s="14" cm="1">
        <f t="array" ref="G18">_xlfn.IFS(VLOOKUP(F2,Table1[#All],14,FALSE)="NAIA Presto", VLOOKUP(F2,Table2[#All],7,FALSE),VLOOKUP(F2,Table1[#All],14,FALSE)="BR", VLOOKUP(F2,Table2[#All],10,FALSE))</f>
        <v>0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14" cm="1">
        <f t="array" ref="I18">_xlfn.IFS(VLOOKUP(F2,Table1[#All],14,FALSE)="NAIA Presto", VLOOKUP(F2,Table2[#All],10,FALSE),VLOOKUP(F2,Table1[#All],14,FALSE)="BR", VLOOKUP(F2,Table2[#All],20,FALSE))</f>
        <v>6.1</v>
      </c>
      <c r="J18" s="14" cm="1">
        <f t="array" ref="J18">_xlfn.IFS(VLOOKUP(F2,Table1[#All],14,FALSE)="NAIA Presto", VLOOKUP(F2,Table2[#All],11,FALSE),VLOOKUP(F2,Table1[#All],14,FALSE)="BR", VLOOKUP(F2,Table2[#All],21,FALSE))</f>
        <v>3</v>
      </c>
      <c r="K18" s="14" cm="1">
        <f t="array" ref="K18">_xlfn.IFS(VLOOKUP(F2,Table1[#All],14,FALSE)="NAIA Presto", VLOOKUP(F2,Table2[#All],12,FALSE),VLOOKUP(F2,Table1[#All],14,FALSE)="BR", VLOOKUP(F2,Table2[#All],22,FALSE))</f>
        <v>2</v>
      </c>
      <c r="L18" s="14" cm="1">
        <f t="array" ref="L18">_xlfn.IFS(VLOOKUP(F2,Table1[#All],14,FALSE)="NAIA Presto", VLOOKUP(F2,Table2[#All],13,FALSE),VLOOKUP(F2,Table1[#All],14,FALSE)="BR", VLOOKUP(F2,Table2[#All],23,FALSE))</f>
        <v>2</v>
      </c>
      <c r="M18" s="14" cm="1">
        <f t="array" ref="M18">_xlfn.IFS(VLOOKUP(F2,Table1[#All],14,FALSE)="NAIA Presto", VLOOKUP(F2,Table2[#All],17,FALSE),VLOOKUP(F2,Table1[#All],14,FALSE)="BR", VLOOKUP(F2,Table2[#All],24,FALSE))</f>
        <v>0</v>
      </c>
      <c r="N18" s="14" cm="1">
        <f t="array" ref="N18">_xlfn.IFS(VLOOKUP(F2,Table1[#All],14,FALSE)="NAIA Presto", VLOOKUP(F2,Table2[#All],14,FALSE),VLOOKUP(F2,Table1[#All],14,FALSE)="BR", VLOOKUP(F2,Table2[#All],25,FALSE))</f>
        <v>8</v>
      </c>
      <c r="O18" s="14" cm="1">
        <f t="array" ref="O18">_xlfn.IFS(VLOOKUP(F2,Table1[#All],14,FALSE)="NAIA Presto", VLOOKUP(F2,Table2[#All],15,FALSE),VLOOKUP(F2,Table1[#All],14,FALSE)="BR", VLOOKUP(F2,Table2[#All],27,FALSE))</f>
        <v>3</v>
      </c>
      <c r="P18" s="15" cm="1">
        <f t="array" ref="P18">_xlfn.IFS(VLOOKUP(F2,Table1[#All],14,FALSE)="NAIA Presto", VLOOKUP(F2,Table2[#All],18,FALSE),VLOOKUP(F2,Table1[#All],14,FALSE)="BR", VLOOKUP(F2,Table2[#All],12,FALSE))</f>
        <v>2.84</v>
      </c>
      <c r="Q18" s="15" cm="1">
        <f t="array" ref="Q18">_xlfn.IFS(VLOOKUP(F2,Table1[#All],14,FALSE)="NAIA Presto", "",VLOOKUP(F2,Table1[#All],14,FALSE)="BR", VLOOKUP(F2,Table2[#All],32,FALSE))</f>
        <v>1.7370000000000001</v>
      </c>
      <c r="R18" s="15" cm="1">
        <f t="array" ref="R18">_xlfn.IFS(VLOOKUP(F2,Table1[#All],14,FALSE)="NAIA Presto", VLOOKUP(F2,Table2[#All],16,FALSE),VLOOKUP(F2,Table1[#All],14,FALSE)="BR", VLOOKUP(F2,Table2[#All],36,FALSE))</f>
        <v>4.3</v>
      </c>
      <c r="S18" s="1"/>
    </row>
    <row r="20" spans="2:19" x14ac:dyDescent="0.25">
      <c r="B20" s="44" t="s">
        <v>467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149</v>
      </c>
      <c r="F21" s="13" t="s">
        <v>143</v>
      </c>
      <c r="G21" s="13" t="s">
        <v>144</v>
      </c>
      <c r="H21" s="13" t="s">
        <v>153</v>
      </c>
      <c r="I21" s="13" t="s">
        <v>154</v>
      </c>
      <c r="J21" s="13" t="s">
        <v>155</v>
      </c>
      <c r="K21" s="13" t="s">
        <v>156</v>
      </c>
      <c r="L21" s="13" t="s">
        <v>157</v>
      </c>
      <c r="M21" s="13" t="s">
        <v>158</v>
      </c>
      <c r="N21" s="13" t="s">
        <v>159</v>
      </c>
      <c r="O21" s="13" t="s">
        <v>161</v>
      </c>
      <c r="P21" s="13" t="s">
        <v>146</v>
      </c>
      <c r="Q21" s="13" t="s">
        <v>166</v>
      </c>
      <c r="R21" s="13" t="s">
        <v>185</v>
      </c>
      <c r="S21" s="1"/>
    </row>
    <row r="22" spans="2:19" x14ac:dyDescent="0.25">
      <c r="B22" s="13">
        <f>VLOOKUP(F2,Table3[#All],2,FALSE)</f>
        <v>2021</v>
      </c>
      <c r="C22" s="13" t="str">
        <f>VLOOKUP(F2,Table3[#All],5,FALSE)</f>
        <v>Johnstown Mill Rats</v>
      </c>
      <c r="D22" s="13">
        <f>VLOOKUP(F2,Table3[#All],14,FALSE)</f>
        <v>18</v>
      </c>
      <c r="E22" s="13">
        <f>VLOOKUP(F2,Table3[#All],15,FALSE)</f>
        <v>2</v>
      </c>
      <c r="F22" s="13">
        <f>VLOOKUP(F2,Table3[#All],9,FALSE)</f>
        <v>1</v>
      </c>
      <c r="G22" s="13">
        <f>VLOOKUP(F2,Table3[#All],10,FALSE)</f>
        <v>1</v>
      </c>
      <c r="H22" s="13">
        <f>VLOOKUP(F2,Table3[#All],19,FALSE)</f>
        <v>3</v>
      </c>
      <c r="I22" s="13">
        <f>VLOOKUP(F2,Table3[#All],20,FALSE)</f>
        <v>27</v>
      </c>
      <c r="J22" s="13">
        <f>VLOOKUP(F2,Table3[#All],21,FALSE)</f>
        <v>33</v>
      </c>
      <c r="K22" s="13">
        <f>VLOOKUP(F2,Table3[#All],22,FALSE)</f>
        <v>32</v>
      </c>
      <c r="L22" s="13">
        <f>VLOOKUP(F2,Table3[#All],23,FALSE)</f>
        <v>28</v>
      </c>
      <c r="M22" s="13">
        <f>VLOOKUP(F2,Table3[#All],24,FALSE)</f>
        <v>5</v>
      </c>
      <c r="N22" s="13">
        <f>VLOOKUP(F2,Table3[#All],25,FALSE)</f>
        <v>20</v>
      </c>
      <c r="O22" s="13">
        <f>VLOOKUP(F2,Table3[#All],27,FALSE)</f>
        <v>20</v>
      </c>
      <c r="P22" s="15">
        <f>VLOOKUP(F2,Table3[#All],12,FALSE)</f>
        <v>9.33</v>
      </c>
      <c r="Q22" s="15">
        <f>VLOOKUP(F2,Table3[#All],32,FALSE)</f>
        <v>1.9630000000000001</v>
      </c>
      <c r="R22" s="15">
        <f>VLOOKUP(F2,Table3[#All],36,FALSE)</f>
        <v>6.7</v>
      </c>
      <c r="S22" s="1"/>
    </row>
  </sheetData>
  <mergeCells count="7">
    <mergeCell ref="B20:S20"/>
    <mergeCell ref="B2:D14"/>
    <mergeCell ref="F2:M3"/>
    <mergeCell ref="N2:O3"/>
    <mergeCell ref="P2:S5"/>
    <mergeCell ref="F13:O14"/>
    <mergeCell ref="B16:S1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695BD-21B5-4CA8-A3A8-BF49FEAEF3A4}">
  <dimension ref="B2:S18"/>
  <sheetViews>
    <sheetView showGridLines="0" workbookViewId="0">
      <selection sqref="A1:S18"/>
    </sheetView>
  </sheetViews>
  <sheetFormatPr defaultRowHeight="15" x14ac:dyDescent="0.25"/>
  <cols>
    <col min="1" max="1" width="2.85546875" customWidth="1"/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8" width="7.7109375" customWidth="1"/>
    <col min="19" max="19" width="3.42578125" customWidth="1"/>
  </cols>
  <sheetData>
    <row r="2" spans="2:19" ht="18.75" customHeight="1" x14ac:dyDescent="0.25">
      <c r="B2" s="49" t="s">
        <v>130</v>
      </c>
      <c r="C2" s="49"/>
      <c r="D2" s="49"/>
      <c r="F2" s="54" t="s">
        <v>93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19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6'1"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170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September 23, 1998 (Senior)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Denver, CO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Doane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1"/>
    </row>
    <row r="18" spans="2:19" x14ac:dyDescent="0.25">
      <c r="B18" s="13">
        <v>2022</v>
      </c>
      <c r="C18" s="13" t="str">
        <f>VLOOKUP(F2,Table1[#All],9,FALSE)</f>
        <v>Doane</v>
      </c>
      <c r="D18" s="14" cm="1">
        <f t="array" ref="D18">_xlfn.IFS(VLOOKUP(F2,Table1[#All],14,FALSE)="NAIA Presto", VLOOKUP(F2,Table2[#All],4,FALSE))</f>
        <v>10</v>
      </c>
      <c r="E18" s="14" cm="1">
        <f t="array" ref="E18">_xlfn.IFS(VLOOKUP(F2,Table1[#All],14,FALSE)="NAIA Presto", VLOOKUP(F2,Table2[#All],5,FALSE))</f>
        <v>10</v>
      </c>
      <c r="F18" s="14" cm="1">
        <f t="array" ref="F18">_xlfn.IFS(VLOOKUP(F2,Table1[#All],14,FALSE)="NAIA Presto", VLOOKUP(F2,Table2[#All],6,FALSE))</f>
        <v>3</v>
      </c>
      <c r="G18" s="14" cm="1">
        <f t="array" ref="G18">_xlfn.IFS(VLOOKUP(F2,Table1[#All],14,FALSE)="NAIA Presto", VLOOKUP(F2,Table2[#All],7,FALSE))</f>
        <v>2</v>
      </c>
      <c r="H18" s="14" cm="1">
        <f t="array" ref="H18">_xlfn.IFS(VLOOKUP(F2,Table1[#All],14,FALSE)="NAIA Presto", VLOOKUP(F2,Table2[#All],8,FALSE))</f>
        <v>0</v>
      </c>
      <c r="I18" s="14" cm="1">
        <f t="array" ref="I18">_xlfn.IFS(VLOOKUP(F2,Table1[#All],14,FALSE)="NAIA Presto", VLOOKUP(F2,Table2[#All],10,FALSE))</f>
        <v>42.1</v>
      </c>
      <c r="J18" s="14" cm="1">
        <f t="array" ref="J18">_xlfn.IFS(VLOOKUP(F2,Table1[#All],14,FALSE)="NAIA Presto", VLOOKUP(F2,Table2[#All],11,FALSE))</f>
        <v>49</v>
      </c>
      <c r="K18" s="14" cm="1">
        <f t="array" ref="K18">_xlfn.IFS(VLOOKUP(F2,Table1[#All],14,FALSE)="NAIA Presto", VLOOKUP(F2,Table2[#All],12,FALSE))</f>
        <v>34</v>
      </c>
      <c r="L18" s="14" cm="1">
        <f t="array" ref="L18">_xlfn.IFS(VLOOKUP(F2,Table1[#All],14,FALSE)="NAIA Presto", VLOOKUP(F2,Table2[#All],13,FALSE))</f>
        <v>26</v>
      </c>
      <c r="M18" s="14" cm="1">
        <f t="array" ref="M18">_xlfn.IFS(VLOOKUP(F2,Table1[#All],14,FALSE)="NAIA Presto", VLOOKUP(F2,Table2[#All],17,FALSE))</f>
        <v>3</v>
      </c>
      <c r="N18" s="14" cm="1">
        <f t="array" ref="N18">_xlfn.IFS(VLOOKUP(F2,Table1[#All],14,FALSE)="NAIA Presto", VLOOKUP(F2,Table2[#All],14,FALSE))</f>
        <v>22</v>
      </c>
      <c r="O18" s="14" cm="1">
        <f t="array" ref="O18">_xlfn.IFS(VLOOKUP(F2,Table1[#All],14,FALSE)="NAIA Presto", VLOOKUP(F2,Table2[#All],15,FALSE))</f>
        <v>34</v>
      </c>
      <c r="P18" s="14" cm="1">
        <f t="array" ref="P18">_xlfn.IFS(VLOOKUP(F2,Table1[#All],14,FALSE)="NAIA Presto", VLOOKUP(F2,Table2[#All],18,FALSE))</f>
        <v>5.53</v>
      </c>
      <c r="Q18" s="14">
        <v>1.44</v>
      </c>
      <c r="R18" s="14" cm="1">
        <f t="array" ref="R18">_xlfn.IFS(VLOOKUP(F2,Table1[#All],14,FALSE)="NAIA Presto", VLOOKUP(F2,Table2[#All],16,FALSE))</f>
        <v>7.23</v>
      </c>
      <c r="S18" s="1"/>
    </row>
  </sheetData>
  <mergeCells count="6">
    <mergeCell ref="B16:S16"/>
    <mergeCell ref="B2:D14"/>
    <mergeCell ref="F2:M3"/>
    <mergeCell ref="N2:O3"/>
    <mergeCell ref="P2:S5"/>
    <mergeCell ref="F13:O1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3B8F2-65CA-49EC-A87D-CD2C033E4ADA}">
  <dimension ref="B2:S18"/>
  <sheetViews>
    <sheetView showGridLines="0" workbookViewId="0">
      <selection activeCell="M7" sqref="M7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94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10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Left-Handed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Left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6'3"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190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October 30, 2000 (Junior)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Ancaster, ON, CAN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Brock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468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187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1"/>
    </row>
    <row r="18" spans="2:19" x14ac:dyDescent="0.25">
      <c r="B18" s="13">
        <f>VLOOKUP(F2,Table3[#All],2,FALSE)</f>
        <v>2021</v>
      </c>
      <c r="C18" s="13" t="str" cm="1">
        <f t="array" ref="C18">_xlfn.IFS(VLOOKUP(F2,Table1[#All],15,FALSE)="BR",VLOOKUP(F2,Table3[#All],5,FALSE),VLOOKUP(F2,Table1[#All],15,FALSE)="Pointstreak",VLOOKUP(F2,Table3[#All],3,FALSE))</f>
        <v>Brantford Red Sox</v>
      </c>
      <c r="D18" s="13" cm="1">
        <f t="array" ref="D18">_xlfn.IFS(VLOOKUP(F2,Table1[#All],15,FALSE)="BR",VLOOKUP(F2,Table3[#All],14,FALSE),VLOOKUP(F2,Table1[#All],15,FALSE)="Pointstreak",VLOOKUP(F2,Table3[#All],7,FALSE))</f>
        <v>10</v>
      </c>
      <c r="E18" s="13" cm="1">
        <f t="array" ref="E18">_xlfn.IFS(VLOOKUP(F2,Table1[#All],15,FALSE)="BR",VLOOKUP(F2,Table3[#All],15,FALSE),VLOOKUP(F2,Table1[#All],15,FALSE)="Pointstreak",VLOOKUP(F2,Table3[#All],8,FALSE))</f>
        <v>1</v>
      </c>
      <c r="F18" s="13" cm="1">
        <f t="array" ref="F18">_xlfn.IFS(VLOOKUP(F2,Table1[#All],15,FALSE)="BR",VLOOKUP(F2,Table3[#All],9,FALSE),VLOOKUP(F2,Table1[#All],15,FALSE)="Pointstreak",VLOOKUP(F2,Table3[#All],4,FALSE))</f>
        <v>1</v>
      </c>
      <c r="G18" s="13" cm="1">
        <f t="array" ref="G18">_xlfn.IFS(VLOOKUP(F2,Table1[#All],15,FALSE)="BR",VLOOKUP(F2,Table3[#All],10,FALSE),VLOOKUP(F2,Table1[#All],15,FALSE)="Pointstreak",VLOOKUP(F2,Table3[#All],5,FALSE))</f>
        <v>3</v>
      </c>
      <c r="H18" s="13" cm="1">
        <f t="array" ref="H18">_xlfn.IFS(VLOOKUP(F2,Table1[#All],15,FALSE)="BR",VLOOKUP(F2,Table3[#All],19,FALSE),VLOOKUP(F2,Table1[#All],15,FALSE)="Pointstreak",VLOOKUP(F2,Table3[#All],10,FALSE))</f>
        <v>0</v>
      </c>
      <c r="I18" s="13" cm="1">
        <f t="array" ref="I18">_xlfn.IFS(VLOOKUP(F2,Table1[#All],15,FALSE)="BR",VLOOKUP(F2,Table3[#All],20,FALSE),VLOOKUP(F2,Table1[#All],15,FALSE)="Pointstreak",VLOOKUP(F2,Table3[#All],11,FALSE))</f>
        <v>17.100000000000001</v>
      </c>
      <c r="J18" s="13" cm="1">
        <f t="array" ref="J18">_xlfn.IFS(VLOOKUP(F2,Table1[#All],15,FALSE)="BR",VLOOKUP(F2,Table3[#All],21,FALSE),VLOOKUP(F2,Table1[#All],15,FALSE)="Pointstreak",VLOOKUP(F2,Table3[#All],14,FALSE))</f>
        <v>17</v>
      </c>
      <c r="K18" s="13">
        <v>14</v>
      </c>
      <c r="L18" s="13">
        <v>9</v>
      </c>
      <c r="M18" s="13">
        <v>0</v>
      </c>
      <c r="N18" s="13" cm="1">
        <f t="array" ref="N18">_xlfn.IFS(VLOOKUP(F2,Table1[#All],15,FALSE)="BR",VLOOKUP(F2,Table3[#All],25,FALSE),VLOOKUP(F2,Table1[#All],15,FALSE)="Pointstreak",VLOOKUP(F2,Table3[#All],13,FALSE))</f>
        <v>21</v>
      </c>
      <c r="O18" s="13" cm="1">
        <f t="array" ref="O18">_xlfn.IFS(VLOOKUP(F2,Table1[#All],15,FALSE)="BR",VLOOKUP(F2,Table3[#All],27,FALSE),VLOOKUP(F2,Table1[#All],15,FALSE)="Pointstreak",VLOOKUP(F2,Table3[#All],12,FALSE))</f>
        <v>24</v>
      </c>
      <c r="P18" s="13" cm="1">
        <f t="array" ref="P18">_xlfn.IFS(VLOOKUP(F2,Table1[#All],15,FALSE)="BR",VLOOKUP(F2,Table3[#All],12,FALSE),VLOOKUP(F2,Table1[#All],15,FALSE)="Pointstreak",VLOOKUP(F2,Table3[#All],6,FALSE))</f>
        <v>4.67</v>
      </c>
      <c r="Q18" s="13">
        <v>2.19</v>
      </c>
      <c r="R18" s="13">
        <v>12.46</v>
      </c>
      <c r="S18" s="1"/>
    </row>
  </sheetData>
  <mergeCells count="6">
    <mergeCell ref="B16:S16"/>
    <mergeCell ref="B2:D14"/>
    <mergeCell ref="F2:M3"/>
    <mergeCell ref="N2:O3"/>
    <mergeCell ref="P2:S5"/>
    <mergeCell ref="F13:O1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FB6DA-EB61-47E4-B7DB-E2D60791D943}">
  <dimension ref="B1:S22"/>
  <sheetViews>
    <sheetView showGridLines="0" workbookViewId="0">
      <selection activeCell="B2" sqref="B2:D14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8" t="s">
        <v>95</v>
      </c>
      <c r="G2" s="58"/>
      <c r="H2" s="58"/>
      <c r="I2" s="58"/>
      <c r="J2" s="58"/>
      <c r="K2" s="58"/>
      <c r="L2" s="58"/>
      <c r="M2" s="58"/>
      <c r="N2" s="59" t="str">
        <f>"# " &amp; VLOOKUP(F2,Table1[#All],2,FALSE)</f>
        <v># 99</v>
      </c>
      <c r="O2" s="59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8"/>
      <c r="G3" s="58"/>
      <c r="H3" s="58"/>
      <c r="I3" s="58"/>
      <c r="J3" s="58"/>
      <c r="K3" s="58"/>
      <c r="L3" s="58"/>
      <c r="M3" s="58"/>
      <c r="N3" s="59"/>
      <c r="O3" s="59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8"/>
      <c r="C8" s="49"/>
      <c r="D8" s="50"/>
      <c r="F8" s="9" t="str">
        <f>"Height: " &amp; VLOOKUP(F2,Table1[#All],6,FALSE)</f>
        <v>Height: 6'1"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8"/>
      <c r="C9" s="49"/>
      <c r="D9" s="50"/>
      <c r="F9" s="9" t="str">
        <f>"Weight: " &amp; VLOOKUP(F2,Table1[#All],7,FALSE)</f>
        <v>Weight: 240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January 30, 2001 (Sophomore)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San Pedro De Macoris, DOM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str">
        <f>"School: " &amp; VLOOKUP(F2,Table1[#All],9,FALSE)</f>
        <v>School: Trinidad State JC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1"/>
    </row>
    <row r="18" spans="2:19" x14ac:dyDescent="0.25">
      <c r="B18" s="13">
        <v>2022</v>
      </c>
      <c r="C18" s="13" t="str">
        <f>VLOOKUP(F2,Table1[#All],9,FALSE)</f>
        <v>Trinidad State JC</v>
      </c>
      <c r="D18" s="14" cm="1">
        <f t="array" ref="D18">_xlfn.IFS(VLOOKUP(F2,Table1[#All],14,FALSE)="NAIA Presto", VLOOKUP(F2,Table2[#All],4,FALSE))</f>
        <v>15</v>
      </c>
      <c r="E18" s="14" cm="1">
        <f t="array" ref="E18">_xlfn.IFS(VLOOKUP(F2,Table1[#All],14,FALSE)="NAIA Presto", VLOOKUP(F2,Table2[#All],5,FALSE))</f>
        <v>6</v>
      </c>
      <c r="F18" s="14" cm="1">
        <f t="array" ref="F18">_xlfn.IFS(VLOOKUP(F2,Table1[#All],14,FALSE)="NAIA Presto", VLOOKUP(F2,Table2[#All],6,FALSE))</f>
        <v>5</v>
      </c>
      <c r="G18" s="14" cm="1">
        <f t="array" ref="G18">_xlfn.IFS(VLOOKUP(F2,Table1[#All],14,FALSE)="NAIA Presto", VLOOKUP(F2,Table2[#All],7,FALSE))</f>
        <v>3</v>
      </c>
      <c r="H18" s="14" cm="1">
        <f t="array" ref="H18">_xlfn.IFS(VLOOKUP(F2,Table1[#All],14,FALSE)="NAIA Presto", VLOOKUP(F2,Table2[#All],8,FALSE))</f>
        <v>0</v>
      </c>
      <c r="I18" s="14" cm="1">
        <f t="array" ref="I18">_xlfn.IFS(VLOOKUP(F2,Table1[#All],14,FALSE)="NAIA Presto", VLOOKUP(F2,Table2[#All],10,FALSE))</f>
        <v>52</v>
      </c>
      <c r="J18" s="14" cm="1">
        <f t="array" ref="J18">_xlfn.IFS(VLOOKUP(F2,Table1[#All],14,FALSE)="NAIA Presto", VLOOKUP(F2,Table2[#All],11,FALSE))</f>
        <v>37</v>
      </c>
      <c r="K18" s="14" cm="1">
        <f t="array" ref="K18">_xlfn.IFS(VLOOKUP(F2,Table1[#All],14,FALSE)="NAIA Presto", VLOOKUP(F2,Table2[#All],12,FALSE))</f>
        <v>39</v>
      </c>
      <c r="L18" s="14" cm="1">
        <f t="array" ref="L18">_xlfn.IFS(VLOOKUP(F2,Table1[#All],14,FALSE)="NAIA Presto", VLOOKUP(F2,Table2[#All],13,FALSE))</f>
        <v>35</v>
      </c>
      <c r="M18" s="14" cm="1">
        <f t="array" ref="M18">_xlfn.IFS(VLOOKUP(F2,Table1[#All],14,FALSE)="NAIA Presto", VLOOKUP(F2,Table2[#All],17,FALSE))</f>
        <v>1</v>
      </c>
      <c r="N18" s="14" cm="1">
        <f t="array" ref="N18">_xlfn.IFS(VLOOKUP(F2,Table1[#All],14,FALSE)="NAIA Presto", VLOOKUP(F2,Table2[#All],14,FALSE))</f>
        <v>38</v>
      </c>
      <c r="O18" s="14" cm="1">
        <f t="array" ref="O18">_xlfn.IFS(VLOOKUP(F2,Table1[#All],14,FALSE)="NAIA Presto", VLOOKUP(F2,Table2[#All],15,FALSE))</f>
        <v>75</v>
      </c>
      <c r="P18" s="14" cm="1">
        <f t="array" ref="P18">_xlfn.IFS(VLOOKUP(F2,Table1[#All],14,FALSE)="NAIA Presto", VLOOKUP(F2,Table2[#All],18,FALSE))</f>
        <v>6.06</v>
      </c>
      <c r="Q18" s="14">
        <v>1.44</v>
      </c>
      <c r="R18" s="14" cm="1">
        <f t="array" ref="R18">_xlfn.IFS(VLOOKUP(F2,Table1[#All],14,FALSE)="NAIA Presto", VLOOKUP(F2,Table2[#All],16,FALSE))</f>
        <v>12.98</v>
      </c>
      <c r="S18" s="1"/>
    </row>
    <row r="19" spans="2:19" x14ac:dyDescent="0.25">
      <c r="B19" s="17"/>
      <c r="C19" s="17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"/>
    </row>
    <row r="20" spans="2:19" x14ac:dyDescent="0.25">
      <c r="B20" s="44" t="s">
        <v>320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149</v>
      </c>
      <c r="F21" s="13" t="s">
        <v>143</v>
      </c>
      <c r="G21" s="13" t="s">
        <v>144</v>
      </c>
      <c r="H21" s="13" t="s">
        <v>153</v>
      </c>
      <c r="I21" s="13" t="s">
        <v>154</v>
      </c>
      <c r="J21" s="13" t="s">
        <v>155</v>
      </c>
      <c r="K21" s="13" t="s">
        <v>156</v>
      </c>
      <c r="L21" s="13" t="s">
        <v>157</v>
      </c>
      <c r="M21" s="13" t="s">
        <v>158</v>
      </c>
      <c r="N21" s="13" t="s">
        <v>159</v>
      </c>
      <c r="O21" s="13" t="s">
        <v>161</v>
      </c>
      <c r="P21" s="13" t="s">
        <v>146</v>
      </c>
      <c r="Q21" s="13" t="s">
        <v>166</v>
      </c>
      <c r="R21" s="13" t="s">
        <v>185</v>
      </c>
      <c r="S21" s="1"/>
    </row>
    <row r="22" spans="2:19" x14ac:dyDescent="0.25">
      <c r="B22" s="13">
        <f>VLOOKUP(F2,Table3[#All],2,FALSE)</f>
        <v>2021</v>
      </c>
      <c r="C22" s="13" t="str" cm="1">
        <f t="array" ref="C22">_xlfn.IFS(VLOOKUP(F2,Table1[#All],15,FALSE)="BR",VLOOKUP(F2,Table3[#All],5,FALSE),VLOOKUP(F2,Table1[#All],15,FALSE)="Pointstreak",VLOOKUP(F2,Table3[#All],3,FALSE))</f>
        <v>Casper Horseheads</v>
      </c>
      <c r="D22" s="13" cm="1">
        <f t="array" ref="D22">_xlfn.IFS(VLOOKUP(F2,Table1[#All],15,FALSE)="BR",VLOOKUP(F2,Table3[#All],14,FALSE),VLOOKUP(F2,Table1[#All],15,FALSE)="Pointstreak",VLOOKUP(F2,Table3[#All],7,FALSE))</f>
        <v>8</v>
      </c>
      <c r="E22" s="13" cm="1">
        <f t="array" ref="E22">_xlfn.IFS(VLOOKUP(F2,Table1[#All],15,FALSE)="BR",VLOOKUP(F2,Table3[#All],15,FALSE),VLOOKUP(F2,Table1[#All],15,FALSE)="Pointstreak",VLOOKUP(F2,Table3[#All],8,FALSE))</f>
        <v>8</v>
      </c>
      <c r="F22" s="13" cm="1">
        <f t="array" ref="F22">_xlfn.IFS(VLOOKUP(F2,Table1[#All],15,FALSE)="BR",VLOOKUP(F2,Table3[#All],9,FALSE),VLOOKUP(F2,Table1[#All],15,FALSE)="Pointstreak",VLOOKUP(F2,Table3[#All],4,FALSE))</f>
        <v>1</v>
      </c>
      <c r="G22" s="13" cm="1">
        <f t="array" ref="G22">_xlfn.IFS(VLOOKUP(F2,Table1[#All],15,FALSE)="BR",VLOOKUP(F2,Table3[#All],10,FALSE),VLOOKUP(F2,Table1[#All],15,FALSE)="Pointstreak",VLOOKUP(F2,Table3[#All],5,FALSE))</f>
        <v>3</v>
      </c>
      <c r="H22" s="13" cm="1">
        <f t="array" ref="H22">_xlfn.IFS(VLOOKUP(F2,Table1[#All],15,FALSE)="BR",VLOOKUP(F2,Table3[#All],19,FALSE),VLOOKUP(F2,Table1[#All],15,FALSE)="Pointstreak",VLOOKUP(F2,Table3[#All],10,FALSE))</f>
        <v>0</v>
      </c>
      <c r="I22" s="13" cm="1">
        <f t="array" ref="I22">_xlfn.IFS(VLOOKUP(F2,Table1[#All],15,FALSE)="BR",VLOOKUP(F2,Table3[#All],20,FALSE),VLOOKUP(F2,Table1[#All],15,FALSE)="Pointstreak",VLOOKUP(F2,Table3[#All],11,FALSE))</f>
        <v>27</v>
      </c>
      <c r="J22" s="13" cm="1">
        <f t="array" ref="J22">_xlfn.IFS(VLOOKUP(F2,Table1[#All],15,FALSE)="BR",VLOOKUP(F2,Table3[#All],21,FALSE),VLOOKUP(F2,Table1[#All],15,FALSE)="Pointstreak",VLOOKUP(F2,Table3[#All],14,FALSE))</f>
        <v>38</v>
      </c>
      <c r="K22" s="13" cm="1">
        <f t="array" ref="K22">_xlfn.IFS(VLOOKUP(F2,Table1[#All],15,FALSE)="BR",VLOOKUP(F2,Table3[#All],22,FALSE),VLOOKUP(F2,Table1[#All],15,FALSE)="Pointstreak","")</f>
        <v>25</v>
      </c>
      <c r="L22" s="13" cm="1">
        <f t="array" ref="L22">_xlfn.IFS(VLOOKUP(F2,Table1[#All],15,FALSE)="BR",VLOOKUP(F2,Table3[#All],23,FALSE),VLOOKUP(F2,Table1[#All],15,FALSE)="Pointstreak","")</f>
        <v>20</v>
      </c>
      <c r="M22" s="13" cm="1">
        <f t="array" ref="M22">_xlfn.IFS(VLOOKUP(F2,Table1[#All],15,FALSE)="BR",VLOOKUP(F2,Table3[#All],24,FALSE),VLOOKUP(F2,Table1[#All],15,FALSE)="Pointstreak","")</f>
        <v>2</v>
      </c>
      <c r="N22" s="13" cm="1">
        <f t="array" ref="N22">_xlfn.IFS(VLOOKUP(F2,Table1[#All],15,FALSE)="BR",VLOOKUP(F2,Table3[#All],25,FALSE),VLOOKUP(F2,Table1[#All],15,FALSE)="Pointstreak",VLOOKUP(F2,Table3[#All],13,FALSE))</f>
        <v>17</v>
      </c>
      <c r="O22" s="13" cm="1">
        <f t="array" ref="O22">_xlfn.IFS(VLOOKUP(F2,Table1[#All],15,FALSE)="BR",VLOOKUP(F2,Table3[#All],27,FALSE),VLOOKUP(F2,Table1[#All],15,FALSE)="Pointstreak",VLOOKUP(F2,Table3[#All],12,FALSE))</f>
        <v>31</v>
      </c>
      <c r="P22" s="13" cm="1">
        <f t="array" ref="P22">_xlfn.IFS(VLOOKUP(F2,Table1[#All],15,FALSE)="BR",VLOOKUP(F2,Table3[#All],12,FALSE),VLOOKUP(F2,Table1[#All],15,FALSE)="Pointstreak",VLOOKUP(F2,Table3[#All],6,FALSE))</f>
        <v>6.67</v>
      </c>
      <c r="Q22" s="15" cm="1">
        <f t="array" ref="Q22">_xlfn.IFS(VLOOKUP(F2,Table1[#All],15,FALSE)="BR",VLOOKUP(F2,Table3[#All],32,FALSE),VLOOKUP(F2,Table1[#All],15,FALSE)="Pointstreak","")</f>
        <v>2.0369999999999999</v>
      </c>
      <c r="R22" s="13" cm="1">
        <f t="array" ref="R22">_xlfn.IFS(VLOOKUP(F2,Table1[#All],15,FALSE)="BR",VLOOKUP(F2,Table3[#All],36,FALSE),VLOOKUP(F2,Table1[#All],15,FALSE)="Pointstreak","")</f>
        <v>10.3</v>
      </c>
      <c r="S22" s="1"/>
    </row>
  </sheetData>
  <mergeCells count="7">
    <mergeCell ref="B20:S20"/>
    <mergeCell ref="B2:D14"/>
    <mergeCell ref="F2:M3"/>
    <mergeCell ref="N2:O3"/>
    <mergeCell ref="P2:S5"/>
    <mergeCell ref="F13:O14"/>
    <mergeCell ref="B16:S1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16532-DD83-4996-99FD-CD0A51E37CB9}">
  <dimension ref="B1:S22"/>
  <sheetViews>
    <sheetView workbookViewId="0">
      <selection sqref="A1:S23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297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99</v>
      </c>
      <c r="O2" s="55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str">
        <f>"Position: " &amp; VLOOKUP(F2,Table1[#All],3,FALSE)</f>
        <v>Position: Infielder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8"/>
      <c r="C8" s="49"/>
      <c r="D8" s="50"/>
      <c r="F8" s="9" t="str">
        <f>"Height: " &amp; VLOOKUP(F2,Table1[#All],6,FALSE)</f>
        <v>Height: 5'10"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8"/>
      <c r="C9" s="49"/>
      <c r="D9" s="50"/>
      <c r="F9" s="9" t="str">
        <f>"Weight: " &amp; VLOOKUP(F2,Table1[#All],7,FALSE)</f>
        <v>Weight: 195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May 31, 1999 (R-Junior)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Hamilton, OH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str">
        <f>"School: " &amp; VLOOKUP(F2,Table1[#All],9,FALSE)</f>
        <v>School: Indiana Southeast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Indiana Southeast</v>
      </c>
      <c r="D18" s="13" cm="1">
        <f t="array" ref="D18">_xlfn.IFS(VLOOKUP(F2,Table1[#All],14,FALSE)="NAIA Presto",VLOOKUP(F2,Table4[#All],4,FALSE))</f>
        <v>34</v>
      </c>
      <c r="E18" s="13" cm="1">
        <f t="array" ref="E18">_xlfn.IFS(VLOOKUP(F2,Table1[#All],14,FALSE)="NAIA Presto",VLOOKUP(F2,Table4[#All],5,FALSE))</f>
        <v>98</v>
      </c>
      <c r="F18" s="13" cm="1">
        <f t="array" ref="F18">_xlfn.IFS(VLOOKUP(F2,Table1[#All],14,FALSE)="NAIA Presto",VLOOKUP(F2,Table4[#All],6,FALSE))</f>
        <v>22</v>
      </c>
      <c r="G18" s="13" cm="1">
        <f t="array" ref="G18">_xlfn.IFS(VLOOKUP(F2,Table1[#All],14,FALSE)="NAIA Presto",VLOOKUP(F2,Table4[#All],7,FALSE))</f>
        <v>28</v>
      </c>
      <c r="H18" s="13" cm="1">
        <f t="array" ref="H18">_xlfn.IFS(VLOOKUP(F2,Table1[#All],14,FALSE)="NAIA Presto",VLOOKUP(F2,Table4[#All],8,FALSE))</f>
        <v>1</v>
      </c>
      <c r="I18" s="13" cm="1">
        <f t="array" ref="I18">_xlfn.IFS(VLOOKUP(F2,Table1[#All],14,FALSE)="NAIA Presto",VLOOKUP(F2,Table4[#All],9,FALSE))</f>
        <v>1</v>
      </c>
      <c r="J18" s="13" cm="1">
        <f t="array" ref="J18">_xlfn.IFS(VLOOKUP(F2,Table1[#All],14,FALSE)="NAIA Presto",VLOOKUP(F2,Table4[#All],10,FALSE))</f>
        <v>3</v>
      </c>
      <c r="K18" s="13" cm="1">
        <f t="array" ref="K18">_xlfn.IFS(VLOOKUP(F2,Table1[#All],14,FALSE)="NAIA Presto",VLOOKUP(F2,Table4[#All],11,FALSE))</f>
        <v>25</v>
      </c>
      <c r="L18" s="13" cm="1">
        <f t="array" ref="L18">_xlfn.IFS(VLOOKUP(F2,Table1[#All],14,FALSE)="NAIA Presto",VLOOKUP(F2,Table4[#All],14,FALSE))</f>
        <v>9</v>
      </c>
      <c r="M18" s="13" cm="1">
        <f t="array" ref="M18">_xlfn.IFS(VLOOKUP(F2,Table1[#All],14,FALSE)="NAIA Presto",VLOOKUP(F2,Table4[#All],15,FALSE))</f>
        <v>0</v>
      </c>
      <c r="N18" s="13" cm="1">
        <f t="array" ref="N18">_xlfn.IFS(VLOOKUP(F2,Table1[#All],14,FALSE)="NAIA Presto",VLOOKUP(F2,Table4[#All],12,FALSE))</f>
        <v>8</v>
      </c>
      <c r="O18" s="13" cm="1">
        <f t="array" ref="O18">_xlfn.IFS(VLOOKUP(F2,Table1[#All],14,FALSE)="NAIA Presto",VLOOKUP(F2,Table4[#All],13,FALSE))</f>
        <v>18</v>
      </c>
      <c r="P18" s="16" cm="1">
        <f t="array" ref="P18">_xlfn.IFS(VLOOKUP(F2,Table1[#All],14,FALSE)="NAIA Presto",VLOOKUP(F2,Table4[#All],16,FALSE))</f>
        <v>0.28599999999999998</v>
      </c>
      <c r="Q18" s="16" cm="1">
        <f t="array" ref="Q18">_xlfn.IFS(VLOOKUP(F2,Table1[#All],14,FALSE)="NAIA Presto",VLOOKUP(F2,Table4[#All],17,FALSE))</f>
        <v>0.35399999999999998</v>
      </c>
      <c r="R18" s="16" cm="1">
        <f t="array" ref="R18">_xlfn.IFS(VLOOKUP(F2,Table1[#All],14,FALSE)="NAIA Presto",VLOOKUP(F2,Table4[#All],18,FALSE))</f>
        <v>0.40799999999999997</v>
      </c>
      <c r="S18" s="16" cm="1">
        <f t="array" ref="S18">_xlfn.IFS(VLOOKUP(F2,Table1[#All],14,FALSE)="NAIA Presto",Q18+R18)</f>
        <v>0.76200000000000001</v>
      </c>
    </row>
    <row r="20" spans="2:19" x14ac:dyDescent="0.25">
      <c r="B20" s="44" t="s">
        <v>467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175</v>
      </c>
      <c r="F21" s="13" t="s">
        <v>156</v>
      </c>
      <c r="G21" s="13" t="s">
        <v>155</v>
      </c>
      <c r="H21" s="13" t="s">
        <v>176</v>
      </c>
      <c r="I21" s="13" t="s">
        <v>177</v>
      </c>
      <c r="J21" s="13" t="s">
        <v>158</v>
      </c>
      <c r="K21" s="13" t="s">
        <v>178</v>
      </c>
      <c r="L21" s="13" t="s">
        <v>179</v>
      </c>
      <c r="M21" s="13" t="s">
        <v>180</v>
      </c>
      <c r="N21" s="13" t="s">
        <v>159</v>
      </c>
      <c r="O21" s="13" t="s">
        <v>161</v>
      </c>
      <c r="P21" s="13" t="s">
        <v>181</v>
      </c>
      <c r="Q21" s="13" t="s">
        <v>182</v>
      </c>
      <c r="R21" s="13" t="s">
        <v>183</v>
      </c>
      <c r="S21" s="13" t="s">
        <v>184</v>
      </c>
    </row>
    <row r="22" spans="2:19" x14ac:dyDescent="0.25">
      <c r="B22" s="13">
        <f>VLOOKUP(F2,Table5[#All],2,FALSE)</f>
        <v>2021</v>
      </c>
      <c r="C22" s="20" t="str">
        <f>VLOOKUP(F2,Table5[#All],5,FALSE)</f>
        <v>Clinton LumberKings</v>
      </c>
      <c r="D22" s="13">
        <f>VLOOKUP(F2,Table5[#All],9,FALSE)</f>
        <v>41</v>
      </c>
      <c r="E22" s="13">
        <f>VLOOKUP(F2,Table5[#All],11,FALSE)</f>
        <v>172</v>
      </c>
      <c r="F22" s="13">
        <f>VLOOKUP(F2,Table5[#All],12,FALSE)</f>
        <v>41</v>
      </c>
      <c r="G22" s="13">
        <f>VLOOKUP(F2,Table5[#All],13,FALSE)</f>
        <v>50</v>
      </c>
      <c r="H22" s="13">
        <f>VLOOKUP(F2,Table5[#All],14,FALSE)</f>
        <v>7</v>
      </c>
      <c r="I22" s="13">
        <f>VLOOKUP(F2,Table5[#All],15,FALSE)</f>
        <v>1</v>
      </c>
      <c r="J22" s="13">
        <f>VLOOKUP(F2,Table5[#All],16,FALSE)</f>
        <v>3</v>
      </c>
      <c r="K22" s="13">
        <f>VLOOKUP(F2,Table5[#All],17,FALSE)</f>
        <v>22</v>
      </c>
      <c r="L22" s="13">
        <f>VLOOKUP(F2,Table5[#All],18,FALSE)</f>
        <v>19</v>
      </c>
      <c r="M22" s="13">
        <f>VLOOKUP(F2,Table5[#All],19,FALSE)</f>
        <v>2</v>
      </c>
      <c r="N22" s="13">
        <f>VLOOKUP(F2,Table5[#All],20,FALSE)</f>
        <v>19</v>
      </c>
      <c r="O22" s="13">
        <f>VLOOKUP(F2,Table5[#All],21,FALSE)</f>
        <v>17</v>
      </c>
      <c r="P22" s="16">
        <f>VLOOKUP(F2,Table5[#All],22,FALSE)</f>
        <v>0.29099999999999998</v>
      </c>
      <c r="Q22" s="16">
        <f>VLOOKUP(F2,Table5[#All],23,FALSE)</f>
        <v>0.36599999999999999</v>
      </c>
      <c r="R22" s="16">
        <f>VLOOKUP(F2,Table5[#All],24,FALSE)</f>
        <v>0.39500000000000002</v>
      </c>
      <c r="S22" s="16">
        <f>VLOOKUP(F2,Table5[#All],25,FALSE)</f>
        <v>0.76100000000000001</v>
      </c>
    </row>
  </sheetData>
  <mergeCells count="7">
    <mergeCell ref="B16:S16"/>
    <mergeCell ref="B20:S20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78F0-7441-4737-B582-57FFCC598361}">
  <dimension ref="B2:S22"/>
  <sheetViews>
    <sheetView showGridLines="0" workbookViewId="0">
      <selection activeCell="B2" sqref="B2:S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96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29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Catcher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6'4"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220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May 14, 2001 (Sophomore)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Plymouth, MI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Eastern Michigan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Eastern Michigan</v>
      </c>
      <c r="D18" s="13" cm="1">
        <f t="array" ref="D18">_xlfn.IFS(VLOOKUP(F2,Table1[#All],14,FALSE)="NAIA Presto",VLOOKUP(F2,Table4[#All],4,FALSE),VLOOKUP(F2,Table1[#All],14,FALSE)="BR",VLOOKUP(F2,Table4[#All],9,FALSE))</f>
        <v>49</v>
      </c>
      <c r="E18" s="13" cm="1">
        <f t="array" ref="E18">_xlfn.IFS(VLOOKUP(F2,Table1[#All],14,FALSE)="NAIA Presto",VLOOKUP(F2,Table4[#All],5,FALSE),VLOOKUP(F2,Table1[#All],14,FALSE)="BR",VLOOKUP(F2,Table4[#All],11,FALSE))</f>
        <v>154</v>
      </c>
      <c r="F18" s="13" cm="1">
        <f t="array" ref="F18">_xlfn.IFS(VLOOKUP(F2,Table1[#All],14,FALSE)="NAIA Presto",VLOOKUP(F2,Table4[#All],6,FALSE),VLOOKUP(F2,Table1[#All],14,FALSE)="BR",VLOOKUP(F2,Table4[#All],12,FALSE))</f>
        <v>30</v>
      </c>
      <c r="G18" s="13" cm="1">
        <f t="array" ref="G18">_xlfn.IFS(VLOOKUP(F2,Table1[#All],14,FALSE)="NAIA Presto",VLOOKUP(F2,Table4[#All],7,FALSE),VLOOKUP(F2,Table1[#All],14,FALSE)="BR",VLOOKUP(F2,Table4[#All],13,FALSE))</f>
        <v>53</v>
      </c>
      <c r="H18" s="13" cm="1">
        <f t="array" ref="H18">_xlfn.IFS(VLOOKUP(F2,Table1[#All],14,FALSE)="NAIA Presto",VLOOKUP(F2,Table4[#All],8,FALSE),VLOOKUP(F2,Table1[#All],14,FALSE)="BR",VLOOKUP(F2,Table4[#All],14,FALSE))</f>
        <v>12</v>
      </c>
      <c r="I18" s="13" cm="1">
        <f t="array" ref="I18">_xlfn.IFS(VLOOKUP(F2,Table1[#All],14,FALSE)="NAIA Presto",VLOOKUP(F2,Table4[#All],9,FALSE),VLOOKUP(F2,Table1[#All],14,FALSE)="BR",VLOOKUP(F2,Table4[#All],15,FALSE))</f>
        <v>3</v>
      </c>
      <c r="J18" s="13" cm="1">
        <f t="array" ref="J18">_xlfn.IFS(VLOOKUP(F2,Table1[#All],14,FALSE)="NAIA Presto",VLOOKUP(F2,Table4[#All],10,FALSE),VLOOKUP(F2,Table1[#All],14,FALSE)="BR",VLOOKUP(F2,Table4[#All],16,FALSE))</f>
        <v>7</v>
      </c>
      <c r="K18" s="13" cm="1">
        <f t="array" ref="K18">_xlfn.IFS(VLOOKUP(F2,Table1[#All],14,FALSE)="NAIA Presto",VLOOKUP(F2,Table4[#All],11,FALSE),VLOOKUP(F2,Table1[#All],14,FALSE)="BR",VLOOKUP(F2,Table4[#All],17,FALSE))</f>
        <v>27</v>
      </c>
      <c r="L18" s="13" cm="1">
        <f t="array" ref="L18">_xlfn.IFS(VLOOKUP(F2,Table1[#All],14,FALSE)="NAIA Presto",VLOOKUP(F2,Table4[#All],14,FALSE),VLOOKUP(F2,Table1[#All],14,FALSE)="BR",VLOOKUP(F2,Table4[#All],18,FALSE))</f>
        <v>0</v>
      </c>
      <c r="M18" s="13" cm="1">
        <f t="array" ref="M18">_xlfn.IFS(VLOOKUP(F2,Table1[#All],14,FALSE)="NAIA Presto",VLOOKUP(F2,Table4[#All],15,FALSE),VLOOKUP(F2,Table1[#All],14,FALSE)="BR",VLOOKUP(F2,Table4[#All],19,FALSE))</f>
        <v>2</v>
      </c>
      <c r="N18" s="13" cm="1">
        <f t="array" ref="N18">_xlfn.IFS(VLOOKUP(F2,Table1[#All],14,FALSE)="NAIA Presto",VLOOKUP(F2,Table4[#All],12,FALSE),VLOOKUP(F2,Table1[#All],14,FALSE)="BR",VLOOKUP(F2,Table4[#All],20,FALSE))</f>
        <v>26</v>
      </c>
      <c r="O18" s="13" cm="1">
        <f t="array" ref="O18">_xlfn.IFS(VLOOKUP(F2,Table1[#All],14,FALSE)="NAIA Presto",VLOOKUP(F2,Table4[#All],13,FALSE),VLOOKUP(F2,Table1[#All],14,FALSE)="BR",VLOOKUP(F2,Table4[#All],21,FALSE))</f>
        <v>33</v>
      </c>
      <c r="P18" s="16" cm="1">
        <f t="array" ref="P18">_xlfn.IFS(VLOOKUP(F2,Table1[#All],14,FALSE)="NAIA Presto",VLOOKUP(F2,Table4[#All],16,FALSE),VLOOKUP(F2,Table1[#All],14,FALSE)="BR",VLOOKUP(F2,Table4[#All],22,FALSE))</f>
        <v>0.34399999999999997</v>
      </c>
      <c r="Q18" s="16" cm="1">
        <f t="array" ref="Q18">_xlfn.IFS(VLOOKUP(F2,Table1[#All],14,FALSE)="NAIA Presto",VLOOKUP(F2,Table4[#All],17,FALSE),VLOOKUP(F2,Table1[#All],14,FALSE)="BR",VLOOKUP(F2,Table4[#All],23,FALSE))</f>
        <v>0.44600000000000001</v>
      </c>
      <c r="R18" s="16" cm="1">
        <f t="array" ref="R18">_xlfn.IFS(VLOOKUP(F2,Table1[#All],14,FALSE)="NAIA Presto",VLOOKUP(F2,Table4[#All],18,FALSE),VLOOKUP(F2,Table1[#All],14,FALSE)="BR",VLOOKUP(F2,Table4[#All],24,FALSE))</f>
        <v>0.59699999999999998</v>
      </c>
      <c r="S18" s="16" cm="1">
        <f t="array" ref="S18">_xlfn.IFS(VLOOKUP(F2,Table1[#All],14,FALSE)="NAIA Presto",Q18+R18,VLOOKUP(F2,Table1[#All],14,FALSE)="BR",VLOOKUP(F2,Table4[#All],25,FALSE))</f>
        <v>1.044</v>
      </c>
    </row>
    <row r="20" spans="2:19" x14ac:dyDescent="0.25">
      <c r="B20" s="44" t="s">
        <v>469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175</v>
      </c>
      <c r="F21" s="13" t="s">
        <v>156</v>
      </c>
      <c r="G21" s="13" t="s">
        <v>155</v>
      </c>
      <c r="H21" s="13" t="s">
        <v>176</v>
      </c>
      <c r="I21" s="13" t="s">
        <v>177</v>
      </c>
      <c r="J21" s="13" t="s">
        <v>158</v>
      </c>
      <c r="K21" s="13" t="s">
        <v>178</v>
      </c>
      <c r="L21" s="13" t="s">
        <v>179</v>
      </c>
      <c r="M21" s="13" t="s">
        <v>180</v>
      </c>
      <c r="N21" s="13" t="s">
        <v>159</v>
      </c>
      <c r="O21" s="13" t="s">
        <v>161</v>
      </c>
      <c r="P21" s="13" t="s">
        <v>181</v>
      </c>
      <c r="Q21" s="13" t="s">
        <v>182</v>
      </c>
      <c r="R21" s="13" t="s">
        <v>183</v>
      </c>
      <c r="S21" s="13" t="s">
        <v>184</v>
      </c>
    </row>
    <row r="22" spans="2:19" x14ac:dyDescent="0.25">
      <c r="B22" s="13" cm="1">
        <f t="array" ref="B22">_xlfn.IFS(VLOOKUP(F2,Table1[#All],15,FALSE)="BR",VLOOKUP(F2,Table5[#All],2,FALSE),VLOOKUP(F2,Table1[#All],15,FALSE)="Pointstreak",VLOOKUP(F2,Table5[#All],2,FALSE))</f>
        <v>2021</v>
      </c>
      <c r="C22" s="13" t="str" cm="1">
        <f t="array" ref="C22">_xlfn.IFS(VLOOKUP(F2,Table1[#All],15,FALSE)="BR",VLOOKUP(F2,Table5[#All],5,FALSE),VLOOKUP(F2,Table1[#All],15,FALSE)="Pointstreak",VLOOKUP(F2,Table5[#All],3,FALSE))</f>
        <v>Bristol State Liners</v>
      </c>
      <c r="D22" s="13" cm="1">
        <f t="array" ref="D22">_xlfn.IFS(VLOOKUP(F2,Table1[#All],15,FALSE)="BR",VLOOKUP(F2,Table5[#All],9,FALSE),VLOOKUP(F2,Table1[#All],15,FALSE)="Pointstreak",VLOOKUP(F2,Table5[#All],4,FALSE))</f>
        <v>25</v>
      </c>
      <c r="E22" s="13" cm="1">
        <f t="array" ref="E22">_xlfn.IFS(VLOOKUP(F2,Table1[#All],15,FALSE)="BR",VLOOKUP(F2,Table5[#All],11,FALSE),VLOOKUP(F2,Table1[#All],15,FALSE)="Pointstreak",VLOOKUP(F2,Table5[#All],5,FALSE))</f>
        <v>81</v>
      </c>
      <c r="F22" s="13" cm="1">
        <f t="array" ref="F22">_xlfn.IFS(VLOOKUP(F2,Table1[#All],15,FALSE)="BR",VLOOKUP(F2,Table5[#All],12,FALSE),VLOOKUP(F2,Table1[#All],15,FALSE)="Pointstreak",VLOOKUP(F2,Table5[#All],6,FALSE))</f>
        <v>10</v>
      </c>
      <c r="G22" s="13" cm="1">
        <f t="array" ref="G22">_xlfn.IFS(VLOOKUP(F2,Table1[#All],15,FALSE)="BR",VLOOKUP(F2,Table5[#All],13,FALSE),VLOOKUP(F2,Table1[#All],15,FALSE)="Pointstreak",VLOOKUP(F2,Table5[#All],7,FALSE))</f>
        <v>21</v>
      </c>
      <c r="H22" s="13" cm="1">
        <f t="array" ref="H22">_xlfn.IFS(VLOOKUP(F2,Table1[#All],15,FALSE)="BR",VLOOKUP(F2,Table5[#All],14,FALSE),VLOOKUP(F2,Table1[#All],15,FALSE)="Pointstreak",VLOOKUP(F2,Table5[#All],8,FALSE))</f>
        <v>6</v>
      </c>
      <c r="I22" s="13" cm="1">
        <f t="array" ref="I22">_xlfn.IFS(VLOOKUP(F2,Table1[#All],15,FALSE)="BR",VLOOKUP(F2,Table5[#All],15,FALSE),VLOOKUP(F2,Table1[#All],15,FALSE)="Pointstreak",VLOOKUP(F2,Table5[#All],9,FALSE))</f>
        <v>1</v>
      </c>
      <c r="J22" s="13" cm="1">
        <f t="array" ref="J22">_xlfn.IFS(VLOOKUP(F2,Table1[#All],15,FALSE)="BR",VLOOKUP(F2,Table5[#All],16,FALSE),VLOOKUP(F2,Table1[#All],15,FALSE)="Pointstreak",VLOOKUP(F2,Table5[#All],10,FALSE))</f>
        <v>1</v>
      </c>
      <c r="K22" s="13" cm="1">
        <f t="array" ref="K22">_xlfn.IFS(VLOOKUP(F2,Table1[#All],15,FALSE)="BR",VLOOKUP(F2,Table5[#All],17,FALSE),VLOOKUP(F2,Table1[#All],15,FALSE)="Pointstreak",VLOOKUP(F2,Table5[#All],11,FALSE))</f>
        <v>12</v>
      </c>
      <c r="L22" s="13" cm="1">
        <f t="array" ref="L22">_xlfn.IFS(VLOOKUP(F2,Table1[#All],15,FALSE)="BR",VLOOKUP(F2,Table5[#All],18,FALSE),VLOOKUP(F2,Table1[#All],15,FALSE)="Pointstreak",VLOOKUP(F2,Table5[#All],14,FALSE))</f>
        <v>0</v>
      </c>
      <c r="M22" s="13" cm="1">
        <f t="array" ref="M22">_xlfn.IFS(VLOOKUP(F2,Table1[#All],15,FALSE)="BR",VLOOKUP(F2,Table5[#All],19,FALSE),VLOOKUP(F2,Table1[#All],15,FALSE)="Pointstreak","")</f>
        <v>2</v>
      </c>
      <c r="N22" s="13" cm="1">
        <f t="array" ref="N22">_xlfn.IFS(VLOOKUP(F2,Table1[#All],15,FALSE)="BR",VLOOKUP(F2,Table5[#All],20,FALSE),VLOOKUP(F2,Table1[#All],15,FALSE)="Pointstreak",VLOOKUP(F2,Table5[#All],12,FALSE))</f>
        <v>17</v>
      </c>
      <c r="O22" s="13" cm="1">
        <f t="array" ref="O22">_xlfn.IFS(VLOOKUP(F2,Table1[#All],15,FALSE)="BR",VLOOKUP(F2,Table5[#All],21,FALSE),VLOOKUP(F2,Table1[#All],15,FALSE)="Pointstreak",VLOOKUP(F2,Table5[#All],13,FALSE))</f>
        <v>32</v>
      </c>
      <c r="P22" s="16" cm="1">
        <f t="array" ref="P22">_xlfn.IFS(VLOOKUP(F2,Table1[#All],15,FALSE)="BR",VLOOKUP(F2,Table5[#All],22,FALSE),VLOOKUP(F2,Table1[#All],15,FALSE)="Pointstreak",VLOOKUP(F2,Table5[#All],15,FALSE))</f>
        <v>0.25900000000000001</v>
      </c>
      <c r="Q22" s="16" cm="1">
        <f t="array" ref="Q22">_xlfn.IFS(VLOOKUP(F2,Table1[#All],15,FALSE)="BR",VLOOKUP(F2,Table5[#All],23,FALSE),VLOOKUP(F2,Table1[#All],15,FALSE)="Pointstreak","")</f>
        <v>0.4</v>
      </c>
      <c r="R22" s="16" cm="1">
        <f t="array" ref="R22">_xlfn.IFS(VLOOKUP(F2,Table1[#All],15,FALSE)="BR",VLOOKUP(F2,Table5[#All],24,FALSE),VLOOKUP(F2,Table1[#All],15,FALSE)="Pointstreak",((G22-H22-I22-J22)+2*H22+3*I22+4*J22)/E22)</f>
        <v>0.39500000000000002</v>
      </c>
      <c r="S22" s="16" cm="1">
        <f t="array" ref="S22">_xlfn.IFS(VLOOKUP(F2,Table1[#All],15,FALSE)="BR",VLOOKUP(F2,Table5[#All],25,FALSE),VLOOKUP(F2,Table1[#All],15,FALSE)="Pointstreak",Q22+R22)</f>
        <v>0.79500000000000004</v>
      </c>
    </row>
  </sheetData>
  <mergeCells count="7">
    <mergeCell ref="B20:S20"/>
    <mergeCell ref="B2:D14"/>
    <mergeCell ref="F2:M3"/>
    <mergeCell ref="N2:O3"/>
    <mergeCell ref="P2:S5"/>
    <mergeCell ref="F13:O14"/>
    <mergeCell ref="B16:S1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EAC25-E857-4886-B336-FEA37368358E}">
  <dimension ref="B1:S18"/>
  <sheetViews>
    <sheetView workbookViewId="0">
      <selection activeCell="F10" sqref="F10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118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99</v>
      </c>
      <c r="O2" s="55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str">
        <f>"Position: " &amp; VLOOKUP(F2,Table1[#All],3,FALSE)</f>
        <v>Position: Infielder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8"/>
      <c r="C8" s="49"/>
      <c r="D8" s="50"/>
      <c r="F8" s="9" t="str">
        <f>"Height: " &amp; VLOOKUP(F2,Table1[#All],6,FALSE)</f>
        <v>Height: 5'9"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8"/>
      <c r="C9" s="49"/>
      <c r="D9" s="50"/>
      <c r="F9" s="9" t="str">
        <f>"Weight: " &amp; VLOOKUP(F2,Table1[#All],7,FALSE)</f>
        <v>Weight: 175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July 12, 2001 (Sophomore)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Odessa, FL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str">
        <f>"School: " &amp; VLOOKUP(F2,Table1[#All],9,FALSE)</f>
        <v>School: Flagler College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Flagler College</v>
      </c>
      <c r="D18" s="13" cm="1">
        <f t="array" ref="D18">_xlfn.IFS(VLOOKUP(F2,Table1[#All],14,FALSE)="NAIA Presto",VLOOKUP(F2,Table4[#All],4,FALSE),VLOOKUP(F2,Table1[#All],14,FALSE)="BR",VLOOKUP(F2,Table4[#All],9,FALSE))</f>
        <v>43</v>
      </c>
      <c r="E18" s="13" cm="1">
        <f t="array" ref="E18">_xlfn.IFS(VLOOKUP(F2,Table1[#All],14,FALSE)="NAIA Presto",VLOOKUP(F2,Table4[#All],5,FALSE),VLOOKUP(F2,Table1[#All],14,FALSE)="BR",VLOOKUP(F2,Table4[#All],11,FALSE))</f>
        <v>150</v>
      </c>
      <c r="F18" s="13" cm="1">
        <f t="array" ref="F18">_xlfn.IFS(VLOOKUP(F2,Table1[#All],14,FALSE)="NAIA Presto",VLOOKUP(F2,Table4[#All],6,FALSE),VLOOKUP(F2,Table1[#All],14,FALSE)="BR",VLOOKUP(F2,Table4[#All],12,FALSE))</f>
        <v>26</v>
      </c>
      <c r="G18" s="13" cm="1">
        <f t="array" ref="G18">_xlfn.IFS(VLOOKUP(F2,Table1[#All],14,FALSE)="NAIA Presto",VLOOKUP(F2,Table4[#All],7,FALSE),VLOOKUP(F2,Table1[#All],14,FALSE)="BR",VLOOKUP(F2,Table4[#All],13,FALSE))</f>
        <v>34</v>
      </c>
      <c r="H18" s="13" cm="1">
        <f t="array" ref="H18">_xlfn.IFS(VLOOKUP(F2,Table1[#All],14,FALSE)="NAIA Presto",VLOOKUP(F2,Table4[#All],8,FALSE),VLOOKUP(F2,Table1[#All],14,FALSE)="BR",VLOOKUP(F2,Table4[#All],14,FALSE))</f>
        <v>9</v>
      </c>
      <c r="I18" s="13" cm="1">
        <f t="array" ref="I18">_xlfn.IFS(VLOOKUP(F2,Table1[#All],14,FALSE)="NAIA Presto",VLOOKUP(F2,Table4[#All],9,FALSE),VLOOKUP(F2,Table1[#All],14,FALSE)="BR",VLOOKUP(F2,Table4[#All],15,FALSE))</f>
        <v>1</v>
      </c>
      <c r="J18" s="13" cm="1">
        <f t="array" ref="J18">_xlfn.IFS(VLOOKUP(F2,Table1[#All],14,FALSE)="NAIA Presto",VLOOKUP(F2,Table4[#All],10,FALSE),VLOOKUP(F2,Table1[#All],14,FALSE)="BR",VLOOKUP(F2,Table4[#All],16,FALSE))</f>
        <v>1</v>
      </c>
      <c r="K18" s="13" cm="1">
        <f t="array" ref="K18">_xlfn.IFS(VLOOKUP(F2,Table1[#All],14,FALSE)="NAIA Presto",VLOOKUP(F2,Table4[#All],11,FALSE),VLOOKUP(F2,Table1[#All],14,FALSE)="BR",VLOOKUP(F2,Table4[#All],17,FALSE))</f>
        <v>21</v>
      </c>
      <c r="L18" s="13" cm="1">
        <f t="array" ref="L18">_xlfn.IFS(VLOOKUP(F2,Table1[#All],14,FALSE)="NAIA Presto",VLOOKUP(F2,Table4[#All],14,FALSE),VLOOKUP(F2,Table1[#All],14,FALSE)="BR",VLOOKUP(F2,Table4[#All],18,FALSE))</f>
        <v>6</v>
      </c>
      <c r="M18" s="13" cm="1">
        <f t="array" ref="M18">_xlfn.IFS(VLOOKUP(F2,Table1[#All],14,FALSE)="NAIA Presto",VLOOKUP(F2,Table4[#All],15,FALSE),VLOOKUP(F2,Table1[#All],14,FALSE)="BR",VLOOKUP(F2,Table4[#All],19,FALSE))</f>
        <v>2</v>
      </c>
      <c r="N18" s="13" cm="1">
        <f t="array" ref="N18">_xlfn.IFS(VLOOKUP(F2,Table1[#All],14,FALSE)="NAIA Presto",VLOOKUP(F2,Table4[#All],12,FALSE),VLOOKUP(F2,Table1[#All],14,FALSE)="BR",VLOOKUP(F2,Table4[#All],20,FALSE))</f>
        <v>26</v>
      </c>
      <c r="O18" s="13" cm="1">
        <f t="array" ref="O18">_xlfn.IFS(VLOOKUP(F2,Table1[#All],14,FALSE)="NAIA Presto",VLOOKUP(F2,Table4[#All],13,FALSE),VLOOKUP(F2,Table1[#All],14,FALSE)="BR",VLOOKUP(F2,Table4[#All],21,FALSE))</f>
        <v>35</v>
      </c>
      <c r="P18" s="16" cm="1">
        <f t="array" ref="P18">_xlfn.IFS(VLOOKUP(F2,Table1[#All],14,FALSE)="NAIA Presto",VLOOKUP(F2,Table4[#All],16,FALSE),VLOOKUP(F2,Table1[#All],14,FALSE)="BR",VLOOKUP(F2,Table4[#All],22,FALSE))</f>
        <v>0.22700000000000001</v>
      </c>
      <c r="Q18" s="16" cm="1">
        <f t="array" ref="Q18">_xlfn.IFS(VLOOKUP(F2,Table1[#All],14,FALSE)="NAIA Presto",VLOOKUP(F2,Table4[#All],17,FALSE),VLOOKUP(F2,Table1[#All],14,FALSE)="BR",VLOOKUP(F2,Table4[#All],23,FALSE))</f>
        <v>0.34300000000000003</v>
      </c>
      <c r="R18" s="16" cm="1">
        <f t="array" ref="R18">_xlfn.IFS(VLOOKUP(F2,Table1[#All],14,FALSE)="NAIA Presto",VLOOKUP(F2,Table4[#All],18,FALSE),VLOOKUP(F2,Table1[#All],14,FALSE)="BR",VLOOKUP(F2,Table4[#All],24,FALSE))</f>
        <v>0.32</v>
      </c>
      <c r="S18" s="16" cm="1">
        <f t="array" ref="S18">_xlfn.IFS(VLOOKUP(F2,Table1[#All],14,FALSE)="NAIA Presto",Q18+R18,VLOOKUP(F2,Table1[#All],14,FALSE)="BR",VLOOKUP(F2,Table4[#All],25,FALSE))</f>
        <v>0.66300000000000003</v>
      </c>
    </row>
  </sheetData>
  <mergeCells count="6">
    <mergeCell ref="B16:S16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89A17-4B00-47DD-9DAB-B53C68507CF5}">
  <dimension ref="B1:S18"/>
  <sheetViews>
    <sheetView workbookViewId="0">
      <selection activeCell="F10" sqref="F10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119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99</v>
      </c>
      <c r="O2" s="55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str">
        <f>"Position: " &amp; VLOOKUP(F2,Table1[#All],3,FALSE)</f>
        <v>Position: Infielder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8"/>
      <c r="C8" s="49"/>
      <c r="D8" s="50"/>
      <c r="F8" s="9" t="str">
        <f>"Height: " &amp; VLOOKUP(F2,Table1[#All],6,FALSE)</f>
        <v>Height: 5'10"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8"/>
      <c r="C9" s="49"/>
      <c r="D9" s="50"/>
      <c r="F9" s="9" t="str">
        <f>"Weight: " &amp; VLOOKUP(F2,Table1[#All],7,FALSE)</f>
        <v>Weight: 165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May 29, 2003 (Freshman)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Milford, MI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str">
        <f>"School: " &amp; VLOOKUP(F2,Table1[#All],9,FALSE)</f>
        <v>School: Northwood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">
        <v>318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6">
        <v>0</v>
      </c>
      <c r="Q18" s="16">
        <v>0</v>
      </c>
      <c r="R18" s="16">
        <v>0</v>
      </c>
      <c r="S18" s="16">
        <v>0</v>
      </c>
    </row>
  </sheetData>
  <mergeCells count="6">
    <mergeCell ref="B16:S16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65403-EE8E-403D-B5D5-B8399A888C0D}">
  <dimension ref="B2:S22"/>
  <sheetViews>
    <sheetView showGridLines="0" workbookViewId="0">
      <selection activeCell="E5" sqref="E5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124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7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Outfielder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6'0"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195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October 31, 1999 (Senior)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Ironton, MO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William Woods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William Woods</v>
      </c>
      <c r="D18" s="13" cm="1">
        <f t="array" ref="D18">_xlfn.IFS(VLOOKUP(F2,Table1[#All],14,FALSE)="NAIA Presto",VLOOKUP(F2,Table4[#All],4,FALSE),VLOOKUP(F2,Table1[#All],14,FALSE)="BR",VLOOKUP(F2,Table4[#All],9,FALSE))</f>
        <v>45</v>
      </c>
      <c r="E18" s="13" cm="1">
        <f t="array" ref="E18">_xlfn.IFS(VLOOKUP(F2,Table1[#All],14,FALSE)="NAIA Presto",VLOOKUP(F2,Table4[#All],5,FALSE),VLOOKUP(F2,Table1[#All],14,FALSE)="BR",VLOOKUP(F2,Table4[#All],11,FALSE))</f>
        <v>148</v>
      </c>
      <c r="F18" s="13" cm="1">
        <f t="array" ref="F18">_xlfn.IFS(VLOOKUP(F2,Table1[#All],14,FALSE)="NAIA Presto",VLOOKUP(F2,Table4[#All],6,FALSE),VLOOKUP(F2,Table1[#All],14,FALSE)="BR",VLOOKUP(F2,Table4[#All],12,FALSE))</f>
        <v>45</v>
      </c>
      <c r="G18" s="13" cm="1">
        <f t="array" ref="G18">_xlfn.IFS(VLOOKUP(F2,Table1[#All],14,FALSE)="NAIA Presto",VLOOKUP(F2,Table4[#All],7,FALSE),VLOOKUP(F2,Table1[#All],14,FALSE)="BR",VLOOKUP(F2,Table4[#All],13,FALSE))</f>
        <v>51</v>
      </c>
      <c r="H18" s="13" cm="1">
        <f t="array" ref="H18">_xlfn.IFS(VLOOKUP(F2,Table1[#All],14,FALSE)="NAIA Presto",VLOOKUP(F2,Table4[#All],8,FALSE),VLOOKUP(F2,Table1[#All],14,FALSE)="BR",VLOOKUP(F2,Table4[#All],14,FALSE))</f>
        <v>13</v>
      </c>
      <c r="I18" s="13" cm="1">
        <f t="array" ref="I18">_xlfn.IFS(VLOOKUP(F2,Table1[#All],14,FALSE)="NAIA Presto",VLOOKUP(F2,Table4[#All],9,FALSE),VLOOKUP(F2,Table1[#All],14,FALSE)="BR",VLOOKUP(F2,Table4[#All],15,FALSE))</f>
        <v>2</v>
      </c>
      <c r="J18" s="13" cm="1">
        <f t="array" ref="J18">_xlfn.IFS(VLOOKUP(F2,Table1[#All],14,FALSE)="NAIA Presto",VLOOKUP(F2,Table4[#All],10,FALSE),VLOOKUP(F2,Table1[#All],14,FALSE)="BR",VLOOKUP(F2,Table4[#All],16,FALSE))</f>
        <v>10</v>
      </c>
      <c r="K18" s="13" cm="1">
        <f t="array" ref="K18">_xlfn.IFS(VLOOKUP(F2,Table1[#All],14,FALSE)="NAIA Presto",VLOOKUP(F2,Table4[#All],11,FALSE),VLOOKUP(F2,Table1[#All],14,FALSE)="BR",VLOOKUP(F2,Table4[#All],17,FALSE))</f>
        <v>43</v>
      </c>
      <c r="L18" s="13" cm="1">
        <f t="array" ref="L18">_xlfn.IFS(VLOOKUP(F2,Table1[#All],14,FALSE)="NAIA Presto",VLOOKUP(F2,Table4[#All],14,FALSE),VLOOKUP(F2,Table1[#All],14,FALSE)="BR",VLOOKUP(F2,Table4[#All],18,FALSE))</f>
        <v>6</v>
      </c>
      <c r="M18" s="13" cm="1">
        <f t="array" ref="M18">_xlfn.IFS(VLOOKUP(F2,Table1[#All],14,FALSE)="NAIA Presto",VLOOKUP(F2,Table4[#All],15,FALSE),VLOOKUP(F2,Table1[#All],14,FALSE)="BR",VLOOKUP(F2,Table4[#All],19,FALSE))</f>
        <v>3</v>
      </c>
      <c r="N18" s="13" cm="1">
        <f t="array" ref="N18">_xlfn.IFS(VLOOKUP(F2,Table1[#All],14,FALSE)="NAIA Presto",VLOOKUP(F2,Table4[#All],12,FALSE),VLOOKUP(F2,Table1[#All],14,FALSE)="BR",VLOOKUP(F2,Table4[#All],20,FALSE))</f>
        <v>30</v>
      </c>
      <c r="O18" s="13" cm="1">
        <f t="array" ref="O18">_xlfn.IFS(VLOOKUP(F2,Table1[#All],14,FALSE)="NAIA Presto",VLOOKUP(F2,Table4[#All],13,FALSE),VLOOKUP(F2,Table1[#All],14,FALSE)="BR",VLOOKUP(F2,Table4[#All],21,FALSE))</f>
        <v>30</v>
      </c>
      <c r="P18" s="16" cm="1">
        <f t="array" ref="P18">_xlfn.IFS(VLOOKUP(F2,Table1[#All],14,FALSE)="NAIA Presto",VLOOKUP(F2,Table4[#All],16,FALSE),VLOOKUP(F2,Table1[#All],14,FALSE)="BR",VLOOKUP(F2,Table4[#All],22,FALSE))</f>
        <v>0.34499999999999997</v>
      </c>
      <c r="Q18" s="16" cm="1">
        <f t="array" ref="Q18">_xlfn.IFS(VLOOKUP(F2,Table1[#All],14,FALSE)="NAIA Presto",VLOOKUP(F2,Table4[#All],17,FALSE),VLOOKUP(F2,Table1[#All],14,FALSE)="BR",VLOOKUP(F2,Table4[#All],23,FALSE))</f>
        <v>0.49</v>
      </c>
      <c r="R18" s="16" cm="1">
        <f t="array" ref="R18">_xlfn.IFS(VLOOKUP(F2,Table1[#All],14,FALSE)="NAIA Presto",VLOOKUP(F2,Table4[#All],18,FALSE),VLOOKUP(F2,Table1[#All],14,FALSE)="BR",VLOOKUP(F2,Table4[#All],24,FALSE))</f>
        <v>0.66200000000000003</v>
      </c>
      <c r="S18" s="16" cm="1">
        <f t="array" ref="S18">_xlfn.IFS(VLOOKUP(F2,Table1[#All],14,FALSE)="NAIA Presto",Q18+R18,VLOOKUP(F2,Table1[#All],14,FALSE)="BR",VLOOKUP(F2,Table4[#All],25,FALSE))</f>
        <v>1.1520000000000001</v>
      </c>
    </row>
    <row r="20" spans="2:19" x14ac:dyDescent="0.25">
      <c r="B20" s="44" t="s">
        <v>470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175</v>
      </c>
      <c r="F21" s="13" t="s">
        <v>156</v>
      </c>
      <c r="G21" s="13" t="s">
        <v>155</v>
      </c>
      <c r="H21" s="13" t="s">
        <v>176</v>
      </c>
      <c r="I21" s="13" t="s">
        <v>177</v>
      </c>
      <c r="J21" s="13" t="s">
        <v>158</v>
      </c>
      <c r="K21" s="13" t="s">
        <v>178</v>
      </c>
      <c r="L21" s="13" t="s">
        <v>179</v>
      </c>
      <c r="M21" s="13" t="s">
        <v>180</v>
      </c>
      <c r="N21" s="13" t="s">
        <v>159</v>
      </c>
      <c r="O21" s="13" t="s">
        <v>161</v>
      </c>
      <c r="P21" s="13" t="s">
        <v>181</v>
      </c>
      <c r="Q21" s="13" t="s">
        <v>182</v>
      </c>
      <c r="R21" s="13" t="s">
        <v>183</v>
      </c>
      <c r="S21" s="13" t="s">
        <v>184</v>
      </c>
    </row>
    <row r="22" spans="2:19" x14ac:dyDescent="0.25">
      <c r="B22" s="13">
        <f>VLOOKUP(F2,Table5[#All],2,FALSE)</f>
        <v>2021</v>
      </c>
      <c r="C22" s="20" t="str">
        <f>VLOOKUP(F2,Table5[#All],5,FALSE)</f>
        <v>Asheboro Copperheads</v>
      </c>
      <c r="D22" s="13">
        <f>VLOOKUP(F2,Table5[#All],9,FALSE)</f>
        <v>4</v>
      </c>
      <c r="E22" s="13">
        <f>VLOOKUP(F2,Table5[#All],11,FALSE)</f>
        <v>12</v>
      </c>
      <c r="F22" s="13">
        <f>VLOOKUP(F2,Table5[#All],12,FALSE)</f>
        <v>0</v>
      </c>
      <c r="G22" s="13">
        <f>VLOOKUP(F2,Table5[#All],13,FALSE)</f>
        <v>2</v>
      </c>
      <c r="H22" s="13">
        <f>VLOOKUP(F2,Table5[#All],14,FALSE)</f>
        <v>0</v>
      </c>
      <c r="I22" s="13">
        <f>VLOOKUP(F2,Table5[#All],15,FALSE)</f>
        <v>0</v>
      </c>
      <c r="J22" s="13">
        <f>VLOOKUP(F2,Table5[#All],16,FALSE)</f>
        <v>0</v>
      </c>
      <c r="K22" s="13">
        <f>VLOOKUP(F2,Table5[#All],17,FALSE)</f>
        <v>0</v>
      </c>
      <c r="L22" s="13">
        <f>VLOOKUP(F2,Table5[#All],18,FALSE)</f>
        <v>0</v>
      </c>
      <c r="M22" s="13">
        <f>VLOOKUP(F2,Table5[#All],19,FALSE)</f>
        <v>0</v>
      </c>
      <c r="N22" s="13">
        <f>VLOOKUP(F2,Table5[#All],20,FALSE)</f>
        <v>1</v>
      </c>
      <c r="O22" s="13">
        <f>VLOOKUP(F2,Table5[#All],21,FALSE)</f>
        <v>5</v>
      </c>
      <c r="P22" s="16">
        <f>VLOOKUP(F2,Table5[#All],22,FALSE)</f>
        <v>0.16700000000000001</v>
      </c>
      <c r="Q22" s="16">
        <f>VLOOKUP(F2,Table5[#All],23,FALSE)</f>
        <v>0.23100000000000001</v>
      </c>
      <c r="R22" s="16">
        <f>VLOOKUP(F2,Table5[#All],24,FALSE)</f>
        <v>0.16700000000000001</v>
      </c>
      <c r="S22" s="16">
        <f>VLOOKUP(F2,Table5[#All],25,FALSE)</f>
        <v>0.39800000000000002</v>
      </c>
    </row>
  </sheetData>
  <mergeCells count="7">
    <mergeCell ref="B16:S16"/>
    <mergeCell ref="B20:S20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B447E-95F1-46CA-B70E-B7433ACB5142}">
  <dimension ref="B2:S18"/>
  <sheetViews>
    <sheetView workbookViewId="0">
      <selection activeCell="I7" sqref="I7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333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3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Outfielder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6'3"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182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May 14, 2000 (Junior)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Miami, FL</v>
      </c>
      <c r="G11" s="22"/>
      <c r="H11" s="22"/>
      <c r="I11" s="22"/>
      <c r="J11" s="22"/>
      <c r="K11" s="22"/>
      <c r="L11" s="22"/>
      <c r="M11" s="22"/>
      <c r="P11" s="49"/>
      <c r="Q11" s="49"/>
      <c r="R11" s="49"/>
      <c r="S11" s="49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49"/>
      <c r="Q12" s="49"/>
      <c r="R12" s="49"/>
      <c r="S12" s="49"/>
    </row>
    <row r="13" spans="2:19" x14ac:dyDescent="0.25">
      <c r="B13" s="49"/>
      <c r="C13" s="49"/>
      <c r="D13" s="49"/>
      <c r="F13" s="43" t="str">
        <f>"School: " &amp; VLOOKUP(F2,Table1[#All],9,FALSE)</f>
        <v>School: Middle Georgia State</v>
      </c>
      <c r="G13" s="43"/>
      <c r="H13" s="43"/>
      <c r="I13" s="43"/>
      <c r="J13" s="43"/>
      <c r="K13" s="43"/>
      <c r="L13" s="43"/>
      <c r="M13" s="43"/>
      <c r="N13" s="43"/>
      <c r="O13" s="43"/>
      <c r="P13" s="49"/>
      <c r="Q13" s="49"/>
      <c r="R13" s="49"/>
      <c r="S13" s="49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9"/>
      <c r="Q14" s="49"/>
      <c r="R14" s="49"/>
      <c r="S14" s="49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20" t="str">
        <f>VLOOKUP(F2,Table1[#All],9,FALSE)</f>
        <v>Middle Georgia State</v>
      </c>
      <c r="D18" s="13" cm="1">
        <f t="array" ref="D18">_xlfn.IFS(VLOOKUP(F2,Table1[#All],14,FALSE)="NAIA Presto",VLOOKUP(F2,Table4[#All],4,FALSE),VLOOKUP(F2,Table1[#All],14,FALSE)="BR",VLOOKUP(F2,Table4[#All],9,FALSE))</f>
        <v>51</v>
      </c>
      <c r="E18" s="13" cm="1">
        <f t="array" ref="E18">_xlfn.IFS(VLOOKUP(F2,Table1[#All],14,FALSE)="NAIA Presto",VLOOKUP(F2,Table4[#All],5,FALSE),VLOOKUP(F2,Table1[#All],14,FALSE)="BR",VLOOKUP(F2,Table4[#All],11,FALSE))</f>
        <v>196</v>
      </c>
      <c r="F18" s="13" cm="1">
        <f t="array" ref="F18">_xlfn.IFS(VLOOKUP(F2,Table1[#All],14,FALSE)="NAIA Presto",VLOOKUP(F2,Table4[#All],6,FALSE),VLOOKUP(F2,Table1[#All],14,FALSE)="BR",VLOOKUP(F2,Table4[#All],12,FALSE))</f>
        <v>53</v>
      </c>
      <c r="G18" s="13" cm="1">
        <f t="array" ref="G18">_xlfn.IFS(VLOOKUP(F2,Table1[#All],14,FALSE)="NAIA Presto",VLOOKUP(F2,Table4[#All],7,FALSE),VLOOKUP(F2,Table1[#All],14,FALSE)="BR",VLOOKUP(F2,Table4[#All],13,FALSE))</f>
        <v>61</v>
      </c>
      <c r="H18" s="13" cm="1">
        <f t="array" ref="H18">_xlfn.IFS(VLOOKUP(F2,Table1[#All],14,FALSE)="NAIA Presto",VLOOKUP(F2,Table4[#All],8,FALSE),VLOOKUP(F2,Table1[#All],14,FALSE)="BR",VLOOKUP(F2,Table4[#All],14,FALSE))</f>
        <v>10</v>
      </c>
      <c r="I18" s="13" cm="1">
        <f t="array" ref="I18">_xlfn.IFS(VLOOKUP(F2,Table1[#All],14,FALSE)="NAIA Presto",VLOOKUP(F2,Table4[#All],9,FALSE),VLOOKUP(F2,Table1[#All],14,FALSE)="BR",VLOOKUP(F2,Table4[#All],15,FALSE))</f>
        <v>1</v>
      </c>
      <c r="J18" s="13" cm="1">
        <f t="array" ref="J18">_xlfn.IFS(VLOOKUP(F2,Table1[#All],14,FALSE)="NAIA Presto",VLOOKUP(F2,Table4[#All],10,FALSE),VLOOKUP(F2,Table1[#All],14,FALSE)="BR",VLOOKUP(F2,Table4[#All],16,FALSE))</f>
        <v>7</v>
      </c>
      <c r="K18" s="13" cm="1">
        <f t="array" ref="K18">_xlfn.IFS(VLOOKUP(F2,Table1[#All],14,FALSE)="NAIA Presto",VLOOKUP(F2,Table4[#All],11,FALSE),VLOOKUP(F2,Table1[#All],14,FALSE)="BR",VLOOKUP(F2,Table4[#All],17,FALSE))</f>
        <v>35</v>
      </c>
      <c r="L18" s="13" cm="1">
        <f t="array" ref="L18">_xlfn.IFS(VLOOKUP(F2,Table1[#All],14,FALSE)="NAIA Presto",VLOOKUP(F2,Table4[#All],14,FALSE),VLOOKUP(F2,Table1[#All],14,FALSE)="BR",VLOOKUP(F2,Table4[#All],18,FALSE))</f>
        <v>26</v>
      </c>
      <c r="M18" s="13" cm="1">
        <f t="array" ref="M18">_xlfn.IFS(VLOOKUP(F2,Table1[#All],14,FALSE)="NAIA Presto",VLOOKUP(F2,Table4[#All],15,FALSE),VLOOKUP(F2,Table1[#All],14,FALSE)="BR",VLOOKUP(F2,Table4[#All],19,FALSE))</f>
        <v>1</v>
      </c>
      <c r="N18" s="13" cm="1">
        <f t="array" ref="N18">_xlfn.IFS(VLOOKUP(F2,Table1[#All],14,FALSE)="NAIA Presto",VLOOKUP(F2,Table4[#All],12,FALSE),VLOOKUP(F2,Table1[#All],14,FALSE)="BR",VLOOKUP(F2,Table4[#All],20,FALSE))</f>
        <v>12</v>
      </c>
      <c r="O18" s="13" cm="1">
        <f t="array" ref="O18">_xlfn.IFS(VLOOKUP(F2,Table1[#All],14,FALSE)="NAIA Presto",VLOOKUP(F2,Table4[#All],13,FALSE),VLOOKUP(F2,Table1[#All],14,FALSE)="BR",VLOOKUP(F2,Table4[#All],21,FALSE))</f>
        <v>45</v>
      </c>
      <c r="P18" s="16" cm="1">
        <f t="array" ref="P18">_xlfn.IFS(VLOOKUP(F2,Table1[#All],14,FALSE)="NAIA Presto",VLOOKUP(F2,Table4[#All],16,FALSE),VLOOKUP(F2,Table1[#All],14,FALSE)="BR",VLOOKUP(F2,Table4[#All],22,FALSE))</f>
        <v>0.311</v>
      </c>
      <c r="Q18" s="16" cm="1">
        <f t="array" ref="Q18">_xlfn.IFS(VLOOKUP(F2,Table1[#All],14,FALSE)="NAIA Presto",VLOOKUP(F2,Table4[#All],17,FALSE),VLOOKUP(F2,Table1[#All],14,FALSE)="BR",VLOOKUP(F2,Table4[#All],23,FALSE))</f>
        <v>0.378</v>
      </c>
      <c r="R18" s="16" cm="1">
        <f t="array" ref="R18">_xlfn.IFS(VLOOKUP(F2,Table1[#All],14,FALSE)="NAIA Presto",VLOOKUP(F2,Table4[#All],18,FALSE),VLOOKUP(F2,Table1[#All],14,FALSE)="BR",VLOOKUP(F2,Table4[#All],24,FALSE))</f>
        <v>0.48</v>
      </c>
      <c r="S18" s="16" cm="1">
        <f t="array" ref="S18">_xlfn.IFS(VLOOKUP(F2,Table1[#All],14,FALSE)="NAIA Presto",Q18+R18,VLOOKUP(F2,Table1[#All],14,FALSE)="BR",VLOOKUP(F2,Table4[#All],25,FALSE))</f>
        <v>0.85799999999999998</v>
      </c>
    </row>
  </sheetData>
  <mergeCells count="7">
    <mergeCell ref="P11:S14"/>
    <mergeCell ref="B16:S16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BBADD-38E6-4829-8280-80506FAD378F}">
  <dimension ref="B2:S22"/>
  <sheetViews>
    <sheetView showGridLines="0" workbookViewId="0">
      <selection activeCell="K5" sqref="K5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120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21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Infielder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6'0"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258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October 29, 2001 (Sophomore)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Grand Forks, ND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Concordia-Nebraska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Concordia-Nebraska</v>
      </c>
      <c r="D18" s="13" cm="1">
        <f t="array" ref="D18">_xlfn.IFS(VLOOKUP(F2,Table1[#All],14,FALSE)="NAIA Presto",VLOOKUP(F2,Table4[#All],4,FALSE),VLOOKUP(F2,Table1[#All],14,FALSE)="BR",VLOOKUP(F2,Table4[#All],9,FALSE))</f>
        <v>58</v>
      </c>
      <c r="E18" s="13" cm="1">
        <f t="array" ref="E18">_xlfn.IFS(VLOOKUP(F2,Table1[#All],14,FALSE)="NAIA Presto",VLOOKUP(F2,Table4[#All],5,FALSE),VLOOKUP(F2,Table1[#All],14,FALSE)="BR",VLOOKUP(F2,Table4[#All],11,FALSE))</f>
        <v>202</v>
      </c>
      <c r="F18" s="13" cm="1">
        <f t="array" ref="F18">_xlfn.IFS(VLOOKUP(F2,Table1[#All],14,FALSE)="NAIA Presto",VLOOKUP(F2,Table4[#All],6,FALSE),VLOOKUP(F2,Table1[#All],14,FALSE)="BR",VLOOKUP(F2,Table4[#All],12,FALSE))</f>
        <v>54</v>
      </c>
      <c r="G18" s="13" cm="1">
        <f t="array" ref="G18">_xlfn.IFS(VLOOKUP(F2,Table1[#All],14,FALSE)="NAIA Presto",VLOOKUP(F2,Table4[#All],7,FALSE),VLOOKUP(F2,Table1[#All],14,FALSE)="BR",VLOOKUP(F2,Table4[#All],13,FALSE))</f>
        <v>80</v>
      </c>
      <c r="H18" s="13" cm="1">
        <f t="array" ref="H18">_xlfn.IFS(VLOOKUP(F2,Table1[#All],14,FALSE)="NAIA Presto",VLOOKUP(F2,Table4[#All],8,FALSE),VLOOKUP(F2,Table1[#All],14,FALSE)="BR",VLOOKUP(F2,Table4[#All],14,FALSE))</f>
        <v>14</v>
      </c>
      <c r="I18" s="13" cm="1">
        <f t="array" ref="I18">_xlfn.IFS(VLOOKUP(F2,Table1[#All],14,FALSE)="NAIA Presto",VLOOKUP(F2,Table4[#All],9,FALSE),VLOOKUP(F2,Table1[#All],14,FALSE)="BR",VLOOKUP(F2,Table4[#All],15,FALSE))</f>
        <v>0</v>
      </c>
      <c r="J18" s="13" cm="1">
        <f t="array" ref="J18">_xlfn.IFS(VLOOKUP(F2,Table1[#All],14,FALSE)="NAIA Presto",VLOOKUP(F2,Table4[#All],10,FALSE),VLOOKUP(F2,Table1[#All],14,FALSE)="BR",VLOOKUP(F2,Table4[#All],16,FALSE))</f>
        <v>18</v>
      </c>
      <c r="K18" s="13" cm="1">
        <f t="array" ref="K18">_xlfn.IFS(VLOOKUP(F2,Table1[#All],14,FALSE)="NAIA Presto",VLOOKUP(F2,Table4[#All],11,FALSE),VLOOKUP(F2,Table1[#All],14,FALSE)="BR",VLOOKUP(F2,Table4[#All],17,FALSE))</f>
        <v>66</v>
      </c>
      <c r="L18" s="13" cm="1">
        <f t="array" ref="L18">_xlfn.IFS(VLOOKUP(F2,Table1[#All],14,FALSE)="NAIA Presto",VLOOKUP(F2,Table4[#All],14,FALSE),VLOOKUP(F2,Table1[#All],14,FALSE)="BR",VLOOKUP(F2,Table4[#All],18,FALSE))</f>
        <v>2</v>
      </c>
      <c r="M18" s="13" cm="1">
        <f t="array" ref="M18">_xlfn.IFS(VLOOKUP(F2,Table1[#All],14,FALSE)="NAIA Presto",VLOOKUP(F2,Table4[#All],15,FALSE),VLOOKUP(F2,Table1[#All],14,FALSE)="BR",VLOOKUP(F2,Table4[#All],19,FALSE))</f>
        <v>0</v>
      </c>
      <c r="N18" s="13" cm="1">
        <f t="array" ref="N18">_xlfn.IFS(VLOOKUP(F2,Table1[#All],14,FALSE)="NAIA Presto",VLOOKUP(F2,Table4[#All],12,FALSE),VLOOKUP(F2,Table1[#All],14,FALSE)="BR",VLOOKUP(F2,Table4[#All],20,FALSE))</f>
        <v>34</v>
      </c>
      <c r="O18" s="13" cm="1">
        <f t="array" ref="O18">_xlfn.IFS(VLOOKUP(F2,Table1[#All],14,FALSE)="NAIA Presto",VLOOKUP(F2,Table4[#All],13,FALSE),VLOOKUP(F2,Table1[#All],14,FALSE)="BR",VLOOKUP(F2,Table4[#All],21,FALSE))</f>
        <v>42</v>
      </c>
      <c r="P18" s="16" cm="1">
        <f t="array" ref="P18">_xlfn.IFS(VLOOKUP(F2,Table1[#All],14,FALSE)="NAIA Presto",VLOOKUP(F2,Table4[#All],16,FALSE),VLOOKUP(F2,Table1[#All],14,FALSE)="BR",VLOOKUP(F2,Table4[#All],22,FALSE))</f>
        <v>0.39600000000000002</v>
      </c>
      <c r="Q18" s="16" cm="1">
        <f t="array" ref="Q18">_xlfn.IFS(VLOOKUP(F2,Table1[#All],14,FALSE)="NAIA Presto",VLOOKUP(F2,Table4[#All],17,FALSE),VLOOKUP(F2,Table1[#All],14,FALSE)="BR",VLOOKUP(F2,Table4[#All],23,FALSE))</f>
        <v>0.48</v>
      </c>
      <c r="R18" s="16" cm="1">
        <f t="array" ref="R18">_xlfn.IFS(VLOOKUP(F2,Table1[#All],14,FALSE)="NAIA Presto",VLOOKUP(F2,Table4[#All],18,FALSE),VLOOKUP(F2,Table1[#All],14,FALSE)="BR",VLOOKUP(F2,Table4[#All],24,FALSE))</f>
        <v>0.73299999999999998</v>
      </c>
      <c r="S18" s="16" cm="1">
        <f t="array" ref="S18">_xlfn.IFS(VLOOKUP(F2,Table1[#All],14,FALSE)="NAIA Presto",Q18+R18,VLOOKUP(F2,Table1[#All],14,FALSE)="BR",VLOOKUP(F2,Table4[#All],25,FALSE))</f>
        <v>1.2130000000000001</v>
      </c>
    </row>
    <row r="20" spans="2:19" x14ac:dyDescent="0.25">
      <c r="B20" s="44" t="s">
        <v>320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175</v>
      </c>
      <c r="F21" s="13" t="s">
        <v>156</v>
      </c>
      <c r="G21" s="13" t="s">
        <v>155</v>
      </c>
      <c r="H21" s="13" t="s">
        <v>176</v>
      </c>
      <c r="I21" s="13" t="s">
        <v>177</v>
      </c>
      <c r="J21" s="13" t="s">
        <v>158</v>
      </c>
      <c r="K21" s="13" t="s">
        <v>178</v>
      </c>
      <c r="L21" s="13" t="s">
        <v>179</v>
      </c>
      <c r="M21" s="13" t="s">
        <v>180</v>
      </c>
      <c r="N21" s="13" t="s">
        <v>159</v>
      </c>
      <c r="O21" s="13" t="s">
        <v>161</v>
      </c>
      <c r="P21" s="13" t="s">
        <v>181</v>
      </c>
      <c r="Q21" s="13" t="s">
        <v>182</v>
      </c>
      <c r="R21" s="13" t="s">
        <v>183</v>
      </c>
      <c r="S21" s="13" t="s">
        <v>184</v>
      </c>
    </row>
    <row r="22" spans="2:19" x14ac:dyDescent="0.25">
      <c r="B22" s="13">
        <f>VLOOKUP(F2,Table5[#All],2,FALSE)</f>
        <v>2021</v>
      </c>
      <c r="C22" s="20" t="str">
        <f>VLOOKUP(F2,Table5[#All],5,FALSE)</f>
        <v>Canyon County Spuds</v>
      </c>
      <c r="D22" s="13">
        <f>VLOOKUP(F2,Table5[#All],9,FALSE)</f>
        <v>48</v>
      </c>
      <c r="E22" s="13">
        <f>VLOOKUP(F2,Table5[#All],11,FALSE)</f>
        <v>171</v>
      </c>
      <c r="F22" s="13">
        <f>VLOOKUP(F2,Table5[#All],12,FALSE)</f>
        <v>40</v>
      </c>
      <c r="G22" s="13">
        <f>VLOOKUP(F2,Table5[#All],13,FALSE)</f>
        <v>48</v>
      </c>
      <c r="H22" s="13">
        <f>VLOOKUP(F2,Table5[#All],14,FALSE)</f>
        <v>12</v>
      </c>
      <c r="I22" s="13">
        <f>VLOOKUP(F2,Table5[#All],15,FALSE)</f>
        <v>1</v>
      </c>
      <c r="J22" s="13">
        <f>VLOOKUP(F2,Table5[#All],16,FALSE)</f>
        <v>9</v>
      </c>
      <c r="K22" s="13">
        <f>VLOOKUP(F2,Table5[#All],17,FALSE)</f>
        <v>47</v>
      </c>
      <c r="L22" s="13">
        <f>VLOOKUP(F2,Table5[#All],18,FALSE)</f>
        <v>3</v>
      </c>
      <c r="M22" s="13">
        <f>VLOOKUP(F2,Table5[#All],19,FALSE)</f>
        <v>2</v>
      </c>
      <c r="N22" s="13">
        <f>VLOOKUP(F2,Table5[#All],20,FALSE)</f>
        <v>32</v>
      </c>
      <c r="O22" s="13">
        <f>VLOOKUP(F2,Table5[#All],21,FALSE)</f>
        <v>50</v>
      </c>
      <c r="P22" s="16">
        <f>VLOOKUP(F2,Table5[#All],22,FALSE)</f>
        <v>0.28100000000000003</v>
      </c>
      <c r="Q22" s="16">
        <f>VLOOKUP(F2,Table5[#All],23,FALSE)</f>
        <v>0.40500000000000003</v>
      </c>
      <c r="R22" s="16">
        <f>VLOOKUP(F2,Table5[#All],24,FALSE)</f>
        <v>0.52100000000000002</v>
      </c>
      <c r="S22" s="16">
        <f>VLOOKUP(F2,Table5[#All],25,FALSE)</f>
        <v>0.92500000000000004</v>
      </c>
    </row>
  </sheetData>
  <mergeCells count="7">
    <mergeCell ref="B16:S16"/>
    <mergeCell ref="B20:S20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29241-0122-4976-A6E3-999736341D40}">
  <dimension ref="B2:S19"/>
  <sheetViews>
    <sheetView showGridLines="0" workbookViewId="0">
      <selection activeCell="P11" sqref="P11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483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25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28"/>
      <c r="H4" s="28"/>
      <c r="I4" s="28"/>
      <c r="J4" s="28"/>
      <c r="K4" s="28"/>
      <c r="L4" s="28"/>
      <c r="M4" s="28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Left-Handed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Left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9"/>
      <c r="C8" s="49"/>
      <c r="D8" s="49"/>
      <c r="F8" s="28" t="str">
        <f>"Height: " &amp; VLOOKUP(F2,Table1[#All],6,FALSE)</f>
        <v>Height: 6'3"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9"/>
      <c r="C9" s="49"/>
      <c r="D9" s="49"/>
      <c r="F9" s="28" t="str">
        <f>"Weight: " &amp; VLOOKUP(F2,Table1[#All],7,FALSE)</f>
        <v>Weight: 175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March 19, 2000 (Junior)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Irvine, CA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Vanguard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34"/>
    </row>
    <row r="18" spans="2:19" x14ac:dyDescent="0.25">
      <c r="B18" s="13">
        <v>2022</v>
      </c>
      <c r="C18" s="13" t="str">
        <f>VLOOKUP(F2,Table1[#All],9,FALSE)</f>
        <v>Vanguard</v>
      </c>
      <c r="D18" s="14" cm="1">
        <f t="array" ref="D18">_xlfn.IFS(VLOOKUP(F2,Table1[#All],14,FALSE)="NAIA Presto", VLOOKUP(F2,Table2[#All],4,FALSE),VLOOKUP(F2,Table1[#All],14,FALSE)="BR",VLOOKUP(F2,Table2[#All],14,FALSE))</f>
        <v>15</v>
      </c>
      <c r="E18" s="14" cm="1">
        <f t="array" ref="E18">_xlfn.IFS(VLOOKUP(F2,Table1[#All],14,FALSE)="NAIA Presto", VLOOKUP(F2,Table2[#All],5,FALSE),VLOOKUP(F2,Table1[#All],14,FALSE)="BR", VLOOKUP(F2,Table2[#All],15,FALSE))</f>
        <v>13</v>
      </c>
      <c r="F18" s="14" cm="1">
        <f t="array" ref="F18">_xlfn.IFS(VLOOKUP(F2,Table1[#All],14,FALSE)="NAIA Presto", VLOOKUP(F2,Table2[#All],6,FALSE),VLOOKUP(F2,Table1[#All],14,FALSE)="BR", VLOOKUP(F2,Table2[#All],9,FALSE))</f>
        <v>10</v>
      </c>
      <c r="G18" s="14" cm="1">
        <f t="array" ref="G18">_xlfn.IFS(VLOOKUP(F2,Table1[#All],14,FALSE)="NAIA Presto", VLOOKUP(F2,Table2[#All],7,FALSE),VLOOKUP(F2,Table1[#All],14,FALSE)="BR", VLOOKUP(F2,Table2[#All],10,FALSE))</f>
        <v>3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14" cm="1">
        <f t="array" ref="I18">_xlfn.IFS(VLOOKUP(F2,Table1[#All],14,FALSE)="NAIA Presto", VLOOKUP(F2,Table2[#All],10,FALSE),VLOOKUP(F2,Table1[#All],14,FALSE)="BR", VLOOKUP(F2,Table2[#All],20,FALSE))</f>
        <v>82.1</v>
      </c>
      <c r="J18" s="14" cm="1">
        <f t="array" ref="J18">_xlfn.IFS(VLOOKUP(F2,Table1[#All],14,FALSE)="NAIA Presto", VLOOKUP(F2,Table2[#All],11,FALSE),VLOOKUP(F2,Table1[#All],14,FALSE)="BR", VLOOKUP(F2,Table2[#All],21,FALSE))</f>
        <v>64</v>
      </c>
      <c r="K18" s="14" cm="1">
        <f t="array" ref="K18">_xlfn.IFS(VLOOKUP(F2,Table1[#All],14,FALSE)="NAIA Presto", VLOOKUP(F2,Table2[#All],12,FALSE),VLOOKUP(F2,Table1[#All],14,FALSE)="BR", VLOOKUP(F2,Table2[#All],22,FALSE))</f>
        <v>44</v>
      </c>
      <c r="L18" s="14" cm="1">
        <f t="array" ref="L18">_xlfn.IFS(VLOOKUP(F2,Table1[#All],14,FALSE)="NAIA Presto", VLOOKUP(F2,Table2[#All],13,FALSE),VLOOKUP(F2,Table1[#All],14,FALSE)="BR", VLOOKUP(F2,Table2[#All],23,FALSE))</f>
        <v>30</v>
      </c>
      <c r="M18" s="14" cm="1">
        <f t="array" ref="M18">_xlfn.IFS(VLOOKUP(F2,Table1[#All],14,FALSE)="NAIA Presto", VLOOKUP(F2,Table2[#All],17,FALSE),VLOOKUP(F2,Table1[#All],14,FALSE)="BR", VLOOKUP(F2,Table2[#All],24,FALSE))</f>
        <v>5</v>
      </c>
      <c r="N18" s="14" cm="1">
        <f t="array" ref="N18">_xlfn.IFS(VLOOKUP(F2,Table1[#All],14,FALSE)="NAIA Presto", VLOOKUP(F2,Table2[#All],14,FALSE),VLOOKUP(F2,Table1[#All],14,FALSE)="BR", VLOOKUP(F2,Table2[#All],25,FALSE))</f>
        <v>32</v>
      </c>
      <c r="O18" s="14" cm="1">
        <f t="array" ref="O18">_xlfn.IFS(VLOOKUP(F2,Table1[#All],14,FALSE)="NAIA Presto", VLOOKUP(F2,Table2[#All],15,FALSE),VLOOKUP(F2,Table1[#All],14,FALSE)="BR", VLOOKUP(F2,Table2[#All],27,FALSE))</f>
        <v>108</v>
      </c>
      <c r="P18" s="14" cm="1">
        <f t="array" ref="P18">_xlfn.IFS(VLOOKUP(F2,Table1[#All],14,FALSE)="NAIA Presto", VLOOKUP(F2,Table2[#All],18,FALSE),VLOOKUP(F2,Table1[#All],14,FALSE)="BR", VLOOKUP(F2,Table2[#All],12,FALSE))</f>
        <v>3.28</v>
      </c>
      <c r="Q18" s="19" cm="1">
        <f t="array" ref="Q18">_xlfn.IFS(VLOOKUP(F2,Table1[#All],14,FALSE)="NAIA Presto", "",VLOOKUP(F2,Table1[#All],14,FALSE)="BR", VLOOKUP(F2,Table2[#All],32,FALSE))</f>
        <v>1.1659999999999999</v>
      </c>
      <c r="R18" s="19" cm="1">
        <f t="array" ref="R18">_xlfn.IFS(VLOOKUP(F2,Table1[#All],14,FALSE)="NAIA Presto", VLOOKUP(F2,Table2[#All],16,FALSE),VLOOKUP(F2,Table1[#All],14,FALSE)="BR", VLOOKUP(F2,Table2[#All],36,FALSE))</f>
        <v>11.8</v>
      </c>
      <c r="S18" s="34"/>
    </row>
    <row r="19" spans="2:19" x14ac:dyDescent="0.25">
      <c r="B19" s="34"/>
      <c r="C19" s="34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34"/>
    </row>
  </sheetData>
  <mergeCells count="5">
    <mergeCell ref="B16:S16"/>
    <mergeCell ref="B2:D14"/>
    <mergeCell ref="F2:M3"/>
    <mergeCell ref="N2:O3"/>
    <mergeCell ref="F13:O14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EF102-4910-4B0A-BB8C-FCCDC437CE34}">
  <dimension ref="B1:S18"/>
  <sheetViews>
    <sheetView workbookViewId="0">
      <selection activeCell="E13" sqref="E13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97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99</v>
      </c>
      <c r="O2" s="55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str">
        <f>"Position: " &amp; VLOOKUP(F2,Table1[#All],3,FALSE)</f>
        <v>Position: Left-Handed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Left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8"/>
      <c r="C8" s="49"/>
      <c r="D8" s="50"/>
      <c r="F8" s="9" t="str">
        <f>"Height: " &amp; VLOOKUP(F2,Table1[#All],6,FALSE)</f>
        <v>Height: 6'4"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8"/>
      <c r="C9" s="49"/>
      <c r="D9" s="50"/>
      <c r="F9" s="9" t="str">
        <f>"Weight: " &amp; VLOOKUP(F2,Table1[#All],7,FALSE)</f>
        <v>Weight: 210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July 24, 2001 (R-Freshman)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Long Beach, CA</v>
      </c>
      <c r="G11" s="22"/>
      <c r="H11" s="22"/>
      <c r="I11" s="22"/>
      <c r="J11" s="22"/>
      <c r="K11" s="22"/>
      <c r="L11" s="22"/>
      <c r="M11" s="22"/>
      <c r="P11" s="49"/>
      <c r="Q11" s="49"/>
      <c r="R11" s="49"/>
      <c r="S11" s="49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49"/>
      <c r="Q12" s="49"/>
      <c r="R12" s="49"/>
      <c r="S12" s="49"/>
    </row>
    <row r="13" spans="2:19" x14ac:dyDescent="0.25">
      <c r="B13" s="48"/>
      <c r="C13" s="49"/>
      <c r="D13" s="50"/>
      <c r="F13" s="43" t="str">
        <f>"School: " &amp; VLOOKUP(F2,Table1[#All],9,FALSE)</f>
        <v>School: Middle Georgia State</v>
      </c>
      <c r="G13" s="43"/>
      <c r="H13" s="43"/>
      <c r="I13" s="43"/>
      <c r="J13" s="43"/>
      <c r="K13" s="43"/>
      <c r="L13" s="43"/>
      <c r="M13" s="43"/>
      <c r="N13" s="43"/>
      <c r="O13" s="43"/>
      <c r="P13" s="49"/>
      <c r="Q13" s="49"/>
      <c r="R13" s="49"/>
      <c r="S13" s="49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9"/>
      <c r="Q14" s="49"/>
      <c r="R14" s="49"/>
      <c r="S14" s="49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1"/>
    </row>
    <row r="18" spans="2:19" x14ac:dyDescent="0.25">
      <c r="B18" s="13">
        <v>2022</v>
      </c>
      <c r="C18" s="13" t="s">
        <v>242</v>
      </c>
      <c r="D18" s="14" cm="1">
        <f t="array" ref="D18">_xlfn.IFS(VLOOKUP(F2,Table1[#All],14,FALSE)="NAIA Presto", VLOOKUP(F2,Table2[#All],4,FALSE))</f>
        <v>11</v>
      </c>
      <c r="E18" s="14" cm="1">
        <f t="array" ref="E18">_xlfn.IFS(VLOOKUP(F2,Table1[#All],14,FALSE)="NAIA Presto", VLOOKUP(F2,Table2[#All],5,FALSE))</f>
        <v>7</v>
      </c>
      <c r="F18" s="14" cm="1">
        <f t="array" ref="F18">_xlfn.IFS(VLOOKUP(F2,Table1[#All],14,FALSE)="NAIA Presto", VLOOKUP(F2,Table2[#All],6,FALSE))</f>
        <v>4</v>
      </c>
      <c r="G18" s="14" cm="1">
        <f t="array" ref="G18">_xlfn.IFS(VLOOKUP(F2,Table1[#All],14,FALSE)="NAIA Presto", VLOOKUP(F2,Table2[#All],7,FALSE))</f>
        <v>1</v>
      </c>
      <c r="H18" s="14" cm="1">
        <f t="array" ref="H18">_xlfn.IFS(VLOOKUP(F2,Table1[#All],14,FALSE)="NAIA Presto", VLOOKUP(F2,Table2[#All],8,FALSE))</f>
        <v>0</v>
      </c>
      <c r="I18" s="14" cm="1">
        <f t="array" ref="I18">_xlfn.IFS(VLOOKUP(F2,Table1[#All],14,FALSE)="NAIA Presto", VLOOKUP(F2,Table2[#All],10,FALSE))</f>
        <v>44</v>
      </c>
      <c r="J18" s="14" cm="1">
        <f t="array" ref="J18">_xlfn.IFS(VLOOKUP(F2,Table1[#All],14,FALSE)="NAIA Presto", VLOOKUP(F2,Table2[#All],11,FALSE))</f>
        <v>58</v>
      </c>
      <c r="K18" s="14" cm="1">
        <f t="array" ref="K18">_xlfn.IFS(VLOOKUP(F2,Table1[#All],14,FALSE)="NAIA Presto", VLOOKUP(F2,Table2[#All],12,FALSE))</f>
        <v>31</v>
      </c>
      <c r="L18" s="14" cm="1">
        <f t="array" ref="L18">_xlfn.IFS(VLOOKUP(F2,Table1[#All],14,FALSE)="NAIA Presto", VLOOKUP(F2,Table2[#All],13,FALSE))</f>
        <v>29</v>
      </c>
      <c r="M18" s="14" cm="1">
        <f t="array" ref="M18">_xlfn.IFS(VLOOKUP(F2,Table1[#All],14,FALSE)="NAIA Presto", VLOOKUP(F2,Table2[#All],17,FALSE))</f>
        <v>2</v>
      </c>
      <c r="N18" s="14" cm="1">
        <f t="array" ref="N18">_xlfn.IFS(VLOOKUP(F2,Table1[#All],14,FALSE)="NAIA Presto", VLOOKUP(F2,Table2[#All],14,FALSE))</f>
        <v>16</v>
      </c>
      <c r="O18" s="14" cm="1">
        <f t="array" ref="O18">_xlfn.IFS(VLOOKUP(F2,Table1[#All],14,FALSE)="NAIA Presto", VLOOKUP(F2,Table2[#All],15,FALSE))</f>
        <v>35</v>
      </c>
      <c r="P18" s="14" cm="1">
        <f t="array" ref="P18">_xlfn.IFS(VLOOKUP(F2,Table1[#All],14,FALSE)="NAIA Presto", VLOOKUP(F2,Table2[#All],18,FALSE))</f>
        <v>5.93</v>
      </c>
      <c r="Q18" s="14">
        <v>1.68</v>
      </c>
      <c r="R18" s="14" cm="1">
        <f t="array" ref="R18">_xlfn.IFS(VLOOKUP(F2,Table1[#All],14,FALSE)="NAIA Presto", VLOOKUP(F2,Table2[#All],16,FALSE))</f>
        <v>7.16</v>
      </c>
      <c r="S18" s="1"/>
    </row>
  </sheetData>
  <mergeCells count="7">
    <mergeCell ref="P11:S14"/>
    <mergeCell ref="B16:S16"/>
    <mergeCell ref="B2:D14"/>
    <mergeCell ref="F2:M3"/>
    <mergeCell ref="N2:O3"/>
    <mergeCell ref="P2:S5"/>
    <mergeCell ref="F13:O14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1E4E6-5631-48A6-8786-B90B6CC0E628}">
  <dimension ref="B2:S22"/>
  <sheetViews>
    <sheetView showGridLines="0" workbookViewId="0">
      <selection activeCell="B2" sqref="B2:R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415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30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28"/>
      <c r="H4" s="28"/>
      <c r="I4" s="28"/>
      <c r="J4" s="28"/>
      <c r="K4" s="28"/>
      <c r="L4" s="28"/>
      <c r="M4" s="28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Both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9"/>
      <c r="C8" s="49"/>
      <c r="D8" s="49"/>
      <c r="F8" s="28" t="str">
        <f>"Height: " &amp; VLOOKUP(F2,Table1[#All],6,FALSE)</f>
        <v>Height: 6'2"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9"/>
      <c r="C9" s="49"/>
      <c r="D9" s="49"/>
      <c r="F9" s="28" t="str">
        <f>"Weight: " &amp; VLOOKUP(F2,Table1[#All],7,FALSE)</f>
        <v>Weight: 225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August 24, 2002 (Sophomore)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Washington, MI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Michigan State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31"/>
    </row>
    <row r="18" spans="2:19" x14ac:dyDescent="0.25">
      <c r="B18" s="13">
        <v>2022</v>
      </c>
      <c r="C18" s="13" t="str">
        <f>VLOOKUP(F2,Table1[#All],9,FALSE)</f>
        <v>Michigan State</v>
      </c>
      <c r="D18" s="14" cm="1">
        <f t="array" ref="D18">_xlfn.IFS(VLOOKUP(F2,Table1[#All],14,FALSE)="NAIA Presto", VLOOKUP(F2,Table2[#All],4,FALSE),VLOOKUP(F2,Table1[#All],14,FALSE)="BR",VLOOKUP(F2,Table2[#All],14,FALSE))</f>
        <v>9</v>
      </c>
      <c r="E18" s="14" cm="1">
        <f t="array" ref="E18">_xlfn.IFS(VLOOKUP(F2,Table1[#All],14,FALSE)="NAIA Presto", VLOOKUP(F2,Table2[#All],5,FALSE),VLOOKUP(F2,Table1[#All],14,FALSE)="BR", VLOOKUP(F2,Table2[#All],15,FALSE))</f>
        <v>0</v>
      </c>
      <c r="F18" s="14" cm="1">
        <f t="array" ref="F18">_xlfn.IFS(VLOOKUP(F2,Table1[#All],14,FALSE)="NAIA Presto", VLOOKUP(F2,Table2[#All],6,FALSE),VLOOKUP(F2,Table1[#All],14,FALSE)="BR", VLOOKUP(F2,Table2[#All],9,FALSE))</f>
        <v>0</v>
      </c>
      <c r="G18" s="14" cm="1">
        <f t="array" ref="G18">_xlfn.IFS(VLOOKUP(F2,Table1[#All],14,FALSE)="NAIA Presto", VLOOKUP(F2,Table2[#All],7,FALSE),VLOOKUP(F2,Table1[#All],14,FALSE)="BR", VLOOKUP(F2,Table2[#All],10,FALSE))</f>
        <v>0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14" cm="1">
        <f t="array" ref="I18">_xlfn.IFS(VLOOKUP(F2,Table1[#All],14,FALSE)="NAIA Presto", VLOOKUP(F2,Table2[#All],10,FALSE),VLOOKUP(F2,Table1[#All],14,FALSE)="BR", VLOOKUP(F2,Table2[#All],20,FALSE))</f>
        <v>10.1</v>
      </c>
      <c r="J18" s="14" cm="1">
        <f t="array" ref="J18">_xlfn.IFS(VLOOKUP(F2,Table1[#All],14,FALSE)="NAIA Presto", VLOOKUP(F2,Table2[#All],11,FALSE),VLOOKUP(F2,Table1[#All],14,FALSE)="BR", VLOOKUP(F2,Table2[#All],21,FALSE))</f>
        <v>16</v>
      </c>
      <c r="K18" s="14" cm="1">
        <f t="array" ref="K18">_xlfn.IFS(VLOOKUP(F2,Table1[#All],14,FALSE)="NAIA Presto", VLOOKUP(F2,Table2[#All],12,FALSE),VLOOKUP(F2,Table1[#All],14,FALSE)="BR", VLOOKUP(F2,Table2[#All],22,FALSE))</f>
        <v>12</v>
      </c>
      <c r="L18" s="14" cm="1">
        <f t="array" ref="L18">_xlfn.IFS(VLOOKUP(F2,Table1[#All],14,FALSE)="NAIA Presto", VLOOKUP(F2,Table2[#All],13,FALSE),VLOOKUP(F2,Table1[#All],14,FALSE)="BR", VLOOKUP(F2,Table2[#All],23,FALSE))</f>
        <v>12</v>
      </c>
      <c r="M18" s="14" cm="1">
        <f t="array" ref="M18">_xlfn.IFS(VLOOKUP(F2,Table1[#All],14,FALSE)="NAIA Presto", VLOOKUP(F2,Table2[#All],17,FALSE),VLOOKUP(F2,Table1[#All],14,FALSE)="BR", VLOOKUP(F2,Table2[#All],24,FALSE))</f>
        <v>2</v>
      </c>
      <c r="N18" s="14" cm="1">
        <f t="array" ref="N18">_xlfn.IFS(VLOOKUP(F2,Table1[#All],14,FALSE)="NAIA Presto", VLOOKUP(F2,Table2[#All],14,FALSE),VLOOKUP(F2,Table1[#All],14,FALSE)="BR", VLOOKUP(F2,Table2[#All],25,FALSE))</f>
        <v>6</v>
      </c>
      <c r="O18" s="14" cm="1">
        <f t="array" ref="O18">_xlfn.IFS(VLOOKUP(F2,Table1[#All],14,FALSE)="NAIA Presto", VLOOKUP(F2,Table2[#All],15,FALSE),VLOOKUP(F2,Table1[#All],14,FALSE)="BR", VLOOKUP(F2,Table2[#All],27,FALSE))</f>
        <v>10</v>
      </c>
      <c r="P18" s="14" cm="1">
        <f t="array" ref="P18">_xlfn.IFS(VLOOKUP(F2,Table1[#All],14,FALSE)="NAIA Presto", VLOOKUP(F2,Table2[#All],18,FALSE),VLOOKUP(F2,Table1[#All],14,FALSE)="BR", VLOOKUP(F2,Table2[#All],12,FALSE))</f>
        <v>10.45</v>
      </c>
      <c r="Q18" s="19" cm="1">
        <f t="array" ref="Q18">_xlfn.IFS(VLOOKUP(F2,Table1[#All],14,FALSE)="NAIA Presto", "",VLOOKUP(F2,Table1[#All],14,FALSE)="BR", VLOOKUP(F2,Table2[#All],32,FALSE))</f>
        <v>2.129</v>
      </c>
      <c r="R18" s="19" cm="1">
        <f t="array" ref="R18">_xlfn.IFS(VLOOKUP(F2,Table1[#All],14,FALSE)="NAIA Presto", VLOOKUP(F2,Table2[#All],16,FALSE),VLOOKUP(F2,Table1[#All],14,FALSE)="BR", VLOOKUP(F2,Table2[#All],36,FALSE))</f>
        <v>8.6999999999999993</v>
      </c>
      <c r="S18" s="31"/>
    </row>
    <row r="19" spans="2:19" x14ac:dyDescent="0.25">
      <c r="B19" s="31"/>
      <c r="C19" s="31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31"/>
    </row>
    <row r="20" spans="2:19" x14ac:dyDescent="0.25">
      <c r="B20" s="44" t="s">
        <v>466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149</v>
      </c>
      <c r="F21" s="13" t="s">
        <v>143</v>
      </c>
      <c r="G21" s="13" t="s">
        <v>144</v>
      </c>
      <c r="H21" s="13" t="s">
        <v>153</v>
      </c>
      <c r="I21" s="13" t="s">
        <v>154</v>
      </c>
      <c r="J21" s="13" t="s">
        <v>155</v>
      </c>
      <c r="K21" s="13" t="s">
        <v>156</v>
      </c>
      <c r="L21" s="13" t="s">
        <v>157</v>
      </c>
      <c r="M21" s="13" t="s">
        <v>158</v>
      </c>
      <c r="N21" s="13" t="s">
        <v>159</v>
      </c>
      <c r="O21" s="13" t="s">
        <v>161</v>
      </c>
      <c r="P21" s="13" t="s">
        <v>146</v>
      </c>
      <c r="Q21" s="13" t="s">
        <v>166</v>
      </c>
      <c r="R21" s="13" t="s">
        <v>185</v>
      </c>
      <c r="S21" s="31"/>
    </row>
    <row r="22" spans="2:19" x14ac:dyDescent="0.25">
      <c r="B22" s="13">
        <f>VLOOKUP(F2,Table3[#All],2,FALSE)</f>
        <v>2021</v>
      </c>
      <c r="C22" s="13" t="str" cm="1">
        <f t="array" ref="C22">_xlfn.IFS(VLOOKUP(F2,Table1[#All],15,FALSE)="BR",VLOOKUP(F2,Table3[#All],5,FALSE),VLOOKUP(F2,Table1[#All],15,FALSE)="Pointstreak",VLOOKUP(F2,Table3[#All],3,FALSE))</f>
        <v>Kenosha Kingfish</v>
      </c>
      <c r="D22" s="13" cm="1">
        <f t="array" ref="D22">_xlfn.IFS(VLOOKUP(F2,Table1[#All],15,FALSE)="BR",VLOOKUP(F2,Table3[#All],14,FALSE),VLOOKUP(F2,Table1[#All],15,FALSE)="Pointstreak",VLOOKUP(F2,Table3[#All],7,FALSE))</f>
        <v>11</v>
      </c>
      <c r="E22" s="13" cm="1">
        <f t="array" ref="E22">_xlfn.IFS(VLOOKUP(F2,Table1[#All],15,FALSE)="BR",VLOOKUP(F2,Table3[#All],15,FALSE),VLOOKUP(F2,Table1[#All],15,FALSE)="Pointstreak",VLOOKUP(F2,Table3[#All],8,FALSE))</f>
        <v>8</v>
      </c>
      <c r="F22" s="13" cm="1">
        <f t="array" ref="F22">_xlfn.IFS(VLOOKUP(F2,Table1[#All],15,FALSE)="BR",VLOOKUP(F2,Table3[#All],9,FALSE),VLOOKUP(F2,Table1[#All],15,FALSE)="Pointstreak",VLOOKUP(F2,Table3[#All],4,FALSE))</f>
        <v>4</v>
      </c>
      <c r="G22" s="13" cm="1">
        <f t="array" ref="G22">_xlfn.IFS(VLOOKUP(F2,Table1[#All],15,FALSE)="BR",VLOOKUP(F2,Table3[#All],10,FALSE),VLOOKUP(F2,Table1[#All],15,FALSE)="Pointstreak",VLOOKUP(F2,Table3[#All],5,FALSE))</f>
        <v>1</v>
      </c>
      <c r="H22" s="13" cm="1">
        <f t="array" ref="H22">_xlfn.IFS(VLOOKUP(F2,Table1[#All],15,FALSE)="BR",VLOOKUP(F2,Table3[#All],19,FALSE),VLOOKUP(F2,Table1[#All],15,FALSE)="Pointstreak",VLOOKUP(F2,Table3[#All],10,FALSE))</f>
        <v>0</v>
      </c>
      <c r="I22" s="13" cm="1">
        <f t="array" ref="I22">_xlfn.IFS(VLOOKUP(F2,Table1[#All],15,FALSE)="BR",VLOOKUP(F2,Table3[#All],20,FALSE),VLOOKUP(F2,Table1[#All],15,FALSE)="Pointstreak",VLOOKUP(F2,Table3[#All],11,FALSE))</f>
        <v>38</v>
      </c>
      <c r="J22" s="13" cm="1">
        <f t="array" ref="J22">_xlfn.IFS(VLOOKUP(F2,Table1[#All],15,FALSE)="BR",VLOOKUP(F2,Table3[#All],21,FALSE),VLOOKUP(F2,Table1[#All],15,FALSE)="Pointstreak",VLOOKUP(F2,Table3[#All],14,FALSE))</f>
        <v>34</v>
      </c>
      <c r="K22" s="13" cm="1">
        <f t="array" ref="K22">_xlfn.IFS(VLOOKUP(F2,Table1[#All],15,FALSE)="BR",VLOOKUP(F2,Table3[#All],22,FALSE),VLOOKUP(F2,Table1[#All],15,FALSE)="Pointstreak","")</f>
        <v>31</v>
      </c>
      <c r="L22" s="13" cm="1">
        <f t="array" ref="L22">_xlfn.IFS(VLOOKUP(F2,Table1[#All],15,FALSE)="BR",VLOOKUP(F2,Table3[#All],23,FALSE),VLOOKUP(F2,Table1[#All],15,FALSE)="Pointstreak","")</f>
        <v>25</v>
      </c>
      <c r="M22" s="13" cm="1">
        <f t="array" ref="M22">_xlfn.IFS(VLOOKUP(F2,Table1[#All],15,FALSE)="BR",VLOOKUP(F2,Table3[#All],24,FALSE),VLOOKUP(F2,Table1[#All],15,FALSE)="Pointstreak","")</f>
        <v>4</v>
      </c>
      <c r="N22" s="13" cm="1">
        <f t="array" ref="N22">_xlfn.IFS(VLOOKUP(F2,Table1[#All],15,FALSE)="BR",VLOOKUP(F2,Table3[#All],25,FALSE),VLOOKUP(F2,Table1[#All],15,FALSE)="Pointstreak",VLOOKUP(F2,Table3[#All],13,FALSE))</f>
        <v>29</v>
      </c>
      <c r="O22" s="13" cm="1">
        <f t="array" ref="O22">_xlfn.IFS(VLOOKUP(F2,Table1[#All],15,FALSE)="BR",VLOOKUP(F2,Table3[#All],27,FALSE),VLOOKUP(F2,Table1[#All],15,FALSE)="Pointstreak",VLOOKUP(F2,Table3[#All],12,FALSE))</f>
        <v>28</v>
      </c>
      <c r="P22" s="13" cm="1">
        <f t="array" ref="P22">_xlfn.IFS(VLOOKUP(F2,Table1[#All],15,FALSE)="BR",VLOOKUP(F2,Table3[#All],12,FALSE),VLOOKUP(F2,Table1[#All],15,FALSE)="Pointstreak",VLOOKUP(F2,Table3[#All],6,FALSE))</f>
        <v>5.92</v>
      </c>
      <c r="Q22" s="15" cm="1">
        <f t="array" ref="Q22">_xlfn.IFS(VLOOKUP(F2,Table1[#All],15,FALSE)="BR",VLOOKUP(F2,Table3[#All],32,FALSE),VLOOKUP(F2,Table1[#All],15,FALSE)="Pointstreak","")</f>
        <v>1.6579999999999999</v>
      </c>
      <c r="R22" s="15" cm="1">
        <f t="array" ref="R22">_xlfn.IFS(VLOOKUP(F2,Table1[#All],15,FALSE)="BR",VLOOKUP(F2,Table3[#All],36,FALSE),VLOOKUP(F2,Table1[#All],15,FALSE)="Pointstreak","")</f>
        <v>6.6</v>
      </c>
      <c r="S22" s="31"/>
    </row>
  </sheetData>
  <mergeCells count="6">
    <mergeCell ref="B20:S20"/>
    <mergeCell ref="B2:D14"/>
    <mergeCell ref="F2:M3"/>
    <mergeCell ref="N2:O3"/>
    <mergeCell ref="F13:O14"/>
    <mergeCell ref="B16:R1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FA6C7-22E6-4282-9BE2-1D87F1644598}">
  <dimension ref="B2:S22"/>
  <sheetViews>
    <sheetView showGridLines="0" workbookViewId="0">
      <selection activeCell="B2" sqref="B2:S18"/>
    </sheetView>
  </sheetViews>
  <sheetFormatPr defaultRowHeight="15" x14ac:dyDescent="0.25"/>
  <cols>
    <col min="2" max="2" width="5.42578125" customWidth="1"/>
    <col min="3" max="3" width="18.28515625" customWidth="1"/>
    <col min="4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114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14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Catcher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6'1"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190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November 17, 1999 (Junior)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Wahoo, NE</v>
      </c>
      <c r="G11" s="22"/>
      <c r="H11" s="22"/>
      <c r="I11" s="22"/>
      <c r="J11" s="22"/>
      <c r="K11" s="22"/>
      <c r="L11" s="22"/>
      <c r="M11" s="22"/>
      <c r="P11" s="49"/>
      <c r="Q11" s="49"/>
      <c r="R11" s="49"/>
      <c r="S11" s="49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49"/>
      <c r="Q12" s="49"/>
      <c r="R12" s="49"/>
      <c r="S12" s="49"/>
    </row>
    <row r="13" spans="2:19" x14ac:dyDescent="0.25">
      <c r="B13" s="49"/>
      <c r="C13" s="49"/>
      <c r="D13" s="49"/>
      <c r="F13" s="43" t="str">
        <f>"School: " &amp; VLOOKUP(F2,Table1[#All],9,FALSE)</f>
        <v>School: Mount Marty</v>
      </c>
      <c r="G13" s="43"/>
      <c r="H13" s="43"/>
      <c r="I13" s="43"/>
      <c r="J13" s="43"/>
      <c r="K13" s="43"/>
      <c r="L13" s="43"/>
      <c r="M13" s="43"/>
      <c r="N13" s="43"/>
      <c r="O13" s="43"/>
      <c r="P13" s="49"/>
      <c r="Q13" s="49"/>
      <c r="R13" s="49"/>
      <c r="S13" s="49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9"/>
      <c r="Q14" s="49"/>
      <c r="R14" s="49"/>
      <c r="S14" s="49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">
        <v>77</v>
      </c>
      <c r="D18" s="13" cm="1">
        <f t="array" ref="D18">_xlfn.IFS(VLOOKUP(F2,Table1[#All],14,FALSE)="NAIA Presto",VLOOKUP(F2,Table4[#All],4,FALSE))</f>
        <v>49</v>
      </c>
      <c r="E18" s="13" cm="1">
        <f t="array" ref="E18">_xlfn.IFS(VLOOKUP(F2,Table1[#All],14,FALSE)="NAIA Presto",VLOOKUP(F2,Table4[#All],5,FALSE))</f>
        <v>158</v>
      </c>
      <c r="F18" s="13" cm="1">
        <f t="array" ref="F18">_xlfn.IFS(VLOOKUP(F2,Table1[#All],14,FALSE)="NAIA Presto",VLOOKUP(F2,Table4[#All],6,FALSE))</f>
        <v>23</v>
      </c>
      <c r="G18" s="13" cm="1">
        <f t="array" ref="G18">_xlfn.IFS(VLOOKUP(F2,Table1[#All],14,FALSE)="NAIA Presto",VLOOKUP(F2,Table4[#All],7,FALSE))</f>
        <v>57</v>
      </c>
      <c r="H18" s="13" cm="1">
        <f t="array" ref="H18">_xlfn.IFS(VLOOKUP(F2,Table1[#All],14,FALSE)="NAIA Presto",VLOOKUP(F2,Table4[#All],8,FALSE))</f>
        <v>8</v>
      </c>
      <c r="I18" s="13" cm="1">
        <f t="array" ref="I18">_xlfn.IFS(VLOOKUP(F2,Table1[#All],14,FALSE)="NAIA Presto",VLOOKUP(F2,Table4[#All],9,FALSE))</f>
        <v>6</v>
      </c>
      <c r="J18" s="13" cm="1">
        <f t="array" ref="J18">_xlfn.IFS(VLOOKUP(F2,Table1[#All],14,FALSE)="NAIA Presto",VLOOKUP(F2,Table4[#All],10,FALSE))</f>
        <v>15</v>
      </c>
      <c r="K18" s="13" cm="1">
        <f t="array" ref="K18">_xlfn.IFS(VLOOKUP(F2,Table1[#All],14,FALSE)="NAIA Presto",VLOOKUP(F2,Table4[#All],11,FALSE))</f>
        <v>39</v>
      </c>
      <c r="L18" s="13" cm="1">
        <f t="array" ref="L18">_xlfn.IFS(VLOOKUP(F2,Table1[#All],14,FALSE)="NAIA Presto",VLOOKUP(F2,Table4[#All],14,FALSE))</f>
        <v>1</v>
      </c>
      <c r="M18" s="13" cm="1">
        <f t="array" ref="M18">_xlfn.IFS(VLOOKUP(F2,Table1[#All],14,FALSE)="NAIA Presto",VLOOKUP(F2,Table4[#All],15,FALSE))</f>
        <v>0</v>
      </c>
      <c r="N18" s="13" cm="1">
        <f t="array" ref="N18">_xlfn.IFS(VLOOKUP(F2,Table1[#All],14,FALSE)="NAIA Presto",VLOOKUP(F2,Table4[#All],12,FALSE))</f>
        <v>25</v>
      </c>
      <c r="O18" s="13" cm="1">
        <f t="array" ref="O18">_xlfn.IFS(VLOOKUP(F2,Table1[#All],14,FALSE)="NAIA Presto",VLOOKUP(F2,Table4[#All],13,FALSE))</f>
        <v>33</v>
      </c>
      <c r="P18" s="16" cm="1">
        <f t="array" ref="P18">_xlfn.IFS(VLOOKUP(F2,Table1[#All],14,FALSE)="NAIA Presto",VLOOKUP(F2,Table4[#All],16,FALSE))</f>
        <v>0.36099999999999999</v>
      </c>
      <c r="Q18" s="16" cm="1">
        <f t="array" ref="Q18">_xlfn.IFS(VLOOKUP(F2,Table1[#All],14,FALSE)="NAIA Presto",VLOOKUP(F2,Table4[#All],17,FALSE))</f>
        <v>0.47699999999999998</v>
      </c>
      <c r="R18" s="16" cm="1">
        <f t="array" ref="R18">_xlfn.IFS(VLOOKUP(F2,Table1[#All],14,FALSE)="NAIA Presto",VLOOKUP(F2,Table4[#All],18,FALSE))</f>
        <v>0.77200000000000002</v>
      </c>
      <c r="S18" s="16" cm="1">
        <f t="array" ref="S18">_xlfn.IFS(VLOOKUP(F2,Table1[#All],14,FALSE)="NAIA Presto",Q18+R18)</f>
        <v>1.2490000000000001</v>
      </c>
    </row>
    <row r="20" spans="2:19" x14ac:dyDescent="0.25">
      <c r="B20" s="44" t="s">
        <v>470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175</v>
      </c>
      <c r="F21" s="13" t="s">
        <v>156</v>
      </c>
      <c r="G21" s="13" t="s">
        <v>155</v>
      </c>
      <c r="H21" s="13" t="s">
        <v>176</v>
      </c>
      <c r="I21" s="13" t="s">
        <v>177</v>
      </c>
      <c r="J21" s="13" t="s">
        <v>158</v>
      </c>
      <c r="K21" s="13" t="s">
        <v>178</v>
      </c>
      <c r="L21" s="13" t="s">
        <v>179</v>
      </c>
      <c r="M21" s="13" t="s">
        <v>180</v>
      </c>
      <c r="N21" s="13" t="s">
        <v>159</v>
      </c>
      <c r="O21" s="13" t="s">
        <v>161</v>
      </c>
      <c r="P21" s="13" t="s">
        <v>181</v>
      </c>
      <c r="Q21" s="13" t="s">
        <v>182</v>
      </c>
      <c r="R21" s="13" t="s">
        <v>183</v>
      </c>
      <c r="S21" s="13" t="s">
        <v>184</v>
      </c>
    </row>
    <row r="22" spans="2:19" x14ac:dyDescent="0.25">
      <c r="B22" s="13">
        <f>VLOOKUP(F2,Table5[#All],2,FALSE)</f>
        <v>2020</v>
      </c>
      <c r="C22" s="13" t="str">
        <f>VLOOKUP(F2,Table5[#All],5,FALSE)</f>
        <v>Macon Bacon</v>
      </c>
      <c r="D22" s="13">
        <f>VLOOKUP(F2,Table5[#All],9,FALSE)</f>
        <v>14</v>
      </c>
      <c r="E22" s="13">
        <f>VLOOKUP(F2,Table5[#All],11,FALSE)</f>
        <v>45</v>
      </c>
      <c r="F22" s="13">
        <f>VLOOKUP(F2,Table5[#All],12,FALSE)</f>
        <v>7</v>
      </c>
      <c r="G22" s="13">
        <f>VLOOKUP(F2,Table5[#All],13,FALSE)</f>
        <v>10</v>
      </c>
      <c r="H22" s="13">
        <f>VLOOKUP(F2,Table5[#All],14,FALSE)</f>
        <v>2</v>
      </c>
      <c r="I22" s="13">
        <f>VLOOKUP(F2,Table5[#All],15,FALSE)</f>
        <v>0</v>
      </c>
      <c r="J22" s="13">
        <f>VLOOKUP(F2,Table5[#All],16,FALSE)</f>
        <v>1</v>
      </c>
      <c r="K22" s="13">
        <f>VLOOKUP(F2,Table5[#All],17,FALSE)</f>
        <v>8</v>
      </c>
      <c r="L22" s="13">
        <f>VLOOKUP(F2,Table5[#All],18,FALSE)</f>
        <v>0</v>
      </c>
      <c r="M22" s="13">
        <f>VLOOKUP(F2,Table5[#All],19,FALSE)</f>
        <v>0</v>
      </c>
      <c r="N22" s="13">
        <f>VLOOKUP(F2,Table5[#All],20,FALSE)</f>
        <v>5</v>
      </c>
      <c r="O22" s="13">
        <f>VLOOKUP(F2,Table5[#All],21,FALSE)</f>
        <v>13</v>
      </c>
      <c r="P22" s="16">
        <f>VLOOKUP(F2,Table5[#All],22,FALSE)</f>
        <v>0.222</v>
      </c>
      <c r="Q22" s="16">
        <f>VLOOKUP(F2,Table5[#All],23,FALSE)</f>
        <v>0.314</v>
      </c>
      <c r="R22" s="16">
        <f>VLOOKUP(F2,Table5[#All],24,FALSE)</f>
        <v>0.33300000000000002</v>
      </c>
      <c r="S22" s="16">
        <f>VLOOKUP(F2,Table5[#All],25,FALSE)</f>
        <v>0.64700000000000002</v>
      </c>
    </row>
  </sheetData>
  <mergeCells count="8">
    <mergeCell ref="F13:O14"/>
    <mergeCell ref="B20:S20"/>
    <mergeCell ref="B2:D14"/>
    <mergeCell ref="P11:S14"/>
    <mergeCell ref="B16:S16"/>
    <mergeCell ref="F2:M3"/>
    <mergeCell ref="N2:O3"/>
    <mergeCell ref="P2:S5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BFE6-2261-4D62-BF29-AA7E1CC3B94B}">
  <dimension ref="B2:S18"/>
  <sheetViews>
    <sheetView workbookViewId="0">
      <selection activeCell="B2" sqref="B2:D14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121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6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Infielder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6'2"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190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October 11, 2003 (Freshman)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Wyoming, ON, CAN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Nebraska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Nebraska</v>
      </c>
      <c r="D18" s="13" cm="1">
        <f t="array" ref="D18">_xlfn.IFS(VLOOKUP(F2,Table1[#All],14,FALSE)="NAIA Presto",VLOOKUP(F2,Table4[#All],4,FALSE),VLOOKUP(F2,Table1[#All],14,FALSE)="BR",VLOOKUP(F2,Table4[#All],9,FALSE))</f>
        <v>44</v>
      </c>
      <c r="E18" s="13" cm="1">
        <f t="array" ref="E18">_xlfn.IFS(VLOOKUP(F2,Table1[#All],14,FALSE)="NAIA Presto",VLOOKUP(F2,Table4[#All],5,FALSE),VLOOKUP(F2,Table1[#All],14,FALSE)="BR",VLOOKUP(F2,Table4[#All],11,FALSE))</f>
        <v>124</v>
      </c>
      <c r="F18" s="13" cm="1">
        <f t="array" ref="F18">_xlfn.IFS(VLOOKUP(F2,Table1[#All],14,FALSE)="NAIA Presto",VLOOKUP(F2,Table4[#All],6,FALSE),VLOOKUP(F2,Table1[#All],14,FALSE)="BR",VLOOKUP(F2,Table4[#All],12,FALSE))</f>
        <v>18</v>
      </c>
      <c r="G18" s="13" cm="1">
        <f t="array" ref="G18">_xlfn.IFS(VLOOKUP(F2,Table1[#All],14,FALSE)="NAIA Presto",VLOOKUP(F2,Table4[#All],7,FALSE),VLOOKUP(F2,Table1[#All],14,FALSE)="BR",VLOOKUP(F2,Table4[#All],13,FALSE))</f>
        <v>26</v>
      </c>
      <c r="H18" s="13" cm="1">
        <f t="array" ref="H18">_xlfn.IFS(VLOOKUP(F2,Table1[#All],14,FALSE)="NAIA Presto",VLOOKUP(F2,Table4[#All],8,FALSE),VLOOKUP(F2,Table1[#All],14,FALSE)="BR",VLOOKUP(F2,Table4[#All],14,FALSE))</f>
        <v>6</v>
      </c>
      <c r="I18" s="13" cm="1">
        <f t="array" ref="I18">_xlfn.IFS(VLOOKUP(F2,Table1[#All],14,FALSE)="NAIA Presto",VLOOKUP(F2,Table4[#All],9,FALSE),VLOOKUP(F2,Table1[#All],14,FALSE)="BR",VLOOKUP(F2,Table4[#All],15,FALSE))</f>
        <v>2</v>
      </c>
      <c r="J18" s="13" cm="1">
        <f t="array" ref="J18">_xlfn.IFS(VLOOKUP(F2,Table1[#All],14,FALSE)="NAIA Presto",VLOOKUP(F2,Table4[#All],10,FALSE),VLOOKUP(F2,Table1[#All],14,FALSE)="BR",VLOOKUP(F2,Table4[#All],16,FALSE))</f>
        <v>1</v>
      </c>
      <c r="K18" s="13" cm="1">
        <f t="array" ref="K18">_xlfn.IFS(VLOOKUP(F2,Table1[#All],14,FALSE)="NAIA Presto",VLOOKUP(F2,Table4[#All],11,FALSE),VLOOKUP(F2,Table1[#All],14,FALSE)="BR",VLOOKUP(F2,Table4[#All],17,FALSE))</f>
        <v>21</v>
      </c>
      <c r="L18" s="13" cm="1">
        <f t="array" ref="L18">_xlfn.IFS(VLOOKUP(F2,Table1[#All],14,FALSE)="NAIA Presto",VLOOKUP(F2,Table4[#All],14,FALSE),VLOOKUP(F2,Table1[#All],14,FALSE)="BR",VLOOKUP(F2,Table4[#All],18,FALSE))</f>
        <v>6</v>
      </c>
      <c r="M18" s="13" cm="1">
        <f t="array" ref="M18">_xlfn.IFS(VLOOKUP(F2,Table1[#All],14,FALSE)="NAIA Presto",VLOOKUP(F2,Table4[#All],15,FALSE),VLOOKUP(F2,Table1[#All],14,FALSE)="BR",VLOOKUP(F2,Table4[#All],19,FALSE))</f>
        <v>2</v>
      </c>
      <c r="N18" s="13" cm="1">
        <f t="array" ref="N18">_xlfn.IFS(VLOOKUP(F2,Table1[#All],14,FALSE)="NAIA Presto",VLOOKUP(F2,Table4[#All],12,FALSE),VLOOKUP(F2,Table1[#All],14,FALSE)="BR",VLOOKUP(F2,Table4[#All],20,FALSE))</f>
        <v>13</v>
      </c>
      <c r="O18" s="13" cm="1">
        <f t="array" ref="O18">_xlfn.IFS(VLOOKUP(F2,Table1[#All],14,FALSE)="NAIA Presto",VLOOKUP(F2,Table4[#All],13,FALSE),VLOOKUP(F2,Table1[#All],14,FALSE)="BR",VLOOKUP(F2,Table4[#All],21,FALSE))</f>
        <v>27</v>
      </c>
      <c r="P18" s="16" cm="1">
        <f t="array" ref="P18">_xlfn.IFS(VLOOKUP(F2,Table1[#All],14,FALSE)="NAIA Presto",VLOOKUP(F2,Table4[#All],16,FALSE),VLOOKUP(F2,Table1[#All],14,FALSE)="BR",VLOOKUP(F2,Table4[#All],22,FALSE))</f>
        <v>0.21</v>
      </c>
      <c r="Q18" s="16" cm="1">
        <f t="array" ref="Q18">_xlfn.IFS(VLOOKUP(F2,Table1[#All],14,FALSE)="NAIA Presto",VLOOKUP(F2,Table4[#All],17,FALSE),VLOOKUP(F2,Table1[#All],14,FALSE)="BR",VLOOKUP(F2,Table4[#All],23,FALSE))</f>
        <v>0.32200000000000001</v>
      </c>
      <c r="R18" s="16" cm="1">
        <f t="array" ref="R18">_xlfn.IFS(VLOOKUP(F2,Table1[#All],14,FALSE)="NAIA Presto",VLOOKUP(F2,Table4[#All],18,FALSE),VLOOKUP(F2,Table1[#All],14,FALSE)="BR",VLOOKUP(F2,Table4[#All],24,FALSE))</f>
        <v>0.315</v>
      </c>
      <c r="S18" s="16" cm="1">
        <f t="array" ref="S18">_xlfn.IFS(VLOOKUP(F2,Table1[#All],14,FALSE)="NAIA Presto",Q18+R18,VLOOKUP(F2,Table1[#All],14,FALSE)="BR",VLOOKUP(F2,Table4[#All],25,FALSE))</f>
        <v>0.63600000000000001</v>
      </c>
    </row>
  </sheetData>
  <mergeCells count="6">
    <mergeCell ref="B16:S16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F591F-A391-49AB-86E0-BB7C74E1DB75}">
  <dimension ref="B2:S25"/>
  <sheetViews>
    <sheetView showGridLines="0" workbookViewId="0">
      <selection activeCell="B2" sqref="B2:S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122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Infielder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6'1"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185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January 13, 2001 (R-Sophomore)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White Lake, MI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Michigan State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Michigan State</v>
      </c>
      <c r="D18" s="13" cm="1">
        <f t="array" ref="D18">_xlfn.IFS(VLOOKUP(F2,Table1[#All],14,FALSE)="NAIA Presto",VLOOKUP(F2,Table4[#All],4,FALSE),VLOOKUP(F2,Table1[#All],14,FALSE)="BR",VLOOKUP(F2,Table4[#All],9,FALSE))</f>
        <v>46</v>
      </c>
      <c r="E18" s="13" cm="1">
        <f t="array" ref="E18">_xlfn.IFS(VLOOKUP(F2,Table1[#All],14,FALSE)="NAIA Presto",VLOOKUP(F2,Table4[#All],5,FALSE),VLOOKUP(F2,Table1[#All],14,FALSE)="BR",VLOOKUP(F2,Table4[#All],11,FALSE))</f>
        <v>163</v>
      </c>
      <c r="F18" s="13" cm="1">
        <f t="array" ref="F18">_xlfn.IFS(VLOOKUP(F2,Table1[#All],14,FALSE)="NAIA Presto",VLOOKUP(F2,Table4[#All],6,FALSE),VLOOKUP(F2,Table1[#All],14,FALSE)="BR",VLOOKUP(F2,Table4[#All],12,FALSE))</f>
        <v>21</v>
      </c>
      <c r="G18" s="13" cm="1">
        <f t="array" ref="G18">_xlfn.IFS(VLOOKUP(F2,Table1[#All],14,FALSE)="NAIA Presto",VLOOKUP(F2,Table4[#All],7,FALSE),VLOOKUP(F2,Table1[#All],14,FALSE)="BR",VLOOKUP(F2,Table4[#All],13,FALSE))</f>
        <v>38</v>
      </c>
      <c r="H18" s="13" cm="1">
        <f t="array" ref="H18">_xlfn.IFS(VLOOKUP(F2,Table1[#All],14,FALSE)="NAIA Presto",VLOOKUP(F2,Table4[#All],8,FALSE),VLOOKUP(F2,Table1[#All],14,FALSE)="BR",VLOOKUP(F2,Table4[#All],14,FALSE))</f>
        <v>3</v>
      </c>
      <c r="I18" s="13" cm="1">
        <f t="array" ref="I18">_xlfn.IFS(VLOOKUP(F2,Table1[#All],14,FALSE)="NAIA Presto",VLOOKUP(F2,Table4[#All],9,FALSE),VLOOKUP(F2,Table1[#All],14,FALSE)="BR",VLOOKUP(F2,Table4[#All],15,FALSE))</f>
        <v>0</v>
      </c>
      <c r="J18" s="13" cm="1">
        <f t="array" ref="J18">_xlfn.IFS(VLOOKUP(F2,Table1[#All],14,FALSE)="NAIA Presto",VLOOKUP(F2,Table4[#All],10,FALSE),VLOOKUP(F2,Table1[#All],14,FALSE)="BR",VLOOKUP(F2,Table4[#All],16,FALSE))</f>
        <v>3</v>
      </c>
      <c r="K18" s="13" cm="1">
        <f t="array" ref="K18">_xlfn.IFS(VLOOKUP(F2,Table1[#All],14,FALSE)="NAIA Presto",VLOOKUP(F2,Table4[#All],11,FALSE),VLOOKUP(F2,Table1[#All],14,FALSE)="BR",VLOOKUP(F2,Table4[#All],17,FALSE))</f>
        <v>14</v>
      </c>
      <c r="L18" s="13" cm="1">
        <f t="array" ref="L18">_xlfn.IFS(VLOOKUP(F2,Table1[#All],14,FALSE)="NAIA Presto",VLOOKUP(F2,Table4[#All],14,FALSE),VLOOKUP(F2,Table1[#All],14,FALSE)="BR",VLOOKUP(F2,Table4[#All],18,FALSE))</f>
        <v>2</v>
      </c>
      <c r="M18" s="13" cm="1">
        <f t="array" ref="M18">_xlfn.IFS(VLOOKUP(F2,Table1[#All],14,FALSE)="NAIA Presto",VLOOKUP(F2,Table4[#All],15,FALSE),VLOOKUP(F2,Table1[#All],14,FALSE)="BR",VLOOKUP(F2,Table4[#All],19,FALSE))</f>
        <v>0</v>
      </c>
      <c r="N18" s="13" cm="1">
        <f t="array" ref="N18">_xlfn.IFS(VLOOKUP(F2,Table1[#All],14,FALSE)="NAIA Presto",VLOOKUP(F2,Table4[#All],12,FALSE),VLOOKUP(F2,Table1[#All],14,FALSE)="BR",VLOOKUP(F2,Table4[#All],20,FALSE))</f>
        <v>12</v>
      </c>
      <c r="O18" s="13" cm="1">
        <f t="array" ref="O18">_xlfn.IFS(VLOOKUP(F2,Table1[#All],14,FALSE)="NAIA Presto",VLOOKUP(F2,Table4[#All],13,FALSE),VLOOKUP(F2,Table1[#All],14,FALSE)="BR",VLOOKUP(F2,Table4[#All],21,FALSE))</f>
        <v>34</v>
      </c>
      <c r="P18" s="16" cm="1">
        <f t="array" ref="P18">_xlfn.IFS(VLOOKUP(F2,Table1[#All],14,FALSE)="NAIA Presto",VLOOKUP(F2,Table4[#All],16,FALSE),VLOOKUP(F2,Table1[#All],14,FALSE)="BR",VLOOKUP(F2,Table4[#All],22,FALSE))</f>
        <v>0.23300000000000001</v>
      </c>
      <c r="Q18" s="16" cm="1">
        <f t="array" ref="Q18">_xlfn.IFS(VLOOKUP(F2,Table1[#All],14,FALSE)="NAIA Presto",VLOOKUP(F2,Table4[#All],17,FALSE),VLOOKUP(F2,Table1[#All],14,FALSE)="BR",VLOOKUP(F2,Table4[#All],23,FALSE))</f>
        <v>0.28999999999999998</v>
      </c>
      <c r="R18" s="16" cm="1">
        <f t="array" ref="R18">_xlfn.IFS(VLOOKUP(F2,Table1[#All],14,FALSE)="NAIA Presto",VLOOKUP(F2,Table4[#All],18,FALSE),VLOOKUP(F2,Table1[#All],14,FALSE)="BR",VLOOKUP(F2,Table4[#All],24,FALSE))</f>
        <v>0.307</v>
      </c>
      <c r="S18" s="16" cm="1">
        <f t="array" ref="S18">_xlfn.IFS(VLOOKUP(F2,Table1[#All],14,FALSE)="NAIA Presto",Q18+R18,VLOOKUP(F2,Table1[#All],14,FALSE)="BR",VLOOKUP(F2,Table4[#All],25,FALSE))</f>
        <v>0.59699999999999998</v>
      </c>
    </row>
    <row r="20" spans="2:19" x14ac:dyDescent="0.25">
      <c r="B20" s="44" t="s">
        <v>471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149</v>
      </c>
      <c r="F21" s="13" t="s">
        <v>143</v>
      </c>
      <c r="G21" s="13" t="s">
        <v>144</v>
      </c>
      <c r="H21" s="13" t="s">
        <v>153</v>
      </c>
      <c r="I21" s="13" t="s">
        <v>154</v>
      </c>
      <c r="J21" s="13" t="s">
        <v>155</v>
      </c>
      <c r="K21" s="13" t="s">
        <v>156</v>
      </c>
      <c r="L21" s="13" t="s">
        <v>157</v>
      </c>
      <c r="M21" s="13" t="s">
        <v>158</v>
      </c>
      <c r="N21" s="13" t="s">
        <v>159</v>
      </c>
      <c r="O21" s="13" t="s">
        <v>161</v>
      </c>
      <c r="P21" s="13" t="s">
        <v>146</v>
      </c>
      <c r="Q21" s="13" t="s">
        <v>166</v>
      </c>
      <c r="R21" s="13" t="s">
        <v>185</v>
      </c>
      <c r="S21" s="26"/>
    </row>
    <row r="22" spans="2:19" x14ac:dyDescent="0.25">
      <c r="B22" s="13">
        <f>VLOOKUP(F2,Table3[#All],2,FALSE)</f>
        <v>2021</v>
      </c>
      <c r="C22" s="13" t="str" cm="1">
        <f t="array" ref="C22">_xlfn.IFS(VLOOKUP(F2,Table1[#All],15,FALSE)="BR",VLOOKUP(F2,Table3[#All],5,FALSE),VLOOKUP(F2,Table1[#All],15,FALSE)="Pointstreak",VLOOKUP(F2,Table3[#All],3,FALSE))</f>
        <v>Michigan Monarchs</v>
      </c>
      <c r="D22" s="13" cm="1">
        <f t="array" ref="D22">_xlfn.IFS(VLOOKUP(F2,Table1[#All],15,FALSE)="BR",VLOOKUP(F2,Table3[#All],14,FALSE),VLOOKUP(F2,Table1[#All],15,FALSE)="Pointstreak",VLOOKUP(F2,Table3[#All],7,FALSE))</f>
        <v>3</v>
      </c>
      <c r="E22" s="13" cm="1">
        <f t="array" ref="E22">_xlfn.IFS(VLOOKUP(F2,Table1[#All],15,FALSE)="BR",VLOOKUP(F2,Table3[#All],15,FALSE),VLOOKUP(F2,Table1[#All],15,FALSE)="Pointstreak",VLOOKUP(F2,Table3[#All],8,FALSE))</f>
        <v>0</v>
      </c>
      <c r="F22" s="13" cm="1">
        <f t="array" ref="F22">_xlfn.IFS(VLOOKUP(F2,Table1[#All],15,FALSE)="BR",VLOOKUP(F2,Table3[#All],9,FALSE),VLOOKUP(F2,Table1[#All],15,FALSE)="Pointstreak",VLOOKUP(F2,Table3[#All],4,FALSE))</f>
        <v>0</v>
      </c>
      <c r="G22" s="13" cm="1">
        <f t="array" ref="G22">_xlfn.IFS(VLOOKUP(F2,Table1[#All],15,FALSE)="BR",VLOOKUP(F2,Table3[#All],10,FALSE),VLOOKUP(F2,Table1[#All],15,FALSE)="Pointstreak",VLOOKUP(F2,Table3[#All],5,FALSE))</f>
        <v>1</v>
      </c>
      <c r="H22" s="13" cm="1">
        <f t="array" ref="H22">_xlfn.IFS(VLOOKUP(F2,Table1[#All],15,FALSE)="BR",VLOOKUP(F2,Table3[#All],19,FALSE),VLOOKUP(F2,Table1[#All],15,FALSE)="Pointstreak",VLOOKUP(F2,Table3[#All],10,FALSE))</f>
        <v>1</v>
      </c>
      <c r="I22" s="13" cm="1">
        <f t="array" ref="I22">_xlfn.IFS(VLOOKUP(F2,Table1[#All],15,FALSE)="BR",VLOOKUP(F2,Table3[#All],20,FALSE),VLOOKUP(F2,Table1[#All],15,FALSE)="Pointstreak",VLOOKUP(F2,Table3[#All],11,FALSE))</f>
        <v>6.2</v>
      </c>
      <c r="J22" s="13" cm="1">
        <f t="array" ref="J22">_xlfn.IFS(VLOOKUP(F2,Table1[#All],15,FALSE)="BR",VLOOKUP(F2,Table3[#All],21,FALSE),VLOOKUP(F2,Table1[#All],15,FALSE)="Pointstreak",VLOOKUP(F2,Table3[#All],14,FALSE))</f>
        <v>8</v>
      </c>
      <c r="K22" s="13" cm="1">
        <f t="array" ref="K22">_xlfn.IFS(VLOOKUP(F2,Table1[#All],15,FALSE)="BR",VLOOKUP(F2,Table3[#All],22,FALSE),VLOOKUP(F2,Table1[#All],15,FALSE)="Pointstreak","")</f>
        <v>6</v>
      </c>
      <c r="L22" s="13" cm="1">
        <f t="array" ref="L22">_xlfn.IFS(VLOOKUP(F2,Table1[#All],15,FALSE)="BR",VLOOKUP(F2,Table3[#All],23,FALSE),VLOOKUP(F2,Table1[#All],15,FALSE)="Pointstreak","")</f>
        <v>6</v>
      </c>
      <c r="M22" s="13" cm="1">
        <f t="array" ref="M22">_xlfn.IFS(VLOOKUP(F2,Table1[#All],15,FALSE)="BR",VLOOKUP(F2,Table3[#All],24,FALSE),VLOOKUP(F2,Table1[#All],15,FALSE)="Pointstreak","")</f>
        <v>0</v>
      </c>
      <c r="N22" s="13" cm="1">
        <f t="array" ref="N22">_xlfn.IFS(VLOOKUP(F2,Table1[#All],15,FALSE)="BR",VLOOKUP(F2,Table3[#All],25,FALSE),VLOOKUP(F2,Table1[#All],15,FALSE)="Pointstreak",VLOOKUP(F2,Table3[#All],13,FALSE))</f>
        <v>3</v>
      </c>
      <c r="O22" s="13" cm="1">
        <f t="array" ref="O22">_xlfn.IFS(VLOOKUP(F2,Table1[#All],15,FALSE)="BR",VLOOKUP(F2,Table3[#All],27,FALSE),VLOOKUP(F2,Table1[#All],15,FALSE)="Pointstreak",VLOOKUP(F2,Table3[#All],12,FALSE))</f>
        <v>7</v>
      </c>
      <c r="P22" s="15" cm="1">
        <f t="array" ref="P22">_xlfn.IFS(VLOOKUP(F2,Table1[#All],15,FALSE)="BR",VLOOKUP(F2,Table3[#All],12,FALSE),VLOOKUP(F2,Table1[#All],15,FALSE)="Pointstreak",VLOOKUP(F2,Table3[#All],6,FALSE))</f>
        <v>8.1</v>
      </c>
      <c r="Q22" s="15" cm="1">
        <f t="array" ref="Q22">_xlfn.IFS(VLOOKUP(F2,Table1[#All],15,FALSE)="BR",VLOOKUP(F2,Table3[#All],32,FALSE),VLOOKUP(F2,Table1[#All],15,FALSE)="Pointstreak","")</f>
        <v>1.65</v>
      </c>
      <c r="R22" s="15" cm="1">
        <f t="array" ref="R22">_xlfn.IFS(VLOOKUP(F2,Table1[#All],15,FALSE)="BR",VLOOKUP(F2,Table3[#All],36,FALSE),VLOOKUP(F2,Table1[#All],15,FALSE)="Pointstreak","")</f>
        <v>9.5</v>
      </c>
      <c r="S22" s="26"/>
    </row>
    <row r="23" spans="2:19" x14ac:dyDescent="0.25"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</row>
    <row r="24" spans="2:19" x14ac:dyDescent="0.25">
      <c r="B24" s="13" t="s">
        <v>136</v>
      </c>
      <c r="C24" s="13" t="s">
        <v>187</v>
      </c>
      <c r="D24" s="13" t="s">
        <v>148</v>
      </c>
      <c r="E24" s="13" t="s">
        <v>175</v>
      </c>
      <c r="F24" s="13" t="s">
        <v>156</v>
      </c>
      <c r="G24" s="13" t="s">
        <v>155</v>
      </c>
      <c r="H24" s="13" t="s">
        <v>176</v>
      </c>
      <c r="I24" s="13" t="s">
        <v>177</v>
      </c>
      <c r="J24" s="13" t="s">
        <v>158</v>
      </c>
      <c r="K24" s="13" t="s">
        <v>178</v>
      </c>
      <c r="L24" s="13" t="s">
        <v>179</v>
      </c>
      <c r="M24" s="13" t="s">
        <v>180</v>
      </c>
      <c r="N24" s="13" t="s">
        <v>159</v>
      </c>
      <c r="O24" s="13" t="s">
        <v>161</v>
      </c>
      <c r="P24" s="13" t="s">
        <v>181</v>
      </c>
      <c r="Q24" s="13" t="s">
        <v>182</v>
      </c>
      <c r="R24" s="13" t="s">
        <v>183</v>
      </c>
      <c r="S24" s="13" t="s">
        <v>184</v>
      </c>
    </row>
    <row r="25" spans="2:19" x14ac:dyDescent="0.25">
      <c r="B25" s="13">
        <f>VLOOKUP(F2,Table5[#All],2,FALSE)</f>
        <v>2021</v>
      </c>
      <c r="C25" s="13" t="str">
        <f>VLOOKUP(F2,Table5[#All],5,FALSE)</f>
        <v>Michigan Monarchs</v>
      </c>
      <c r="D25" s="13">
        <f>VLOOKUP(F2,Table5[#All],9,FALSE)</f>
        <v>35</v>
      </c>
      <c r="E25" s="13">
        <f>VLOOKUP(F2,Table5[#All],11,FALSE)</f>
        <v>123</v>
      </c>
      <c r="F25" s="13">
        <f>VLOOKUP(F2,Table5[#All],12,FALSE)</f>
        <v>14</v>
      </c>
      <c r="G25" s="13">
        <f>VLOOKUP(F2,Table5[#All],13,FALSE)</f>
        <v>26</v>
      </c>
      <c r="H25" s="13">
        <f>VLOOKUP(F2,Table5[#All],14,FALSE)</f>
        <v>6</v>
      </c>
      <c r="I25" s="13">
        <f>VLOOKUP(F2,Table5[#All],15,FALSE)</f>
        <v>0</v>
      </c>
      <c r="J25" s="13">
        <f>VLOOKUP(F2,Table5[#All],16,FALSE)</f>
        <v>0</v>
      </c>
      <c r="K25" s="13">
        <f>VLOOKUP(F2,Table5[#All],17,FALSE)</f>
        <v>18</v>
      </c>
      <c r="L25" s="13">
        <f>VLOOKUP(F2,Table5[#All],18,FALSE)</f>
        <v>1</v>
      </c>
      <c r="M25" s="13">
        <f>VLOOKUP(F2,Table5[#All],19,FALSE)</f>
        <v>0</v>
      </c>
      <c r="N25" s="13">
        <f>VLOOKUP(F2,Table5[#All],20,FALSE)</f>
        <v>14</v>
      </c>
      <c r="O25" s="13">
        <f>VLOOKUP(F2,Table5[#All],21,FALSE)</f>
        <v>34</v>
      </c>
      <c r="P25" s="16">
        <f>VLOOKUP(F2,Table5[#All],22,FALSE)</f>
        <v>0.21099999999999999</v>
      </c>
      <c r="Q25" s="16">
        <f>VLOOKUP(F2,Table5[#All],23,FALSE)</f>
        <v>0.30199999999999999</v>
      </c>
      <c r="R25" s="16">
        <f>VLOOKUP(F2,Table5[#All],24,FALSE)</f>
        <v>0.26</v>
      </c>
      <c r="S25" s="16">
        <f>VLOOKUP(F2,Table5[#All],25,FALSE)</f>
        <v>0.56200000000000006</v>
      </c>
    </row>
  </sheetData>
  <mergeCells count="7">
    <mergeCell ref="B16:S16"/>
    <mergeCell ref="B20:S20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81163-974C-44A5-94C7-CD0C25C20609}">
  <dimension ref="B1:S19"/>
  <sheetViews>
    <sheetView workbookViewId="0">
      <selection activeCell="Q15" sqref="Q15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98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99</v>
      </c>
      <c r="O2" s="55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8"/>
      <c r="C8" s="49"/>
      <c r="D8" s="50"/>
      <c r="F8" s="9" t="str">
        <f>"Height: " &amp; VLOOKUP(F2,Table1[#All],6,FALSE)</f>
        <v>Height: 6'5"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8"/>
      <c r="C9" s="49"/>
      <c r="D9" s="50"/>
      <c r="F9" s="9" t="str">
        <f>"Weight: " &amp; VLOOKUP(F2,Table1[#All],7,FALSE)</f>
        <v>Weight: 165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September 12, 2002 (Freshman)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Ann Arbor, MI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str">
        <f>"School: " &amp; VLOOKUP(F2,Table1[#All],9,FALSE)</f>
        <v>School: Kellogg CC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1"/>
    </row>
    <row r="18" spans="2:19" x14ac:dyDescent="0.25">
      <c r="B18" s="13">
        <v>2022</v>
      </c>
      <c r="C18" s="13" t="str">
        <f>VLOOKUP(F2,Table1[#All],9,FALSE)</f>
        <v>Kellogg CC</v>
      </c>
      <c r="D18" s="14" cm="1">
        <f t="array" ref="D18">_xlfn.IFS(VLOOKUP(F2,Table1[#All],14,FALSE)="NAIA Presto", VLOOKUP(F2,Table2[#All],4,FALSE))</f>
        <v>13</v>
      </c>
      <c r="E18" s="14" cm="1">
        <f t="array" ref="E18">_xlfn.IFS(VLOOKUP(F2,Table1[#All],14,FALSE)="NAIA Presto", VLOOKUP(F2,Table2[#All],5,FALSE))</f>
        <v>10</v>
      </c>
      <c r="F18" s="14" cm="1">
        <f t="array" ref="F18">_xlfn.IFS(VLOOKUP(F2,Table1[#All],14,FALSE)="NAIA Presto", VLOOKUP(F2,Table2[#All],6,FALSE))</f>
        <v>6</v>
      </c>
      <c r="G18" s="14" cm="1">
        <f t="array" ref="G18">_xlfn.IFS(VLOOKUP(F2,Table1[#All],14,FALSE)="NAIA Presto", VLOOKUP(F2,Table2[#All],7,FALSE))</f>
        <v>2</v>
      </c>
      <c r="H18" s="14" cm="1">
        <f t="array" ref="H18">_xlfn.IFS(VLOOKUP(F2,Table1[#All],14,FALSE)="NAIA Presto", VLOOKUP(F2,Table2[#All],8,FALSE))</f>
        <v>0</v>
      </c>
      <c r="I18" s="14" cm="1">
        <f t="array" ref="I18">_xlfn.IFS(VLOOKUP(F2,Table1[#All],14,FALSE)="NAIA Presto", VLOOKUP(F2,Table2[#All],10,FALSE))</f>
        <v>52</v>
      </c>
      <c r="J18" s="14" cm="1">
        <f t="array" ref="J18">_xlfn.IFS(VLOOKUP(F2,Table1[#All],14,FALSE)="NAIA Presto", VLOOKUP(F2,Table2[#All],11,FALSE))</f>
        <v>34</v>
      </c>
      <c r="K18" s="14" cm="1">
        <f t="array" ref="K18">_xlfn.IFS(VLOOKUP(F2,Table1[#All],14,FALSE)="NAIA Presto", VLOOKUP(F2,Table2[#All],12,FALSE))</f>
        <v>22</v>
      </c>
      <c r="L18" s="14" cm="1">
        <f t="array" ref="L18">_xlfn.IFS(VLOOKUP(F2,Table1[#All],14,FALSE)="NAIA Presto", VLOOKUP(F2,Table2[#All],13,FALSE))</f>
        <v>14</v>
      </c>
      <c r="M18" s="14" cm="1">
        <f t="array" ref="M18">_xlfn.IFS(VLOOKUP(F2,Table1[#All],14,FALSE)="NAIA Presto", VLOOKUP(F2,Table2[#All],17,FALSE))</f>
        <v>3</v>
      </c>
      <c r="N18" s="14" cm="1">
        <f t="array" ref="N18">_xlfn.IFS(VLOOKUP(F2,Table1[#All],14,FALSE)="NAIA Presto", VLOOKUP(F2,Table2[#All],14,FALSE))</f>
        <v>22</v>
      </c>
      <c r="O18" s="14" cm="1">
        <f t="array" ref="O18">_xlfn.IFS(VLOOKUP(F2,Table1[#All],14,FALSE)="NAIA Presto", VLOOKUP(F2,Table2[#All],15,FALSE))</f>
        <v>58</v>
      </c>
      <c r="P18" s="14" cm="1">
        <f t="array" ref="P18">_xlfn.IFS(VLOOKUP(F2,Table1[#All],14,FALSE)="NAIA Presto", VLOOKUP(F2,Table2[#All],18,FALSE))</f>
        <v>2.42</v>
      </c>
      <c r="Q18" s="19">
        <f>(J18+N18)/I18</f>
        <v>1.0769230769230769</v>
      </c>
      <c r="R18" s="14" cm="1">
        <f t="array" ref="R18">_xlfn.IFS(VLOOKUP(F2,Table1[#All],14,FALSE)="NAIA Presto", VLOOKUP(F2,Table2[#All],16,FALSE))</f>
        <v>10.039999999999999</v>
      </c>
      <c r="S18" s="1"/>
    </row>
    <row r="19" spans="2:19" x14ac:dyDescent="0.25">
      <c r="B19" s="1"/>
      <c r="C19" s="1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1"/>
    </row>
  </sheetData>
  <mergeCells count="6">
    <mergeCell ref="B16:S16"/>
    <mergeCell ref="B2:D14"/>
    <mergeCell ref="F2:M3"/>
    <mergeCell ref="N2:O3"/>
    <mergeCell ref="P2:S5"/>
    <mergeCell ref="F13:O14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2D06B-A336-4469-8D62-0A1B96984953}">
  <dimension ref="B2:S19"/>
  <sheetViews>
    <sheetView showGridLines="0" workbookViewId="0">
      <selection activeCell="B2" sqref="B2:R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99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31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Left-Handed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Left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6'1"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205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June 18, 2002 (Sophomore)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Saint Anthony, IN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Indiana Southeast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13" t="str">
        <f>VLOOKUP(F2,Table1[#All],9,FALSE)</f>
        <v>Indiana Southeast</v>
      </c>
      <c r="D18" s="14" cm="1">
        <f t="array" ref="D18">_xlfn.IFS(VLOOKUP(F2,Table1[#All],14,FALSE)="NAIA Presto", VLOOKUP(F2,Table2[#All],4,FALSE))</f>
        <v>22</v>
      </c>
      <c r="E18" s="14" cm="1">
        <f t="array" ref="E18">_xlfn.IFS(VLOOKUP(F2,Table1[#All],14,FALSE)="NAIA Presto", VLOOKUP(F2,Table2[#All],5,FALSE))</f>
        <v>0</v>
      </c>
      <c r="F18" s="14" cm="1">
        <f t="array" ref="F18">_xlfn.IFS(VLOOKUP(F2,Table1[#All],14,FALSE)="NAIA Presto", VLOOKUP(F2,Table2[#All],6,FALSE))</f>
        <v>4</v>
      </c>
      <c r="G18" s="14" cm="1">
        <f t="array" ref="G18">_xlfn.IFS(VLOOKUP(F2,Table1[#All],14,FALSE)="NAIA Presto", VLOOKUP(F2,Table2[#All],7,FALSE))</f>
        <v>0</v>
      </c>
      <c r="H18" s="14" cm="1">
        <f t="array" ref="H18">_xlfn.IFS(VLOOKUP(F2,Table1[#All],14,FALSE)="NAIA Presto", VLOOKUP(F2,Table2[#All],8,FALSE))</f>
        <v>2</v>
      </c>
      <c r="I18" s="14" cm="1">
        <f t="array" ref="I18">_xlfn.IFS(VLOOKUP(F2,Table1[#All],14,FALSE)="NAIA Presto", VLOOKUP(F2,Table2[#All],10,FALSE))</f>
        <v>30</v>
      </c>
      <c r="J18" s="14" cm="1">
        <f t="array" ref="J18">_xlfn.IFS(VLOOKUP(F2,Table1[#All],14,FALSE)="NAIA Presto", VLOOKUP(F2,Table2[#All],11,FALSE))</f>
        <v>29</v>
      </c>
      <c r="K18" s="14" cm="1">
        <f t="array" ref="K18">_xlfn.IFS(VLOOKUP(F2,Table1[#All],14,FALSE)="NAIA Presto", VLOOKUP(F2,Table2[#All],12,FALSE))</f>
        <v>13</v>
      </c>
      <c r="L18" s="14" cm="1">
        <f t="array" ref="L18">_xlfn.IFS(VLOOKUP(F2,Table1[#All],14,FALSE)="NAIA Presto", VLOOKUP(F2,Table2[#All],13,FALSE))</f>
        <v>12</v>
      </c>
      <c r="M18" s="14" cm="1">
        <f t="array" ref="M18">_xlfn.IFS(VLOOKUP(F2,Table1[#All],14,FALSE)="NAIA Presto", VLOOKUP(F2,Table2[#All],17,FALSE))</f>
        <v>1</v>
      </c>
      <c r="N18" s="14" cm="1">
        <f t="array" ref="N18">_xlfn.IFS(VLOOKUP(F2,Table1[#All],14,FALSE)="NAIA Presto", VLOOKUP(F2,Table2[#All],14,FALSE))</f>
        <v>9</v>
      </c>
      <c r="O18" s="14" cm="1">
        <f t="array" ref="O18">_xlfn.IFS(VLOOKUP(F2,Table1[#All],14,FALSE)="NAIA Presto", VLOOKUP(F2,Table2[#All],15,FALSE))</f>
        <v>35</v>
      </c>
      <c r="P18" s="19" cm="1">
        <f t="array" ref="P18">_xlfn.IFS(VLOOKUP(F2,Table1[#All],14,FALSE)="NAIA Presto", VLOOKUP(F2,Table2[#All],18,FALSE))</f>
        <v>3.6</v>
      </c>
      <c r="Q18" s="14">
        <v>1.27</v>
      </c>
      <c r="R18" s="19" cm="1">
        <f t="array" ref="R18">_xlfn.IFS(VLOOKUP(F2,Table1[#All],14,FALSE)="NAIA Presto", VLOOKUP(F2,Table2[#All],16,FALSE))</f>
        <v>10.5</v>
      </c>
      <c r="S18" s="2"/>
    </row>
    <row r="19" spans="2:19" x14ac:dyDescent="0.25">
      <c r="B19" s="2"/>
      <c r="C19" s="2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2"/>
    </row>
  </sheetData>
  <mergeCells count="5">
    <mergeCell ref="F13:O14"/>
    <mergeCell ref="B2:D14"/>
    <mergeCell ref="F2:M3"/>
    <mergeCell ref="N2:O3"/>
    <mergeCell ref="B16:R16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E63DB-E9C0-4DF0-99C2-188A96AE195E}">
  <dimension ref="B2:S28"/>
  <sheetViews>
    <sheetView showGridLines="0" workbookViewId="0">
      <selection activeCell="L6" sqref="L6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100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16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6'0"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205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June 18, 1998 (Junior)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Orange Park, FL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Middle Georgia State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20" t="str">
        <f>VLOOKUP(F2,Table1[#All],9,FALSE)</f>
        <v>Middle Georgia State</v>
      </c>
      <c r="D18" s="14" cm="1">
        <f t="array" ref="D18">_xlfn.IFS(VLOOKUP(F2,Table1[#All],14,FALSE)="NAIA Presto", VLOOKUP(F2,Table2[#All],4,FALSE))</f>
        <v>26</v>
      </c>
      <c r="E18" s="14" cm="1">
        <f t="array" ref="E18">_xlfn.IFS(VLOOKUP(F2,Table1[#All],14,FALSE)="NAIA Presto", VLOOKUP(F2,Table2[#All],5,FALSE))</f>
        <v>0</v>
      </c>
      <c r="F18" s="14" cm="1">
        <f t="array" ref="F18">_xlfn.IFS(VLOOKUP(F2,Table1[#All],14,FALSE)="NAIA Presto", VLOOKUP(F2,Table2[#All],6,FALSE))</f>
        <v>3</v>
      </c>
      <c r="G18" s="14" cm="1">
        <f t="array" ref="G18">_xlfn.IFS(VLOOKUP(F2,Table1[#All],14,FALSE)="NAIA Presto", VLOOKUP(F2,Table2[#All],7,FALSE))</f>
        <v>4</v>
      </c>
      <c r="H18" s="14" cm="1">
        <f t="array" ref="H18">_xlfn.IFS(VLOOKUP(F2,Table1[#All],14,FALSE)="NAIA Presto", VLOOKUP(F2,Table2[#All],8,FALSE))</f>
        <v>6</v>
      </c>
      <c r="I18" s="14" cm="1">
        <f t="array" ref="I18">_xlfn.IFS(VLOOKUP(F2,Table1[#All],14,FALSE)="NAIA Presto", VLOOKUP(F2,Table2[#All],10,FALSE))</f>
        <v>37.1</v>
      </c>
      <c r="J18" s="14" cm="1">
        <f t="array" ref="J18">_xlfn.IFS(VLOOKUP(F2,Table1[#All],14,FALSE)="NAIA Presto", VLOOKUP(F2,Table2[#All],11,FALSE))</f>
        <v>50</v>
      </c>
      <c r="K18" s="14" cm="1">
        <f t="array" ref="K18">_xlfn.IFS(VLOOKUP(F2,Table1[#All],14,FALSE)="NAIA Presto", VLOOKUP(F2,Table2[#All],12,FALSE))</f>
        <v>21</v>
      </c>
      <c r="L18" s="14" cm="1">
        <f t="array" ref="L18">_xlfn.IFS(VLOOKUP(F2,Table1[#All],14,FALSE)="NAIA Presto", VLOOKUP(F2,Table2[#All],13,FALSE))</f>
        <v>21</v>
      </c>
      <c r="M18" s="14" cm="1">
        <f t="array" ref="M18">_xlfn.IFS(VLOOKUP(F2,Table1[#All],14,FALSE)="NAIA Presto", VLOOKUP(F2,Table2[#All],17,FALSE))</f>
        <v>3</v>
      </c>
      <c r="N18" s="14" cm="1">
        <f t="array" ref="N18">_xlfn.IFS(VLOOKUP(F2,Table1[#All],14,FALSE)="NAIA Presto", VLOOKUP(F2,Table2[#All],14,FALSE))</f>
        <v>14</v>
      </c>
      <c r="O18" s="14" cm="1">
        <f t="array" ref="O18">_xlfn.IFS(VLOOKUP(F2,Table1[#All],14,FALSE)="NAIA Presto", VLOOKUP(F2,Table2[#All],15,FALSE))</f>
        <v>39</v>
      </c>
      <c r="P18" s="14" cm="1">
        <f t="array" ref="P18">_xlfn.IFS(VLOOKUP(F2,Table1[#All],14,FALSE)="NAIA Presto", VLOOKUP(F2,Table2[#All],18,FALSE))</f>
        <v>5.0599999999999996</v>
      </c>
      <c r="Q18" s="14">
        <v>1.71</v>
      </c>
      <c r="R18" s="19" cm="1">
        <f t="array" ref="R18">_xlfn.IFS(VLOOKUP(F2,Table1[#All],14,FALSE)="NAIA Presto", VLOOKUP(F2,Table2[#All],16,FALSE))</f>
        <v>9.4</v>
      </c>
      <c r="S18" s="2"/>
    </row>
    <row r="19" spans="2:19" x14ac:dyDescent="0.25">
      <c r="B19" s="2"/>
      <c r="C19" s="2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2"/>
    </row>
    <row r="20" spans="2:19" x14ac:dyDescent="0.25">
      <c r="B20" s="13" t="s">
        <v>136</v>
      </c>
      <c r="C20" s="13" t="s">
        <v>174</v>
      </c>
      <c r="D20" s="13" t="s">
        <v>148</v>
      </c>
      <c r="E20" s="13" t="s">
        <v>175</v>
      </c>
      <c r="F20" s="13" t="s">
        <v>156</v>
      </c>
      <c r="G20" s="13" t="s">
        <v>155</v>
      </c>
      <c r="H20" s="13" t="s">
        <v>176</v>
      </c>
      <c r="I20" s="13" t="s">
        <v>177</v>
      </c>
      <c r="J20" s="13" t="s">
        <v>158</v>
      </c>
      <c r="K20" s="13" t="s">
        <v>178</v>
      </c>
      <c r="L20" s="13" t="s">
        <v>179</v>
      </c>
      <c r="M20" s="13" t="s">
        <v>180</v>
      </c>
      <c r="N20" s="13" t="s">
        <v>159</v>
      </c>
      <c r="O20" s="13" t="s">
        <v>161</v>
      </c>
      <c r="P20" s="13" t="s">
        <v>181</v>
      </c>
      <c r="Q20" s="13" t="s">
        <v>182</v>
      </c>
      <c r="R20" s="13" t="s">
        <v>183</v>
      </c>
      <c r="S20" s="13" t="s">
        <v>184</v>
      </c>
    </row>
    <row r="21" spans="2:19" x14ac:dyDescent="0.25">
      <c r="B21" s="13">
        <v>2022</v>
      </c>
      <c r="C21" s="20" t="str">
        <f>VLOOKUP(F2,Table1[#All],9,FALSE)</f>
        <v>Middle Georgia State</v>
      </c>
      <c r="D21" s="13" cm="1">
        <f t="array" ref="D21">_xlfn.IFS(VLOOKUP(F2,Table1[#All],14,FALSE)="NAIA Presto",VLOOKUP(F2,Table4[#All],4,FALSE))</f>
        <v>28</v>
      </c>
      <c r="E21" s="13" cm="1">
        <f t="array" ref="E21">_xlfn.IFS(VLOOKUP(F2,Table1[#All],14,FALSE)="NAIA Presto",VLOOKUP(F2,Table4[#All],5,FALSE))</f>
        <v>3</v>
      </c>
      <c r="F21" s="13" cm="1">
        <f t="array" ref="F21">_xlfn.IFS(VLOOKUP(F2,Table1[#All],14,FALSE)="NAIA Presto",VLOOKUP(F2,Table4[#All],6,FALSE))</f>
        <v>0</v>
      </c>
      <c r="G21" s="13" cm="1">
        <f t="array" ref="G21">_xlfn.IFS(VLOOKUP(F2,Table1[#All],14,FALSE)="NAIA Presto",VLOOKUP(F2,Table4[#All],7,FALSE))</f>
        <v>1</v>
      </c>
      <c r="H21" s="13" cm="1">
        <f t="array" ref="H21">_xlfn.IFS(VLOOKUP(F2,Table1[#All],14,FALSE)="NAIA Presto",VLOOKUP(F2,Table4[#All],8,FALSE))</f>
        <v>0</v>
      </c>
      <c r="I21" s="13" cm="1">
        <f t="array" ref="I21">_xlfn.IFS(VLOOKUP(F2,Table1[#All],14,FALSE)="NAIA Presto",VLOOKUP(F2,Table4[#All],9,FALSE))</f>
        <v>0</v>
      </c>
      <c r="J21" s="13" cm="1">
        <f t="array" ref="J21">_xlfn.IFS(VLOOKUP(F2,Table1[#All],14,FALSE)="NAIA Presto",VLOOKUP(F2,Table4[#All],10,FALSE))</f>
        <v>0</v>
      </c>
      <c r="K21" s="13" cm="1">
        <f t="array" ref="K21">_xlfn.IFS(VLOOKUP(F2,Table1[#All],14,FALSE)="NAIA Presto",VLOOKUP(F2,Table4[#All],11,FALSE))</f>
        <v>1</v>
      </c>
      <c r="L21" s="13" cm="1">
        <f t="array" ref="L21">_xlfn.IFS(VLOOKUP(F2,Table1[#All],14,FALSE)="NAIA Presto",VLOOKUP(F2,Table4[#All],14,FALSE))</f>
        <v>0</v>
      </c>
      <c r="M21" s="13" cm="1">
        <f t="array" ref="M21">_xlfn.IFS(VLOOKUP(F2,Table1[#All],14,FALSE)="NAIA Presto",VLOOKUP(F2,Table4[#All],15,FALSE))</f>
        <v>0</v>
      </c>
      <c r="N21" s="13" cm="1">
        <f t="array" ref="N21">_xlfn.IFS(VLOOKUP(F2,Table1[#All],14,FALSE)="NAIA Presto",VLOOKUP(F2,Table4[#All],12,FALSE))</f>
        <v>0</v>
      </c>
      <c r="O21" s="13" cm="1">
        <f t="array" ref="O21">_xlfn.IFS(VLOOKUP(F2,Table1[#All],14,FALSE)="NAIA Presto",VLOOKUP(F2,Table4[#All],13,FALSE))</f>
        <v>1</v>
      </c>
      <c r="P21" s="16" cm="1">
        <f t="array" ref="P21">_xlfn.IFS(VLOOKUP(F2,Table1[#All],14,FALSE)="NAIA Presto",VLOOKUP(F2,Table4[#All],16,FALSE))</f>
        <v>0.33300000000000002</v>
      </c>
      <c r="Q21" s="16" cm="1">
        <f t="array" ref="Q21">_xlfn.IFS(VLOOKUP(F2,Table1[#All],14,FALSE)="NAIA Presto",VLOOKUP(F2,Table4[#All],17,FALSE))</f>
        <v>0.5</v>
      </c>
      <c r="R21" s="16" cm="1">
        <f t="array" ref="R21">_xlfn.IFS(VLOOKUP(F2,Table1[#All],14,FALSE)="NAIA Presto",VLOOKUP(F2,Table4[#All],18,FALSE))</f>
        <v>0.33300000000000002</v>
      </c>
      <c r="S21" s="16" cm="1">
        <f t="array" ref="S21">_xlfn.IFS(VLOOKUP(F2,Table1[#All],14,FALSE)="NAIA Presto",Q21+R21)</f>
        <v>0.83299999999999996</v>
      </c>
    </row>
    <row r="23" spans="2:19" x14ac:dyDescent="0.25">
      <c r="B23" s="44" t="s">
        <v>472</v>
      </c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</row>
    <row r="24" spans="2:19" x14ac:dyDescent="0.25">
      <c r="B24" s="13" t="s">
        <v>136</v>
      </c>
      <c r="C24" s="13" t="s">
        <v>187</v>
      </c>
      <c r="D24" s="13" t="s">
        <v>148</v>
      </c>
      <c r="E24" s="13" t="s">
        <v>149</v>
      </c>
      <c r="F24" s="13" t="s">
        <v>143</v>
      </c>
      <c r="G24" s="13" t="s">
        <v>144</v>
      </c>
      <c r="H24" s="13" t="s">
        <v>153</v>
      </c>
      <c r="I24" s="13" t="s">
        <v>154</v>
      </c>
      <c r="J24" s="13" t="s">
        <v>155</v>
      </c>
      <c r="K24" s="13" t="s">
        <v>156</v>
      </c>
      <c r="L24" s="13" t="s">
        <v>157</v>
      </c>
      <c r="M24" s="13" t="s">
        <v>158</v>
      </c>
      <c r="N24" s="13" t="s">
        <v>159</v>
      </c>
      <c r="O24" s="13" t="s">
        <v>161</v>
      </c>
      <c r="P24" s="13" t="s">
        <v>146</v>
      </c>
      <c r="Q24" s="13" t="s">
        <v>166</v>
      </c>
      <c r="R24" s="13" t="s">
        <v>185</v>
      </c>
      <c r="S24" s="2"/>
    </row>
    <row r="25" spans="2:19" x14ac:dyDescent="0.25">
      <c r="B25" s="13">
        <f>VLOOKUP(F2,Table3[#All],2,FALSE)</f>
        <v>2021</v>
      </c>
      <c r="C25" s="20" t="str" cm="1">
        <f t="array" ref="C25">_xlfn.IFS(VLOOKUP(F2,Table1[#All],15,FALSE)="BR",VLOOKUP(F2,Table3[#All],5,FALSE),VLOOKUP(F2,Table1[#All],15,FALSE)="Pointstreak",VLOOKUP(F2,Table3[#All],3,FALSE))</f>
        <v>Intercoastal Dolphins</v>
      </c>
      <c r="D25" s="13" cm="1">
        <f t="array" ref="D25">_xlfn.IFS(VLOOKUP(F2,Table1[#All],15,FALSE)="BR",VLOOKUP(F2,Table3[#All],14,FALSE),VLOOKUP(F2,Table1[#All],15,FALSE)="Pointstreak",VLOOKUP(F2,Table3[#All],7,FALSE))</f>
        <v>8</v>
      </c>
      <c r="E25" s="13" cm="1">
        <f t="array" ref="E25">_xlfn.IFS(VLOOKUP(F2,Table1[#All],15,FALSE)="BR",VLOOKUP(F2,Table3[#All],15,FALSE),VLOOKUP(F2,Table1[#All],15,FALSE)="Pointstreak",VLOOKUP(F2,Table3[#All],8,FALSE))</f>
        <v>8</v>
      </c>
      <c r="F25" s="13" cm="1">
        <f t="array" ref="F25">_xlfn.IFS(VLOOKUP(F2,Table1[#All],15,FALSE)="BR",VLOOKUP(F2,Table3[#All],9,FALSE),VLOOKUP(F2,Table1[#All],15,FALSE)="Pointstreak",VLOOKUP(F2,Table3[#All],4,FALSE))</f>
        <v>7</v>
      </c>
      <c r="G25" s="13" cm="1">
        <f t="array" ref="G25">_xlfn.IFS(VLOOKUP(F2,Table1[#All],15,FALSE)="BR",VLOOKUP(F2,Table3[#All],10,FALSE),VLOOKUP(F2,Table1[#All],15,FALSE)="Pointstreak",VLOOKUP(F2,Table3[#All],5,FALSE))</f>
        <v>0</v>
      </c>
      <c r="H25" s="13" cm="1">
        <f t="array" ref="H25">_xlfn.IFS(VLOOKUP(F2,Table1[#All],15,FALSE)="BR",VLOOKUP(F2,Table3[#All],19,FALSE),VLOOKUP(F2,Table1[#All],15,FALSE)="Pointstreak",VLOOKUP(F2,Table3[#All],10,FALSE))</f>
        <v>0</v>
      </c>
      <c r="I25" s="13" cm="1">
        <f t="array" ref="I25">_xlfn.IFS(VLOOKUP(F2,Table1[#All],15,FALSE)="BR",VLOOKUP(F2,Table3[#All],20,FALSE),VLOOKUP(F2,Table1[#All],15,FALSE)="Pointstreak",VLOOKUP(F2,Table3[#All],11,FALSE))</f>
        <v>53</v>
      </c>
      <c r="J25" s="13" cm="1">
        <f t="array" ref="J25">_xlfn.IFS(VLOOKUP(F2,Table1[#All],15,FALSE)="BR",VLOOKUP(F2,Table3[#All],21,FALSE),VLOOKUP(F2,Table1[#All],15,FALSE)="Pointstreak",VLOOKUP(F2,Table3[#All],14,FALSE))</f>
        <v>50</v>
      </c>
      <c r="K25" s="13">
        <v>11</v>
      </c>
      <c r="L25" s="13">
        <v>9</v>
      </c>
      <c r="M25" s="13">
        <v>4</v>
      </c>
      <c r="N25" s="13" cm="1">
        <f t="array" ref="N25">_xlfn.IFS(VLOOKUP(F2,Table1[#All],15,FALSE)="BR",VLOOKUP(F2,Table3[#All],25,FALSE),VLOOKUP(F2,Table1[#All],15,FALSE)="Pointstreak",VLOOKUP(F2,Table3[#All],13,FALSE))</f>
        <v>7</v>
      </c>
      <c r="O25" s="13" cm="1">
        <f t="array" ref="O25">_xlfn.IFS(VLOOKUP(F2,Table1[#All],15,FALSE)="BR",VLOOKUP(F2,Table3[#All],27,FALSE),VLOOKUP(F2,Table1[#All],15,FALSE)="Pointstreak",VLOOKUP(F2,Table3[#All],12,FALSE))</f>
        <v>61</v>
      </c>
      <c r="P25" s="13" cm="1">
        <f t="array" ref="P25">_xlfn.IFS(VLOOKUP(F2,Table1[#All],15,FALSE)="BR",VLOOKUP(F2,Table3[#All],12,FALSE),VLOOKUP(F2,Table1[#All],15,FALSE)="Pointstreak",VLOOKUP(F2,Table3[#All],6,FALSE))</f>
        <v>1.52</v>
      </c>
      <c r="Q25" s="15">
        <v>1.08</v>
      </c>
      <c r="R25" s="13">
        <v>10.36</v>
      </c>
      <c r="S25" s="2"/>
    </row>
    <row r="26" spans="2:19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x14ac:dyDescent="0.25">
      <c r="B27" s="13" t="s">
        <v>136</v>
      </c>
      <c r="C27" s="13" t="s">
        <v>187</v>
      </c>
      <c r="D27" s="13" t="s">
        <v>148</v>
      </c>
      <c r="E27" s="13" t="s">
        <v>175</v>
      </c>
      <c r="F27" s="13" t="s">
        <v>156</v>
      </c>
      <c r="G27" s="13" t="s">
        <v>155</v>
      </c>
      <c r="H27" s="13" t="s">
        <v>176</v>
      </c>
      <c r="I27" s="13" t="s">
        <v>177</v>
      </c>
      <c r="J27" s="13" t="s">
        <v>158</v>
      </c>
      <c r="K27" s="13" t="s">
        <v>178</v>
      </c>
      <c r="L27" s="13" t="s">
        <v>179</v>
      </c>
      <c r="M27" s="13" t="s">
        <v>180</v>
      </c>
      <c r="N27" s="13" t="s">
        <v>159</v>
      </c>
      <c r="O27" s="13" t="s">
        <v>161</v>
      </c>
      <c r="P27" s="13" t="s">
        <v>181</v>
      </c>
      <c r="Q27" s="13" t="s">
        <v>182</v>
      </c>
      <c r="R27" s="13" t="s">
        <v>183</v>
      </c>
      <c r="S27" s="13" t="s">
        <v>184</v>
      </c>
    </row>
    <row r="28" spans="2:19" x14ac:dyDescent="0.25">
      <c r="B28" s="13" cm="1">
        <f t="array" ref="B28">_xlfn.IFS(VLOOKUP(F2,Table1[#All],15,FALSE)="BR",VLOOKUP(F2,Table5[#All],2,FALSE),VLOOKUP(F2,Table1[#All],15,FALSE)="Pointstreak",VLOOKUP(F2,Table5[#All],2,FALSE))</f>
        <v>2021</v>
      </c>
      <c r="C28" s="20" t="str" cm="1">
        <f t="array" ref="C28">_xlfn.IFS(VLOOKUP(F2,Table1[#All],15,FALSE)="BR",VLOOKUP(F2,Table5[#All],5,FALSE),VLOOKUP(F2,Table1[#All],15,FALSE)="Pointstreak",VLOOKUP(F2,Table5[#All],3,FALSE))</f>
        <v>Intercoastal Dolphins</v>
      </c>
      <c r="D28" s="13" cm="1">
        <f t="array" ref="D28">_xlfn.IFS(VLOOKUP(F2,Table1[#All],15,FALSE)="BR",VLOOKUP(F2,Table5[#All],9,FALSE),VLOOKUP(F2,Table1[#All],15,FALSE)="Pointstreak",VLOOKUP(F2,Table5[#All],4,FALSE))</f>
        <v>24</v>
      </c>
      <c r="E28" s="13" cm="1">
        <f t="array" ref="E28">_xlfn.IFS(VLOOKUP(F2,Table1[#All],15,FALSE)="BR",VLOOKUP(F2,Table5[#All],11,FALSE),VLOOKUP(F2,Table1[#All],15,FALSE)="Pointstreak",VLOOKUP(F2,Table5[#All],5,FALSE))</f>
        <v>54</v>
      </c>
      <c r="F28" s="13" cm="1">
        <f t="array" ref="F28">_xlfn.IFS(VLOOKUP(F2,Table1[#All],15,FALSE)="BR",VLOOKUP(F2,Table5[#All],12,FALSE),VLOOKUP(F2,Table1[#All],15,FALSE)="Pointstreak",VLOOKUP(F2,Table5[#All],6,FALSE))</f>
        <v>9</v>
      </c>
      <c r="G28" s="13" cm="1">
        <f t="array" ref="G28">_xlfn.IFS(VLOOKUP(F2,Table1[#All],15,FALSE)="BR",VLOOKUP(F2,Table5[#All],13,FALSE),VLOOKUP(F2,Table1[#All],15,FALSE)="Pointstreak",VLOOKUP(F2,Table5[#All],7,FALSE))</f>
        <v>9</v>
      </c>
      <c r="H28" s="13" cm="1">
        <f t="array" ref="H28">_xlfn.IFS(VLOOKUP(F2,Table1[#All],15,FALSE)="BR",VLOOKUP(F2,Table5[#All],14,FALSE),VLOOKUP(F2,Table1[#All],15,FALSE)="Pointstreak",VLOOKUP(F2,Table5[#All],8,FALSE))</f>
        <v>3</v>
      </c>
      <c r="I28" s="13" cm="1">
        <f t="array" ref="I28">_xlfn.IFS(VLOOKUP(F2,Table1[#All],15,FALSE)="BR",VLOOKUP(F2,Table5[#All],15,FALSE),VLOOKUP(F2,Table1[#All],15,FALSE)="Pointstreak",VLOOKUP(F2,Table5[#All],9,FALSE))</f>
        <v>0</v>
      </c>
      <c r="J28" s="13" cm="1">
        <f t="array" ref="J28">_xlfn.IFS(VLOOKUP(F2,Table1[#All],15,FALSE)="BR",VLOOKUP(F2,Table5[#All],16,FALSE),VLOOKUP(F2,Table1[#All],15,FALSE)="Pointstreak",VLOOKUP(F2,Table5[#All],10,FALSE))</f>
        <v>0</v>
      </c>
      <c r="K28" s="13" cm="1">
        <f t="array" ref="K28">_xlfn.IFS(VLOOKUP(F2,Table1[#All],15,FALSE)="BR",VLOOKUP(F2,Table5[#All],17,FALSE),VLOOKUP(F2,Table1[#All],15,FALSE)="Pointstreak",VLOOKUP(F2,Table5[#All],11,FALSE))</f>
        <v>9</v>
      </c>
      <c r="L28" s="13" cm="1">
        <f t="array" ref="L28">_xlfn.IFS(VLOOKUP(F2,Table1[#All],15,FALSE)="BR",VLOOKUP(F2,Table5[#All],18,FALSE),VLOOKUP(F2,Table1[#All],15,FALSE)="Pointstreak",VLOOKUP(F2,Table5[#All],14,FALSE))</f>
        <v>5</v>
      </c>
      <c r="M28" s="13">
        <v>1</v>
      </c>
      <c r="N28" s="13" cm="1">
        <f t="array" ref="N28">_xlfn.IFS(VLOOKUP(F2,Table1[#All],15,FALSE)="BR",VLOOKUP(F2,Table5[#All],20,FALSE),VLOOKUP(F2,Table1[#All],15,FALSE)="Pointstreak",VLOOKUP(F2,Table5[#All],12,FALSE))</f>
        <v>17</v>
      </c>
      <c r="O28" s="13" cm="1">
        <f t="array" ref="O28">_xlfn.IFS(VLOOKUP(F2,Table1[#All],15,FALSE)="BR",VLOOKUP(F2,Table5[#All],21,FALSE),VLOOKUP(F2,Table1[#All],15,FALSE)="Pointstreak",VLOOKUP(F2,Table5[#All],13,FALSE))</f>
        <v>26</v>
      </c>
      <c r="P28" s="16" cm="1">
        <f t="array" ref="P28">_xlfn.IFS(VLOOKUP(F2,Table1[#All],15,FALSE)="BR",VLOOKUP(F2,Table5[#All],22,FALSE),VLOOKUP(F2,Table1[#All],15,FALSE)="Pointstreak",VLOOKUP(F2,Table5[#All],15,FALSE))</f>
        <v>0.16700000000000001</v>
      </c>
      <c r="Q28" s="16">
        <v>0.378</v>
      </c>
      <c r="R28" s="16" cm="1">
        <f t="array" ref="R28">_xlfn.IFS(VLOOKUP(F2,Table1[#All],15,FALSE)="BR",VLOOKUP(F2,Table5[#All],24,FALSE),VLOOKUP(F2,Table1[#All],15,FALSE)="Pointstreak",((G28-H28-I28-J28)+2*H28+3*I28+4*J28)/E28)</f>
        <v>0.22222222222222221</v>
      </c>
      <c r="S28" s="16" cm="1">
        <f t="array" ref="S28">_xlfn.IFS(VLOOKUP(F2,Table1[#All],15,FALSE)="BR",VLOOKUP(F2,Table5[#All],25,FALSE),VLOOKUP(F2,Table1[#All],15,FALSE)="Pointstreak",Q28+R28)</f>
        <v>0.60022222222222221</v>
      </c>
    </row>
  </sheetData>
  <mergeCells count="7">
    <mergeCell ref="B23:S23"/>
    <mergeCell ref="F13:O14"/>
    <mergeCell ref="B16:S16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FF7F1-BC0C-46A5-BCF3-140E4BA94C33}">
  <dimension ref="B2:S19"/>
  <sheetViews>
    <sheetView showGridLines="0" workbookViewId="0">
      <selection activeCell="B2" sqref="B2:R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101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28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6'4"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215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May 21, 2001 (Junior)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Omaha, NE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Concordia-Nebraska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13" t="str">
        <f>VLOOKUP(F2,Table1[#All],9,FALSE)</f>
        <v>Concordia-Nebraska</v>
      </c>
      <c r="D18" s="14" cm="1">
        <f t="array" ref="D18">_xlfn.IFS(VLOOKUP(F2,Table1[#All],14,FALSE)="NAIA Presto", VLOOKUP(F2,Table2[#All],4,FALSE))</f>
        <v>20</v>
      </c>
      <c r="E18" s="14" cm="1">
        <f t="array" ref="E18">_xlfn.IFS(VLOOKUP(F2,Table1[#All],14,FALSE)="NAIA Presto", VLOOKUP(F2,Table2[#All],5,FALSE))</f>
        <v>0</v>
      </c>
      <c r="F18" s="14" cm="1">
        <f t="array" ref="F18">_xlfn.IFS(VLOOKUP(F2,Table1[#All],14,FALSE)="NAIA Presto", VLOOKUP(F2,Table2[#All],6,FALSE))</f>
        <v>3</v>
      </c>
      <c r="G18" s="14" cm="1">
        <f t="array" ref="G18">_xlfn.IFS(VLOOKUP(F2,Table1[#All],14,FALSE)="NAIA Presto", VLOOKUP(F2,Table2[#All],7,FALSE))</f>
        <v>2</v>
      </c>
      <c r="H18" s="14" cm="1">
        <f t="array" ref="H18">_xlfn.IFS(VLOOKUP(F2,Table1[#All],14,FALSE)="NAIA Presto", VLOOKUP(F2,Table2[#All],8,FALSE))</f>
        <v>3</v>
      </c>
      <c r="I18" s="14" cm="1">
        <f t="array" ref="I18">_xlfn.IFS(VLOOKUP(F2,Table1[#All],14,FALSE)="NAIA Presto", VLOOKUP(F2,Table2[#All],10,FALSE))</f>
        <v>28.1</v>
      </c>
      <c r="J18" s="14" cm="1">
        <f t="array" ref="J18">_xlfn.IFS(VLOOKUP(F2,Table1[#All],14,FALSE)="NAIA Presto", VLOOKUP(F2,Table2[#All],11,FALSE))</f>
        <v>24</v>
      </c>
      <c r="K18" s="14" cm="1">
        <f t="array" ref="K18">_xlfn.IFS(VLOOKUP(F2,Table1[#All],14,FALSE)="NAIA Presto", VLOOKUP(F2,Table2[#All],12,FALSE))</f>
        <v>17</v>
      </c>
      <c r="L18" s="14" cm="1">
        <f t="array" ref="L18">_xlfn.IFS(VLOOKUP(F2,Table1[#All],14,FALSE)="NAIA Presto", VLOOKUP(F2,Table2[#All],13,FALSE))</f>
        <v>13</v>
      </c>
      <c r="M18" s="14" cm="1">
        <f t="array" ref="M18">_xlfn.IFS(VLOOKUP(F2,Table1[#All],14,FALSE)="NAIA Presto", VLOOKUP(F2,Table2[#All],17,FALSE))</f>
        <v>2</v>
      </c>
      <c r="N18" s="14" cm="1">
        <f t="array" ref="N18">_xlfn.IFS(VLOOKUP(F2,Table1[#All],14,FALSE)="NAIA Presto", VLOOKUP(F2,Table2[#All],14,FALSE))</f>
        <v>23</v>
      </c>
      <c r="O18" s="14" cm="1">
        <f t="array" ref="O18">_xlfn.IFS(VLOOKUP(F2,Table1[#All],14,FALSE)="NAIA Presto", VLOOKUP(F2,Table2[#All],15,FALSE))</f>
        <v>36</v>
      </c>
      <c r="P18" s="14" cm="1">
        <f t="array" ref="P18">_xlfn.IFS(VLOOKUP(F2,Table1[#All],14,FALSE)="NAIA Presto", VLOOKUP(F2,Table2[#All],18,FALSE))</f>
        <v>4.13</v>
      </c>
      <c r="Q18" s="14">
        <v>1.66</v>
      </c>
      <c r="R18" s="14" cm="1">
        <f t="array" ref="R18">_xlfn.IFS(VLOOKUP(F2,Table1[#All],14,FALSE)="NAIA Presto", VLOOKUP(F2,Table2[#All],16,FALSE))</f>
        <v>11.44</v>
      </c>
      <c r="S18" s="2"/>
    </row>
    <row r="19" spans="2:19" x14ac:dyDescent="0.25">
      <c r="B19" s="2"/>
      <c r="C19" s="2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2"/>
    </row>
  </sheetData>
  <mergeCells count="5">
    <mergeCell ref="F13:O14"/>
    <mergeCell ref="B2:D14"/>
    <mergeCell ref="F2:M3"/>
    <mergeCell ref="N2:O3"/>
    <mergeCell ref="B16:R16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0A689-303E-45A3-8C59-16AC12BAF076}">
  <dimension ref="B2:S23"/>
  <sheetViews>
    <sheetView showGridLines="0" workbookViewId="0">
      <selection activeCell="B2" sqref="B2:R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102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12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6'4"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240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June 23, 1999 (Senior)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Gypsum, CO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Middle Georgia State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20" t="str">
        <f>VLOOKUP(F2,Table1[#All],9,FALSE)</f>
        <v>Middle Georgia State</v>
      </c>
      <c r="D18" s="14" cm="1">
        <f t="array" ref="D18">_xlfn.IFS(VLOOKUP(F2,Table1[#All],14,FALSE)="NAIA Presto", VLOOKUP(F2,Table2[#All],4,FALSE))</f>
        <v>15</v>
      </c>
      <c r="E18" s="14" cm="1">
        <f t="array" ref="E18">_xlfn.IFS(VLOOKUP(F2,Table1[#All],14,FALSE)="NAIA Presto", VLOOKUP(F2,Table2[#All],5,FALSE))</f>
        <v>14</v>
      </c>
      <c r="F18" s="14" cm="1">
        <f t="array" ref="F18">_xlfn.IFS(VLOOKUP(F2,Table1[#All],14,FALSE)="NAIA Presto", VLOOKUP(F2,Table2[#All],6,FALSE))</f>
        <v>7</v>
      </c>
      <c r="G18" s="14" cm="1">
        <f t="array" ref="G18">_xlfn.IFS(VLOOKUP(F2,Table1[#All],14,FALSE)="NAIA Presto", VLOOKUP(F2,Table2[#All],7,FALSE))</f>
        <v>4</v>
      </c>
      <c r="H18" s="14" cm="1">
        <f t="array" ref="H18">_xlfn.IFS(VLOOKUP(F2,Table1[#All],14,FALSE)="NAIA Presto", VLOOKUP(F2,Table2[#All],8,FALSE))</f>
        <v>0</v>
      </c>
      <c r="I18" s="14" cm="1">
        <f t="array" ref="I18">_xlfn.IFS(VLOOKUP(F2,Table1[#All],14,FALSE)="NAIA Presto", VLOOKUP(F2,Table2[#All],10,FALSE))</f>
        <v>87.1</v>
      </c>
      <c r="J18" s="14" cm="1">
        <f t="array" ref="J18">_xlfn.IFS(VLOOKUP(F2,Table1[#All],14,FALSE)="NAIA Presto", VLOOKUP(F2,Table2[#All],11,FALSE))</f>
        <v>71</v>
      </c>
      <c r="K18" s="14" cm="1">
        <f t="array" ref="K18">_xlfn.IFS(VLOOKUP(F2,Table1[#All],14,FALSE)="NAIA Presto", VLOOKUP(F2,Table2[#All],12,FALSE))</f>
        <v>31</v>
      </c>
      <c r="L18" s="14" cm="1">
        <f t="array" ref="L18">_xlfn.IFS(VLOOKUP(F2,Table1[#All],14,FALSE)="NAIA Presto", VLOOKUP(F2,Table2[#All],13,FALSE))</f>
        <v>30</v>
      </c>
      <c r="M18" s="14" cm="1">
        <f t="array" ref="M18">_xlfn.IFS(VLOOKUP(F2,Table1[#All],14,FALSE)="NAIA Presto", VLOOKUP(F2,Table2[#All],17,FALSE))</f>
        <v>5</v>
      </c>
      <c r="N18" s="14" cm="1">
        <f t="array" ref="N18">_xlfn.IFS(VLOOKUP(F2,Table1[#All],14,FALSE)="NAIA Presto", VLOOKUP(F2,Table2[#All],14,FALSE))</f>
        <v>27</v>
      </c>
      <c r="O18" s="14" cm="1">
        <f t="array" ref="O18">_xlfn.IFS(VLOOKUP(F2,Table1[#All],14,FALSE)="NAIA Presto", VLOOKUP(F2,Table2[#All],15,FALSE))</f>
        <v>99</v>
      </c>
      <c r="P18" s="14" cm="1">
        <f t="array" ref="P18">_xlfn.IFS(VLOOKUP(F2,Table1[#All],14,FALSE)="NAIA Presto", VLOOKUP(F2,Table2[#All],18,FALSE))</f>
        <v>3.09</v>
      </c>
      <c r="Q18" s="14">
        <v>1.1200000000000001</v>
      </c>
      <c r="R18" s="19" cm="1">
        <f t="array" ref="R18">_xlfn.IFS(VLOOKUP(F2,Table1[#All],14,FALSE)="NAIA Presto", VLOOKUP(F2,Table2[#All],16,FALSE))</f>
        <v>10.199999999999999</v>
      </c>
      <c r="S18" s="2"/>
    </row>
    <row r="20" spans="2:19" x14ac:dyDescent="0.25">
      <c r="B20" s="44" t="s">
        <v>466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149</v>
      </c>
      <c r="F21" s="13" t="s">
        <v>143</v>
      </c>
      <c r="G21" s="13" t="s">
        <v>144</v>
      </c>
      <c r="H21" s="13" t="s">
        <v>153</v>
      </c>
      <c r="I21" s="13" t="s">
        <v>154</v>
      </c>
      <c r="J21" s="13" t="s">
        <v>155</v>
      </c>
      <c r="K21" s="13" t="s">
        <v>156</v>
      </c>
      <c r="L21" s="13" t="s">
        <v>157</v>
      </c>
      <c r="M21" s="13" t="s">
        <v>158</v>
      </c>
      <c r="N21" s="13" t="s">
        <v>159</v>
      </c>
      <c r="O21" s="13" t="s">
        <v>161</v>
      </c>
      <c r="P21" s="13" t="s">
        <v>146</v>
      </c>
      <c r="Q21" s="13" t="s">
        <v>166</v>
      </c>
      <c r="R21" s="13" t="s">
        <v>185</v>
      </c>
      <c r="S21" s="2"/>
    </row>
    <row r="22" spans="2:19" x14ac:dyDescent="0.25">
      <c r="B22" s="13">
        <f>VLOOKUP(F2,Table3[#All],2,FALSE)</f>
        <v>2020</v>
      </c>
      <c r="C22" s="13" t="str" cm="1">
        <f t="array" ref="C22">_xlfn.IFS(VLOOKUP(F2,Table1[#All],15,FALSE)="BR",VLOOKUP(F2,Table3[#All],5,FALSE),VLOOKUP(F2,Table1[#All],15,FALSE)="Pointstreak",VLOOKUP(F2,Table3[#All],3,FALSE))</f>
        <v>Green Bay Booyah</v>
      </c>
      <c r="D22" s="13" cm="1">
        <f t="array" ref="D22">_xlfn.IFS(VLOOKUP(F2,Table1[#All],15,FALSE)="BR",VLOOKUP(F2,Table3[#All],14,FALSE),VLOOKUP(F2,Table1[#All],15,FALSE)="Pointstreak",VLOOKUP(F2,Table3[#All],7,FALSE))</f>
        <v>6</v>
      </c>
      <c r="E22" s="13" cm="1">
        <f t="array" ref="E22">_xlfn.IFS(VLOOKUP(F2,Table1[#All],15,FALSE)="BR",VLOOKUP(F2,Table3[#All],15,FALSE),VLOOKUP(F2,Table1[#All],15,FALSE)="Pointstreak",VLOOKUP(F2,Table3[#All],8,FALSE))</f>
        <v>6</v>
      </c>
      <c r="F22" s="13" cm="1">
        <f t="array" ref="F22">_xlfn.IFS(VLOOKUP(F2,Table1[#All],15,FALSE)="BR",VLOOKUP(F2,Table3[#All],9,FALSE),VLOOKUP(F2,Table1[#All],15,FALSE)="Pointstreak",VLOOKUP(F2,Table3[#All],4,FALSE))</f>
        <v>2</v>
      </c>
      <c r="G22" s="13" cm="1">
        <f t="array" ref="G22">_xlfn.IFS(VLOOKUP(F2,Table1[#All],15,FALSE)="BR",VLOOKUP(F2,Table3[#All],10,FALSE),VLOOKUP(F2,Table1[#All],15,FALSE)="Pointstreak",VLOOKUP(F2,Table3[#All],5,FALSE))</f>
        <v>1</v>
      </c>
      <c r="H22" s="13" cm="1">
        <f t="array" ref="H22">_xlfn.IFS(VLOOKUP(F2,Table1[#All],15,FALSE)="BR",VLOOKUP(F2,Table3[#All],19,FALSE),VLOOKUP(F2,Table1[#All],15,FALSE)="Pointstreak",VLOOKUP(F2,Table3[#All],10,FALSE))</f>
        <v>0</v>
      </c>
      <c r="I22" s="13" cm="1">
        <f t="array" ref="I22">_xlfn.IFS(VLOOKUP(F2,Table1[#All],15,FALSE)="BR",VLOOKUP(F2,Table3[#All],20,FALSE),VLOOKUP(F2,Table1[#All],15,FALSE)="Pointstreak",VLOOKUP(F2,Table3[#All],11,FALSE))</f>
        <v>23.2</v>
      </c>
      <c r="J22" s="13" cm="1">
        <f t="array" ref="J22">_xlfn.IFS(VLOOKUP(F2,Table1[#All],15,FALSE)="BR",VLOOKUP(F2,Table3[#All],21,FALSE),VLOOKUP(F2,Table1[#All],15,FALSE)="Pointstreak",VLOOKUP(F2,Table3[#All],14,FALSE))</f>
        <v>17</v>
      </c>
      <c r="K22" s="13" cm="1">
        <f t="array" ref="K22">_xlfn.IFS(VLOOKUP(F2,Table1[#All],15,FALSE)="BR",VLOOKUP(F2,Table3[#All],22,FALSE),VLOOKUP(F2,Table1[#All],15,FALSE)="Pointstreak","")</f>
        <v>10</v>
      </c>
      <c r="L22" s="13" cm="1">
        <f t="array" ref="L22">_xlfn.IFS(VLOOKUP(F2,Table1[#All],15,FALSE)="BR",VLOOKUP(F2,Table3[#All],23,FALSE),VLOOKUP(F2,Table1[#All],15,FALSE)="Pointstreak","")</f>
        <v>9</v>
      </c>
      <c r="M22" s="13" cm="1">
        <f t="array" ref="M22">_xlfn.IFS(VLOOKUP(F2,Table1[#All],15,FALSE)="BR",VLOOKUP(F2,Table3[#All],24,FALSE),VLOOKUP(F2,Table1[#All],15,FALSE)="Pointstreak","")</f>
        <v>1</v>
      </c>
      <c r="N22" s="13" cm="1">
        <f t="array" ref="N22">_xlfn.IFS(VLOOKUP(F2,Table1[#All],15,FALSE)="BR",VLOOKUP(F2,Table3[#All],25,FALSE),VLOOKUP(F2,Table1[#All],15,FALSE)="Pointstreak",VLOOKUP(F2,Table3[#All],13,FALSE))</f>
        <v>14</v>
      </c>
      <c r="O22" s="13" cm="1">
        <f t="array" ref="O22">_xlfn.IFS(VLOOKUP(F2,Table1[#All],15,FALSE)="BR",VLOOKUP(F2,Table3[#All],27,FALSE),VLOOKUP(F2,Table1[#All],15,FALSE)="Pointstreak",VLOOKUP(F2,Table3[#All],12,FALSE))</f>
        <v>28</v>
      </c>
      <c r="P22" s="13" cm="1">
        <f t="array" ref="P22">_xlfn.IFS(VLOOKUP(F2,Table1[#All],15,FALSE)="BR",VLOOKUP(F2,Table3[#All],12,FALSE),VLOOKUP(F2,Table1[#All],15,FALSE)="Pointstreak",VLOOKUP(F2,Table3[#All],6,FALSE))</f>
        <v>3.42</v>
      </c>
      <c r="Q22" s="15" cm="1">
        <f t="array" ref="Q22">_xlfn.IFS(VLOOKUP(F2,Table1[#All],15,FALSE)="BR",VLOOKUP(F2,Table3[#All],32,FALSE),VLOOKUP(F2,Table1[#All],15,FALSE)="Pointstreak","")</f>
        <v>1.31</v>
      </c>
      <c r="R22" s="15" cm="1">
        <f t="array" ref="R22">_xlfn.IFS(VLOOKUP(F2,Table1[#All],15,FALSE)="BR",VLOOKUP(F2,Table3[#All],36,FALSE),VLOOKUP(F2,Table1[#All],15,FALSE)="Pointstreak","")</f>
        <v>10.6</v>
      </c>
      <c r="S22" s="2"/>
    </row>
    <row r="23" spans="2:19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</sheetData>
  <mergeCells count="6">
    <mergeCell ref="B20:S20"/>
    <mergeCell ref="F13:O14"/>
    <mergeCell ref="B2:D14"/>
    <mergeCell ref="F2:M3"/>
    <mergeCell ref="N2:O3"/>
    <mergeCell ref="B16:R16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F87E9-AAA6-4FFF-B193-6388F270D34B}">
  <dimension ref="B2:S18"/>
  <sheetViews>
    <sheetView showGridLines="0" workbookViewId="0">
      <selection activeCell="B2" sqref="B2:S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476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24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28"/>
      <c r="H4" s="28"/>
      <c r="I4" s="28"/>
      <c r="J4" s="28"/>
      <c r="K4" s="28"/>
      <c r="L4" s="28"/>
      <c r="M4" s="28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Outfielder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9"/>
      <c r="C8" s="49"/>
      <c r="D8" s="49"/>
      <c r="F8" s="28" t="str">
        <f>"Height: " &amp; VLOOKUP(F2,Table1[#All],6,FALSE)</f>
        <v>Height: 6'2"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9"/>
      <c r="C9" s="49"/>
      <c r="D9" s="49"/>
      <c r="F9" s="28" t="str">
        <f>"Weight: " &amp; VLOOKUP(F2,Table1[#All],7,FALSE)</f>
        <v>Weight: 220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July 25, 1999 (Junior)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Southgate, MI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Madonna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Madonna</v>
      </c>
      <c r="D18" s="13" cm="1">
        <f t="array" ref="D18">_xlfn.IFS(VLOOKUP(F2,Table1[#All],14,FALSE)="NAIA Presto",VLOOKUP(F2,Table4[#All],4,FALSE),VLOOKUP(F2,Table1[#All],14,FALSE)="BR",VLOOKUP(F2,Table4[#All],9,FALSE))</f>
        <v>38</v>
      </c>
      <c r="E18" s="13" cm="1">
        <f t="array" ref="E18">_xlfn.IFS(VLOOKUP(F2,Table1[#All],14,FALSE)="NAIA Presto",VLOOKUP(F2,Table4[#All],5,FALSE),VLOOKUP(F2,Table1[#All],14,FALSE)="BR",VLOOKUP(F2,Table4[#All],11,FALSE))</f>
        <v>129</v>
      </c>
      <c r="F18" s="13" cm="1">
        <f t="array" ref="F18">_xlfn.IFS(VLOOKUP(F2,Table1[#All],14,FALSE)="NAIA Presto",VLOOKUP(F2,Table4[#All],6,FALSE),VLOOKUP(F2,Table1[#All],14,FALSE)="BR",VLOOKUP(F2,Table4[#All],12,FALSE))</f>
        <v>50</v>
      </c>
      <c r="G18" s="13" cm="1">
        <f t="array" ref="G18">_xlfn.IFS(VLOOKUP(F2,Table1[#All],14,FALSE)="NAIA Presto",VLOOKUP(F2,Table4[#All],7,FALSE),VLOOKUP(F2,Table1[#All],14,FALSE)="BR",VLOOKUP(F2,Table4[#All],13,FALSE))</f>
        <v>54</v>
      </c>
      <c r="H18" s="13" cm="1">
        <f t="array" ref="H18">_xlfn.IFS(VLOOKUP(F2,Table1[#All],14,FALSE)="NAIA Presto",VLOOKUP(F2,Table4[#All],8,FALSE),VLOOKUP(F2,Table1[#All],14,FALSE)="BR",VLOOKUP(F2,Table4[#All],14,FALSE))</f>
        <v>11</v>
      </c>
      <c r="I18" s="13" cm="1">
        <f t="array" ref="I18">_xlfn.IFS(VLOOKUP(F2,Table1[#All],14,FALSE)="NAIA Presto",VLOOKUP(F2,Table4[#All],9,FALSE),VLOOKUP(F2,Table1[#All],14,FALSE)="BR",VLOOKUP(F2,Table4[#All],15,FALSE))</f>
        <v>2</v>
      </c>
      <c r="J18" s="13" cm="1">
        <f t="array" ref="J18">_xlfn.IFS(VLOOKUP(F2,Table1[#All],14,FALSE)="NAIA Presto",VLOOKUP(F2,Table4[#All],10,FALSE),VLOOKUP(F2,Table1[#All],14,FALSE)="BR",VLOOKUP(F2,Table4[#All],16,FALSE))</f>
        <v>13</v>
      </c>
      <c r="K18" s="13" cm="1">
        <f t="array" ref="K18">_xlfn.IFS(VLOOKUP(F2,Table1[#All],14,FALSE)="NAIA Presto",VLOOKUP(F2,Table4[#All],11,FALSE),VLOOKUP(F2,Table1[#All],14,FALSE)="BR",VLOOKUP(F2,Table4[#All],17,FALSE))</f>
        <v>55</v>
      </c>
      <c r="L18" s="13" cm="1">
        <f t="array" ref="L18">_xlfn.IFS(VLOOKUP(F2,Table1[#All],14,FALSE)="NAIA Presto",VLOOKUP(F2,Table4[#All],14,FALSE),VLOOKUP(F2,Table1[#All],14,FALSE)="BR",VLOOKUP(F2,Table4[#All],18,FALSE))</f>
        <v>5</v>
      </c>
      <c r="M18" s="13" cm="1">
        <f t="array" ref="M18">_xlfn.IFS(VLOOKUP(F2,Table1[#All],14,FALSE)="NAIA Presto",VLOOKUP(F2,Table4[#All],15,FALSE),VLOOKUP(F2,Table1[#All],14,FALSE)="BR",VLOOKUP(F2,Table4[#All],19,FALSE))</f>
        <v>3</v>
      </c>
      <c r="N18" s="13" cm="1">
        <f t="array" ref="N18">_xlfn.IFS(VLOOKUP(F2,Table1[#All],14,FALSE)="NAIA Presto",VLOOKUP(F2,Table4[#All],12,FALSE),VLOOKUP(F2,Table1[#All],14,FALSE)="BR",VLOOKUP(F2,Table4[#All],20,FALSE))</f>
        <v>28</v>
      </c>
      <c r="O18" s="13" cm="1">
        <f t="array" ref="O18">_xlfn.IFS(VLOOKUP(F2,Table1[#All],14,FALSE)="NAIA Presto",VLOOKUP(F2,Table4[#All],13,FALSE),VLOOKUP(F2,Table1[#All],14,FALSE)="BR",VLOOKUP(F2,Table4[#All],21,FALSE))</f>
        <v>23</v>
      </c>
      <c r="P18" s="16" cm="1">
        <f t="array" ref="P18">_xlfn.IFS(VLOOKUP(F2,Table1[#All],14,FALSE)="NAIA Presto",VLOOKUP(F2,Table4[#All],16,FALSE),VLOOKUP(F2,Table1[#All],14,FALSE)="BR",VLOOKUP(F2,Table4[#All],22,FALSE))</f>
        <v>0.41899999999999998</v>
      </c>
      <c r="Q18" s="16" cm="1">
        <f t="array" ref="Q18">_xlfn.IFS(VLOOKUP(F2,Table1[#All],14,FALSE)="NAIA Presto",VLOOKUP(F2,Table4[#All],17,FALSE),VLOOKUP(F2,Table1[#All],14,FALSE)="BR",VLOOKUP(F2,Table4[#All],23,FALSE))</f>
        <v>0.53100000000000003</v>
      </c>
      <c r="R18" s="16" cm="1">
        <f t="array" ref="R18">_xlfn.IFS(VLOOKUP(F2,Table1[#All],14,FALSE)="NAIA Presto",VLOOKUP(F2,Table4[#All],18,FALSE),VLOOKUP(F2,Table1[#All],14,FALSE)="BR",VLOOKUP(F2,Table4[#All],24,FALSE))</f>
        <v>0.83699999999999997</v>
      </c>
      <c r="S18" s="16" cm="1">
        <f t="array" ref="S18">_xlfn.IFS(VLOOKUP(F2,Table1[#All],14,FALSE)="NAIA Presto",Q18+R18,VLOOKUP(F2,Table1[#All],14,FALSE)="BR",VLOOKUP(F2,Table4[#All],25,FALSE))</f>
        <v>1.3680000000000001</v>
      </c>
    </row>
  </sheetData>
  <mergeCells count="6">
    <mergeCell ref="B16:S16"/>
    <mergeCell ref="B2:D14"/>
    <mergeCell ref="F2:M3"/>
    <mergeCell ref="N2:O3"/>
    <mergeCell ref="P2:S5"/>
    <mergeCell ref="F13:O14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A594-213D-4313-9151-B3C1C191477C}">
  <dimension ref="B2:S22"/>
  <sheetViews>
    <sheetView showGridLines="0" workbookViewId="0">
      <selection activeCell="T12" sqref="T12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366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2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28"/>
      <c r="H4" s="28"/>
      <c r="I4" s="28"/>
      <c r="J4" s="28"/>
      <c r="K4" s="28"/>
      <c r="L4" s="28"/>
      <c r="M4" s="28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Shortstop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9"/>
      <c r="C8" s="49"/>
      <c r="D8" s="49"/>
      <c r="F8" s="28" t="str">
        <f>"Height: " &amp; VLOOKUP(F2,Table1[#All],6,FALSE)</f>
        <v>Height: 6'2"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9"/>
      <c r="C9" s="49"/>
      <c r="D9" s="49"/>
      <c r="F9" s="28" t="str">
        <f>"Weight: " &amp; VLOOKUP(F2,Table1[#All],7,FALSE)</f>
        <v>Weight: 185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February 23, 1999 (R-Junior)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Springfield, MO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Central Methodist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Central Methodist</v>
      </c>
      <c r="D18" s="13" cm="1">
        <f t="array" ref="D18">_xlfn.IFS(VLOOKUP(F2,Table1[#All],14,FALSE)="NAIA Presto",VLOOKUP(F2,Table4[#All],4,FALSE),VLOOKUP(F2,Table1[#All],14,FALSE)="BR",VLOOKUP(F2,Table4[#All],9,FALSE))</f>
        <v>57</v>
      </c>
      <c r="E18" s="13" cm="1">
        <f t="array" ref="E18">_xlfn.IFS(VLOOKUP(F2,Table1[#All],14,FALSE)="NAIA Presto",VLOOKUP(F2,Table4[#All],5,FALSE),VLOOKUP(F2,Table1[#All],14,FALSE)="BR",VLOOKUP(F2,Table4[#All],11,FALSE))</f>
        <v>171</v>
      </c>
      <c r="F18" s="13" cm="1">
        <f t="array" ref="F18">_xlfn.IFS(VLOOKUP(F2,Table1[#All],14,FALSE)="NAIA Presto",VLOOKUP(F2,Table4[#All],6,FALSE),VLOOKUP(F2,Table1[#All],14,FALSE)="BR",VLOOKUP(F2,Table4[#All],12,FALSE))</f>
        <v>67</v>
      </c>
      <c r="G18" s="13" cm="1">
        <f t="array" ref="G18">_xlfn.IFS(VLOOKUP(F2,Table1[#All],14,FALSE)="NAIA Presto",VLOOKUP(F2,Table4[#All],7,FALSE),VLOOKUP(F2,Table1[#All],14,FALSE)="BR",VLOOKUP(F2,Table4[#All],13,FALSE))</f>
        <v>76</v>
      </c>
      <c r="H18" s="13" cm="1">
        <f t="array" ref="H18">_xlfn.IFS(VLOOKUP(F2,Table1[#All],14,FALSE)="NAIA Presto",VLOOKUP(F2,Table4[#All],8,FALSE),VLOOKUP(F2,Table1[#All],14,FALSE)="BR",VLOOKUP(F2,Table4[#All],14,FALSE))</f>
        <v>11</v>
      </c>
      <c r="I18" s="13" cm="1">
        <f t="array" ref="I18">_xlfn.IFS(VLOOKUP(F2,Table1[#All],14,FALSE)="NAIA Presto",VLOOKUP(F2,Table4[#All],9,FALSE),VLOOKUP(F2,Table1[#All],14,FALSE)="BR",VLOOKUP(F2,Table4[#All],15,FALSE))</f>
        <v>4</v>
      </c>
      <c r="J18" s="13" cm="1">
        <f t="array" ref="J18">_xlfn.IFS(VLOOKUP(F2,Table1[#All],14,FALSE)="NAIA Presto",VLOOKUP(F2,Table4[#All],10,FALSE),VLOOKUP(F2,Table1[#All],14,FALSE)="BR",VLOOKUP(F2,Table4[#All],16,FALSE))</f>
        <v>24</v>
      </c>
      <c r="K18" s="13" cm="1">
        <f t="array" ref="K18">_xlfn.IFS(VLOOKUP(F2,Table1[#All],14,FALSE)="NAIA Presto",VLOOKUP(F2,Table4[#All],11,FALSE),VLOOKUP(F2,Table1[#All],14,FALSE)="BR",VLOOKUP(F2,Table4[#All],17,FALSE))</f>
        <v>86</v>
      </c>
      <c r="L18" s="13" cm="1">
        <f t="array" ref="L18">_xlfn.IFS(VLOOKUP(F2,Table1[#All],14,FALSE)="NAIA Presto",VLOOKUP(F2,Table4[#All],14,FALSE),VLOOKUP(F2,Table1[#All],14,FALSE)="BR",VLOOKUP(F2,Table4[#All],18,FALSE))</f>
        <v>10</v>
      </c>
      <c r="M18" s="13" cm="1">
        <f t="array" ref="M18">_xlfn.IFS(VLOOKUP(F2,Table1[#All],14,FALSE)="NAIA Presto",VLOOKUP(F2,Table4[#All],15,FALSE),VLOOKUP(F2,Table1[#All],14,FALSE)="BR",VLOOKUP(F2,Table4[#All],19,FALSE))</f>
        <v>3</v>
      </c>
      <c r="N18" s="13" cm="1">
        <f t="array" ref="N18">_xlfn.IFS(VLOOKUP(F2,Table1[#All],14,FALSE)="NAIA Presto",VLOOKUP(F2,Table4[#All],12,FALSE),VLOOKUP(F2,Table1[#All],14,FALSE)="BR",VLOOKUP(F2,Table4[#All],20,FALSE))</f>
        <v>46</v>
      </c>
      <c r="O18" s="13" cm="1">
        <f t="array" ref="O18">_xlfn.IFS(VLOOKUP(F2,Table1[#All],14,FALSE)="NAIA Presto",VLOOKUP(F2,Table4[#All],13,FALSE),VLOOKUP(F2,Table1[#All],14,FALSE)="BR",VLOOKUP(F2,Table4[#All],21,FALSE))</f>
        <v>36</v>
      </c>
      <c r="P18" s="16" cm="1">
        <f t="array" ref="P18">_xlfn.IFS(VLOOKUP(F2,Table1[#All],14,FALSE)="NAIA Presto",VLOOKUP(F2,Table4[#All],16,FALSE),VLOOKUP(F2,Table1[#All],14,FALSE)="BR",VLOOKUP(F2,Table4[#All],22,FALSE))</f>
        <v>0.44400000000000001</v>
      </c>
      <c r="Q18" s="16" cm="1">
        <f t="array" ref="Q18">_xlfn.IFS(VLOOKUP(F2,Table1[#All],14,FALSE)="NAIA Presto",VLOOKUP(F2,Table4[#All],17,FALSE),VLOOKUP(F2,Table1[#All],14,FALSE)="BR",VLOOKUP(F2,Table4[#All],23,FALSE))</f>
        <v>0.56699999999999995</v>
      </c>
      <c r="R18" s="16" cm="1">
        <f t="array" ref="R18">_xlfn.IFS(VLOOKUP(F2,Table1[#All],14,FALSE)="NAIA Presto",VLOOKUP(F2,Table4[#All],18,FALSE),VLOOKUP(F2,Table1[#All],14,FALSE)="BR",VLOOKUP(F2,Table4[#All],24,FALSE))</f>
        <v>0.97699999999999998</v>
      </c>
      <c r="S18" s="16" cm="1">
        <f t="array" ref="S18">_xlfn.IFS(VLOOKUP(F2,Table1[#All],14,FALSE)="NAIA Presto",Q18+R18,VLOOKUP(F2,Table1[#All],14,FALSE)="BR",VLOOKUP(F2,Table4[#All],25,FALSE))</f>
        <v>1.544</v>
      </c>
    </row>
    <row r="20" spans="2:19" x14ac:dyDescent="0.25">
      <c r="B20" s="44" t="s">
        <v>320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175</v>
      </c>
      <c r="F21" s="13" t="s">
        <v>156</v>
      </c>
      <c r="G21" s="13" t="s">
        <v>155</v>
      </c>
      <c r="H21" s="13" t="s">
        <v>176</v>
      </c>
      <c r="I21" s="13" t="s">
        <v>177</v>
      </c>
      <c r="J21" s="13" t="s">
        <v>158</v>
      </c>
      <c r="K21" s="13" t="s">
        <v>178</v>
      </c>
      <c r="L21" s="13" t="s">
        <v>179</v>
      </c>
      <c r="M21" s="13" t="s">
        <v>180</v>
      </c>
      <c r="N21" s="13" t="s">
        <v>159</v>
      </c>
      <c r="O21" s="13" t="s">
        <v>161</v>
      </c>
      <c r="P21" s="13" t="s">
        <v>181</v>
      </c>
      <c r="Q21" s="13" t="s">
        <v>182</v>
      </c>
      <c r="R21" s="13" t="s">
        <v>183</v>
      </c>
      <c r="S21" s="13" t="s">
        <v>184</v>
      </c>
    </row>
    <row r="22" spans="2:19" x14ac:dyDescent="0.25">
      <c r="B22" s="13" cm="1">
        <f t="array" ref="B22">_xlfn.IFS(VLOOKUP(F2,Table1[#All],15,FALSE)="BR",VLOOKUP(F2,Table5[#All],2,FALSE),VLOOKUP(F2,Table1[#All],15,FALSE)="Pointstreak",VLOOKUP(F2,Table5[#All],2,FALSE))</f>
        <v>2019</v>
      </c>
      <c r="C22" s="30" t="str" cm="1">
        <f t="array" ref="C22">_xlfn.IFS(VLOOKUP(F2,Table1[#All],15,FALSE)="BR",VLOOKUP(F2,Table5[#All],5,FALSE),VLOOKUP(F2,Table1[#All],15,FALSE)="Pointstreak",VLOOKUP(F2,Table5[#All],3,FALSE))</f>
        <v>Wheat City Whiskey Jacks</v>
      </c>
      <c r="D22" s="13" cm="1">
        <f t="array" ref="D22">_xlfn.IFS(VLOOKUP(F2,Table1[#All],15,FALSE)="BR",VLOOKUP(F2,Table5[#All],9,FALSE),VLOOKUP(F2,Table1[#All],15,FALSE)="Pointstreak",VLOOKUP(F2,Table5[#All],4,FALSE))</f>
        <v>40</v>
      </c>
      <c r="E22" s="13" cm="1">
        <f t="array" ref="E22">_xlfn.IFS(VLOOKUP(F2,Table1[#All],15,FALSE)="BR",VLOOKUP(F2,Table5[#All],11,FALSE),VLOOKUP(F2,Table1[#All],15,FALSE)="Pointstreak",VLOOKUP(F2,Table5[#All],5,FALSE))</f>
        <v>129</v>
      </c>
      <c r="F22" s="13" cm="1">
        <f t="array" ref="F22">_xlfn.IFS(VLOOKUP(F2,Table1[#All],15,FALSE)="BR",VLOOKUP(F2,Table5[#All],12,FALSE),VLOOKUP(F2,Table1[#All],15,FALSE)="Pointstreak",VLOOKUP(F2,Table5[#All],6,FALSE))</f>
        <v>18</v>
      </c>
      <c r="G22" s="13" cm="1">
        <f t="array" ref="G22">_xlfn.IFS(VLOOKUP(F2,Table1[#All],15,FALSE)="BR",VLOOKUP(F2,Table5[#All],13,FALSE),VLOOKUP(F2,Table1[#All],15,FALSE)="Pointstreak",VLOOKUP(F2,Table5[#All],7,FALSE))</f>
        <v>23</v>
      </c>
      <c r="H22" s="13" cm="1">
        <f t="array" ref="H22">_xlfn.IFS(VLOOKUP(F2,Table1[#All],15,FALSE)="BR",VLOOKUP(F2,Table5[#All],14,FALSE),VLOOKUP(F2,Table1[#All],15,FALSE)="Pointstreak",VLOOKUP(F2,Table5[#All],8,FALSE))</f>
        <v>3</v>
      </c>
      <c r="I22" s="13" cm="1">
        <f t="array" ref="I22">_xlfn.IFS(VLOOKUP(F2,Table1[#All],15,FALSE)="BR",VLOOKUP(F2,Table5[#All],15,FALSE),VLOOKUP(F2,Table1[#All],15,FALSE)="Pointstreak",VLOOKUP(F2,Table5[#All],9,FALSE))</f>
        <v>3</v>
      </c>
      <c r="J22" s="13" cm="1">
        <f t="array" ref="J22">_xlfn.IFS(VLOOKUP(F2,Table1[#All],15,FALSE)="BR",VLOOKUP(F2,Table5[#All],16,FALSE),VLOOKUP(F2,Table1[#All],15,FALSE)="Pointstreak",VLOOKUP(F2,Table5[#All],10,FALSE))</f>
        <v>3</v>
      </c>
      <c r="K22" s="13" cm="1">
        <f t="array" ref="K22">_xlfn.IFS(VLOOKUP(F2,Table1[#All],15,FALSE)="BR",VLOOKUP(F2,Table5[#All],17,FALSE),VLOOKUP(F2,Table1[#All],15,FALSE)="Pointstreak",VLOOKUP(F2,Table5[#All],11,FALSE))</f>
        <v>14</v>
      </c>
      <c r="L22" s="13" cm="1">
        <f t="array" ref="L22">_xlfn.IFS(VLOOKUP(F2,Table1[#All],15,FALSE)="BR",VLOOKUP(F2,Table5[#All],18,FALSE),VLOOKUP(F2,Table1[#All],15,FALSE)="Pointstreak",VLOOKUP(F2,Table5[#All],14,FALSE))</f>
        <v>5</v>
      </c>
      <c r="M22" s="13" cm="1">
        <f t="array" ref="M22">_xlfn.IFS(VLOOKUP(F2,Table1[#All],15,FALSE)="BR",VLOOKUP(F2,Table5[#All],19,FALSE),VLOOKUP(F2,Table1[#All],15,FALSE)="Pointstreak","")</f>
        <v>1</v>
      </c>
      <c r="N22" s="13" cm="1">
        <f t="array" ref="N22">_xlfn.IFS(VLOOKUP(F2,Table1[#All],15,FALSE)="BR",VLOOKUP(F2,Table5[#All],20,FALSE),VLOOKUP(F2,Table1[#All],15,FALSE)="Pointstreak",VLOOKUP(F2,Table5[#All],12,FALSE))</f>
        <v>17</v>
      </c>
      <c r="O22" s="13" cm="1">
        <f t="array" ref="O22">_xlfn.IFS(VLOOKUP(F2,Table1[#All],15,FALSE)="BR",VLOOKUP(F2,Table5[#All],21,FALSE),VLOOKUP(F2,Table1[#All],15,FALSE)="Pointstreak",VLOOKUP(F2,Table5[#All],13,FALSE))</f>
        <v>29</v>
      </c>
      <c r="P22" s="16" cm="1">
        <f t="array" ref="P22">_xlfn.IFS(VLOOKUP(F2,Table1[#All],15,FALSE)="BR",VLOOKUP(F2,Table5[#All],22,FALSE),VLOOKUP(F2,Table1[#All],15,FALSE)="Pointstreak",VLOOKUP(F2,Table5[#All],15,FALSE))</f>
        <v>0.17799999999999999</v>
      </c>
      <c r="Q22" s="16" cm="1">
        <f t="array" ref="Q22">_xlfn.IFS(VLOOKUP(F2,Table1[#All],15,FALSE)="BR",VLOOKUP(F2,Table5[#All],23,FALSE),VLOOKUP(F2,Table1[#All],15,FALSE)="Pointstreak","")</f>
        <v>0.30299999999999999</v>
      </c>
      <c r="R22" s="16" cm="1">
        <f t="array" ref="R22">_xlfn.IFS(VLOOKUP(F2,Table1[#All],15,FALSE)="BR",VLOOKUP(F2,Table5[#All],24,FALSE),VLOOKUP(F2,Table1[#All],15,FALSE)="Pointstreak",((G22-H22-I22-J22)+2*H22+3*I22+4*J22)/E22)</f>
        <v>0.318</v>
      </c>
      <c r="S22" s="16" cm="1">
        <f t="array" ref="S22">_xlfn.IFS(VLOOKUP(F2,Table1[#All],15,FALSE)="BR",VLOOKUP(F2,Table5[#All],25,FALSE),VLOOKUP(F2,Table1[#All],15,FALSE)="Pointstreak",Q22+R22)</f>
        <v>0.621</v>
      </c>
    </row>
  </sheetData>
  <mergeCells count="7">
    <mergeCell ref="B20:S20"/>
    <mergeCell ref="B2:D14"/>
    <mergeCell ref="F2:M3"/>
    <mergeCell ref="N2:O3"/>
    <mergeCell ref="P2:S5"/>
    <mergeCell ref="F13:O14"/>
    <mergeCell ref="B16:S16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78EF-10DC-4B97-BF4C-F53723730DC2}">
  <dimension ref="B1:S22"/>
  <sheetViews>
    <sheetView workbookViewId="0">
      <selection activeCell="B21" sqref="B21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103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99</v>
      </c>
      <c r="O2" s="55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8"/>
      <c r="C8" s="49"/>
      <c r="D8" s="50"/>
      <c r="F8" s="9" t="str">
        <f>"Height: " &amp; VLOOKUP(F2,Table1[#All],6,FALSE)</f>
        <v>Height: 6'3"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8"/>
      <c r="C9" s="49"/>
      <c r="D9" s="50"/>
      <c r="F9" s="9" t="str">
        <f>"Weight: " &amp; VLOOKUP(F2,Table1[#All],7,FALSE)</f>
        <v>Weight: 205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July 21, 1999 (Junior)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Bergschenhoek, NED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str">
        <f>"School: " &amp; VLOOKUP(F2,Table1[#All],9,FALSE)</f>
        <v>School: Lyon College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13" t="str">
        <f>VLOOKUP(F2,Table1[#All],9,FALSE)</f>
        <v>Lyon College</v>
      </c>
      <c r="D18" s="14" cm="1">
        <f t="array" ref="D18">_xlfn.IFS(VLOOKUP(F2,Table1[#All],14,FALSE)="NAIA Presto", VLOOKUP(F2,Table2[#All],4,FALSE))</f>
        <v>5</v>
      </c>
      <c r="E18" s="14" cm="1">
        <f t="array" ref="E18">_xlfn.IFS(VLOOKUP(F2,Table1[#All],14,FALSE)="NAIA Presto", VLOOKUP(F2,Table2[#All],5,FALSE))</f>
        <v>4</v>
      </c>
      <c r="F18" s="14" cm="1">
        <f t="array" ref="F18">_xlfn.IFS(VLOOKUP(F2,Table1[#All],14,FALSE)="NAIA Presto", VLOOKUP(F2,Table2[#All],6,FALSE))</f>
        <v>2</v>
      </c>
      <c r="G18" s="14" cm="1">
        <f t="array" ref="G18">_xlfn.IFS(VLOOKUP(F2,Table1[#All],14,FALSE)="NAIA Presto", VLOOKUP(F2,Table2[#All],7,FALSE))</f>
        <v>3</v>
      </c>
      <c r="H18" s="14" cm="1">
        <f t="array" ref="H18">_xlfn.IFS(VLOOKUP(F2,Table1[#All],14,FALSE)="NAIA Presto", VLOOKUP(F2,Table2[#All],8,FALSE))</f>
        <v>0</v>
      </c>
      <c r="I18" s="14" cm="1">
        <f t="array" ref="I18">_xlfn.IFS(VLOOKUP(F2,Table1[#All],14,FALSE)="NAIA Presto", VLOOKUP(F2,Table2[#All],10,FALSE))</f>
        <v>23</v>
      </c>
      <c r="J18" s="14" cm="1">
        <f t="array" ref="J18">_xlfn.IFS(VLOOKUP(F2,Table1[#All],14,FALSE)="NAIA Presto", VLOOKUP(F2,Table2[#All],11,FALSE))</f>
        <v>25</v>
      </c>
      <c r="K18" s="14" cm="1">
        <f t="array" ref="K18">_xlfn.IFS(VLOOKUP(F2,Table1[#All],14,FALSE)="NAIA Presto", VLOOKUP(F2,Table2[#All],12,FALSE))</f>
        <v>22</v>
      </c>
      <c r="L18" s="14" cm="1">
        <f t="array" ref="L18">_xlfn.IFS(VLOOKUP(F2,Table1[#All],14,FALSE)="NAIA Presto", VLOOKUP(F2,Table2[#All],13,FALSE))</f>
        <v>15</v>
      </c>
      <c r="M18" s="14" cm="1">
        <f t="array" ref="M18">_xlfn.IFS(VLOOKUP(F2,Table1[#All],14,FALSE)="NAIA Presto", VLOOKUP(F2,Table2[#All],17,FALSE))</f>
        <v>4</v>
      </c>
      <c r="N18" s="14" cm="1">
        <f t="array" ref="N18">_xlfn.IFS(VLOOKUP(F2,Table1[#All],14,FALSE)="NAIA Presto", VLOOKUP(F2,Table2[#All],14,FALSE))</f>
        <v>11</v>
      </c>
      <c r="O18" s="14" cm="1">
        <f t="array" ref="O18">_xlfn.IFS(VLOOKUP(F2,Table1[#All],14,FALSE)="NAIA Presto", VLOOKUP(F2,Table2[#All],15,FALSE))</f>
        <v>22</v>
      </c>
      <c r="P18" s="14" cm="1">
        <f t="array" ref="P18">_xlfn.IFS(VLOOKUP(F2,Table1[#All],14,FALSE)="NAIA Presto", VLOOKUP(F2,Table2[#All],18,FALSE))</f>
        <v>5.87</v>
      </c>
      <c r="Q18" s="14">
        <v>1.57</v>
      </c>
      <c r="R18" s="14" cm="1">
        <f t="array" ref="R18">_xlfn.IFS(VLOOKUP(F2,Table1[#All],14,FALSE)="NAIA Presto", VLOOKUP(F2,Table2[#All],16,FALSE))</f>
        <v>8.61</v>
      </c>
      <c r="S18" s="2"/>
    </row>
    <row r="19" spans="2:19" x14ac:dyDescent="0.25">
      <c r="B19" s="17"/>
      <c r="C19" s="17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2"/>
    </row>
    <row r="20" spans="2:19" x14ac:dyDescent="0.25">
      <c r="B20" s="44" t="s">
        <v>473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149</v>
      </c>
      <c r="F21" s="13" t="s">
        <v>143</v>
      </c>
      <c r="G21" s="13" t="s">
        <v>144</v>
      </c>
      <c r="H21" s="13" t="s">
        <v>153</v>
      </c>
      <c r="I21" s="13" t="s">
        <v>154</v>
      </c>
      <c r="J21" s="13" t="s">
        <v>155</v>
      </c>
      <c r="K21" s="13" t="s">
        <v>156</v>
      </c>
      <c r="L21" s="13" t="s">
        <v>157</v>
      </c>
      <c r="M21" s="13" t="s">
        <v>158</v>
      </c>
      <c r="N21" s="13" t="s">
        <v>159</v>
      </c>
      <c r="O21" s="13" t="s">
        <v>161</v>
      </c>
      <c r="P21" s="13" t="s">
        <v>146</v>
      </c>
      <c r="Q21" s="13" t="s">
        <v>166</v>
      </c>
      <c r="R21" s="13" t="s">
        <v>185</v>
      </c>
      <c r="S21" s="2"/>
    </row>
    <row r="22" spans="2:19" x14ac:dyDescent="0.25">
      <c r="B22" s="13">
        <f>VLOOKUP(F2,Table3[#All],2,FALSE)</f>
        <v>2021</v>
      </c>
      <c r="C22" s="13" t="str" cm="1">
        <f t="array" ref="C22">_xlfn.IFS(VLOOKUP(F2,Table1[#All],15,FALSE)="BR",VLOOKUP(F2,Table3[#All],5,FALSE),VLOOKUP(F2,Table1[#All],15,FALSE)="Pointstreak",VLOOKUP(F2,Table3[#All],3,FALSE))</f>
        <v>Curaçao Neptunus</v>
      </c>
      <c r="D22" s="13" cm="1">
        <f t="array" ref="D22">_xlfn.IFS(VLOOKUP(F2,Table1[#All],15,FALSE)="BR",VLOOKUP(F2,Table3[#All],14,FALSE),VLOOKUP(F2,Table1[#All],15,FALSE)="Pointstreak",VLOOKUP(F2,Table3[#All],7,FALSE))</f>
        <v>3</v>
      </c>
      <c r="E22" s="13" cm="1">
        <f t="array" ref="E22">_xlfn.IFS(VLOOKUP(F2,Table1[#All],15,FALSE)="BR",VLOOKUP(F2,Table3[#All],15,FALSE),VLOOKUP(F2,Table1[#All],15,FALSE)="Pointstreak",VLOOKUP(F2,Table3[#All],8,FALSE))</f>
        <v>0</v>
      </c>
      <c r="F22" s="13" cm="1">
        <f t="array" ref="F22">_xlfn.IFS(VLOOKUP(F2,Table1[#All],15,FALSE)="BR",VLOOKUP(F2,Table3[#All],9,FALSE),VLOOKUP(F2,Table1[#All],15,FALSE)="Pointstreak",VLOOKUP(F2,Table3[#All],4,FALSE))</f>
        <v>0</v>
      </c>
      <c r="G22" s="13" cm="1">
        <f t="array" ref="G22">_xlfn.IFS(VLOOKUP(F2,Table1[#All],15,FALSE)="BR",VLOOKUP(F2,Table3[#All],10,FALSE),VLOOKUP(F2,Table1[#All],15,FALSE)="Pointstreak",VLOOKUP(F2,Table3[#All],5,FALSE))</f>
        <v>0</v>
      </c>
      <c r="H22" s="13" cm="1">
        <f t="array" ref="H22">_xlfn.IFS(VLOOKUP(F2,Table1[#All],15,FALSE)="BR",VLOOKUP(F2,Table3[#All],19,FALSE),VLOOKUP(F2,Table1[#All],15,FALSE)="Pointstreak",VLOOKUP(F2,Table3[#All],10,FALSE))</f>
        <v>0</v>
      </c>
      <c r="I22" s="13" cm="1">
        <f t="array" ref="I22">_xlfn.IFS(VLOOKUP(F2,Table1[#All],15,FALSE)="BR",VLOOKUP(F2,Table3[#All],20,FALSE),VLOOKUP(F2,Table1[#All],15,FALSE)="Pointstreak",VLOOKUP(F2,Table3[#All],11,FALSE))</f>
        <v>5.2</v>
      </c>
      <c r="J22" s="13" cm="1">
        <f t="array" ref="J22">_xlfn.IFS(VLOOKUP(F2,Table1[#All],15,FALSE)="BR",VLOOKUP(F2,Table3[#All],21,FALSE),VLOOKUP(F2,Table1[#All],15,FALSE)="Pointstreak",VLOOKUP(F2,Table3[#All],14,FALSE))</f>
        <v>5</v>
      </c>
      <c r="K22" s="13" cm="1">
        <f t="array" ref="K22">_xlfn.IFS(VLOOKUP(F2,Table1[#All],15,FALSE)="BR",VLOOKUP(F2,Table3[#All],22,FALSE),VLOOKUP(F2,Table1[#All],15,FALSE)="Pointstreak","")</f>
        <v>3</v>
      </c>
      <c r="L22" s="13" cm="1">
        <f t="array" ref="L22">_xlfn.IFS(VLOOKUP(F2,Table1[#All],15,FALSE)="BR",VLOOKUP(F2,Table3[#All],23,FALSE),VLOOKUP(F2,Table1[#All],15,FALSE)="Pointstreak","")</f>
        <v>3</v>
      </c>
      <c r="M22" s="13" cm="1">
        <f t="array" ref="M22">_xlfn.IFS(VLOOKUP(F2,Table1[#All],15,FALSE)="BR",VLOOKUP(F2,Table3[#All],24,FALSE),VLOOKUP(F2,Table1[#All],15,FALSE)="Pointstreak","")</f>
        <v>0</v>
      </c>
      <c r="N22" s="13" cm="1">
        <f t="array" ref="N22">_xlfn.IFS(VLOOKUP(F2,Table1[#All],15,FALSE)="BR",VLOOKUP(F2,Table3[#All],25,FALSE),VLOOKUP(F2,Table1[#All],15,FALSE)="Pointstreak",VLOOKUP(F2,Table3[#All],13,FALSE))</f>
        <v>9</v>
      </c>
      <c r="O22" s="13" cm="1">
        <f t="array" ref="O22">_xlfn.IFS(VLOOKUP(F2,Table1[#All],15,FALSE)="BR",VLOOKUP(F2,Table3[#All],27,FALSE),VLOOKUP(F2,Table1[#All],15,FALSE)="Pointstreak",VLOOKUP(F2,Table3[#All],12,FALSE))</f>
        <v>7</v>
      </c>
      <c r="P22" s="13" cm="1">
        <f t="array" ref="P22">_xlfn.IFS(VLOOKUP(F2,Table1[#All],15,FALSE)="BR",VLOOKUP(F2,Table3[#All],12,FALSE),VLOOKUP(F2,Table1[#All],15,FALSE)="Pointstreak",VLOOKUP(F2,Table3[#All],6,FALSE))</f>
        <v>4.76</v>
      </c>
      <c r="Q22" s="15" cm="1">
        <f t="array" ref="Q22">_xlfn.IFS(VLOOKUP(F2,Table1[#All],15,FALSE)="BR",VLOOKUP(F2,Table3[#All],32,FALSE),VLOOKUP(F2,Table1[#All],15,FALSE)="Pointstreak","")</f>
        <v>2.4710000000000001</v>
      </c>
      <c r="R22" s="15" cm="1">
        <f t="array" ref="R22">_xlfn.IFS(VLOOKUP(F2,Table1[#All],15,FALSE)="BR",VLOOKUP(F2,Table3[#All],36,FALSE),VLOOKUP(F2,Table1[#All],15,FALSE)="Pointstreak","")</f>
        <v>11.1</v>
      </c>
      <c r="S22" s="2"/>
    </row>
  </sheetData>
  <mergeCells count="7">
    <mergeCell ref="B16:S16"/>
    <mergeCell ref="B20:S20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5DC3-2CE4-4281-BB0A-E6EEACC5D51D}">
  <dimension ref="B2:S22"/>
  <sheetViews>
    <sheetView showGridLines="0" tabSelected="1" workbookViewId="0">
      <selection activeCell="P12" sqref="P12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325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15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Infielder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Left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6'4"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210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April 4, 2000 (Junior)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Russiaville, IN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Utah Valley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Utah Valley</v>
      </c>
      <c r="D18" s="13" cm="1">
        <f t="array" ref="D18">_xlfn.IFS(VLOOKUP(F2,Table1[#All],14,FALSE)="NAIA Presto",VLOOKUP(F2,Table4[#All],4,FALSE),VLOOKUP(F2,Table1[#All],14,FALSE)="BR",VLOOKUP(F2,Table4[#All],9,FALSE))</f>
        <v>48</v>
      </c>
      <c r="E18" s="13" cm="1">
        <f t="array" ref="E18">_xlfn.IFS(VLOOKUP(F2,Table1[#All],14,FALSE)="NAIA Presto",VLOOKUP(F2,Table4[#All],5,FALSE),VLOOKUP(F2,Table1[#All],14,FALSE)="BR",VLOOKUP(F2,Table4[#All],11,FALSE))</f>
        <v>174</v>
      </c>
      <c r="F18" s="13" cm="1">
        <f t="array" ref="F18">_xlfn.IFS(VLOOKUP(F2,Table1[#All],14,FALSE)="NAIA Presto",VLOOKUP(F2,Table4[#All],6,FALSE),VLOOKUP(F2,Table1[#All],14,FALSE)="BR",VLOOKUP(F2,Table4[#All],12,FALSE))</f>
        <v>51</v>
      </c>
      <c r="G18" s="13" cm="1">
        <f t="array" ref="G18">_xlfn.IFS(VLOOKUP(F2,Table1[#All],14,FALSE)="NAIA Presto",VLOOKUP(F2,Table4[#All],7,FALSE),VLOOKUP(F2,Table1[#All],14,FALSE)="BR",VLOOKUP(F2,Table4[#All],13,FALSE))</f>
        <v>65</v>
      </c>
      <c r="H18" s="13" cm="1">
        <f t="array" ref="H18">_xlfn.IFS(VLOOKUP(F2,Table1[#All],14,FALSE)="NAIA Presto",VLOOKUP(F2,Table4[#All],8,FALSE),VLOOKUP(F2,Table1[#All],14,FALSE)="BR",VLOOKUP(F2,Table4[#All],14,FALSE))</f>
        <v>16</v>
      </c>
      <c r="I18" s="13" cm="1">
        <f t="array" ref="I18">_xlfn.IFS(VLOOKUP(F2,Table1[#All],14,FALSE)="NAIA Presto",VLOOKUP(F2,Table4[#All],9,FALSE),VLOOKUP(F2,Table1[#All],14,FALSE)="BR",VLOOKUP(F2,Table4[#All],15,FALSE))</f>
        <v>4</v>
      </c>
      <c r="J18" s="13" cm="1">
        <f t="array" ref="J18">_xlfn.IFS(VLOOKUP(F2,Table1[#All],14,FALSE)="NAIA Presto",VLOOKUP(F2,Table4[#All],10,FALSE),VLOOKUP(F2,Table1[#All],14,FALSE)="BR",VLOOKUP(F2,Table4[#All],16,FALSE))</f>
        <v>15</v>
      </c>
      <c r="K18" s="13" cm="1">
        <f t="array" ref="K18">_xlfn.IFS(VLOOKUP(F2,Table1[#All],14,FALSE)="NAIA Presto",VLOOKUP(F2,Table4[#All],11,FALSE),VLOOKUP(F2,Table1[#All],14,FALSE)="BR",VLOOKUP(F2,Table4[#All],17,FALSE))</f>
        <v>44</v>
      </c>
      <c r="L18" s="13" cm="1">
        <f t="array" ref="L18">_xlfn.IFS(VLOOKUP(F2,Table1[#All],14,FALSE)="NAIA Presto",VLOOKUP(F2,Table4[#All],14,FALSE),VLOOKUP(F2,Table1[#All],14,FALSE)="BR",VLOOKUP(F2,Table4[#All],18,FALSE))</f>
        <v>4</v>
      </c>
      <c r="M18" s="13" cm="1">
        <f t="array" ref="M18">_xlfn.IFS(VLOOKUP(F2,Table1[#All],14,FALSE)="NAIA Presto",VLOOKUP(F2,Table4[#All],15,FALSE),VLOOKUP(F2,Table1[#All],14,FALSE)="BR",VLOOKUP(F2,Table4[#All],19,FALSE))</f>
        <v>2</v>
      </c>
      <c r="N18" s="13" cm="1">
        <f t="array" ref="N18">_xlfn.IFS(VLOOKUP(F2,Table1[#All],14,FALSE)="NAIA Presto",VLOOKUP(F2,Table4[#All],12,FALSE),VLOOKUP(F2,Table1[#All],14,FALSE)="BR",VLOOKUP(F2,Table4[#All],20,FALSE))</f>
        <v>23</v>
      </c>
      <c r="O18" s="13" cm="1">
        <f t="array" ref="O18">_xlfn.IFS(VLOOKUP(F2,Table1[#All],14,FALSE)="NAIA Presto",VLOOKUP(F2,Table4[#All],13,FALSE),VLOOKUP(F2,Table1[#All],14,FALSE)="BR",VLOOKUP(F2,Table4[#All],21,FALSE))</f>
        <v>26</v>
      </c>
      <c r="P18" s="16" cm="1">
        <f t="array" ref="P18">_xlfn.IFS(VLOOKUP(F2,Table1[#All],14,FALSE)="NAIA Presto",VLOOKUP(F2,Table4[#All],16,FALSE),VLOOKUP(F2,Table1[#All],14,FALSE)="BR",VLOOKUP(F2,Table4[#All],22,FALSE))</f>
        <v>0.374</v>
      </c>
      <c r="Q18" s="16" cm="1">
        <f t="array" ref="Q18">_xlfn.IFS(VLOOKUP(F2,Table1[#All],14,FALSE)="NAIA Presto",VLOOKUP(F2,Table4[#All],17,FALSE),VLOOKUP(F2,Table1[#All],14,FALSE)="BR",VLOOKUP(F2,Table4[#All],23,FALSE))</f>
        <v>0.45300000000000001</v>
      </c>
      <c r="R18" s="16" cm="1">
        <f t="array" ref="R18">_xlfn.IFS(VLOOKUP(F2,Table1[#All],14,FALSE)="NAIA Presto",VLOOKUP(F2,Table4[#All],18,FALSE),VLOOKUP(F2,Table1[#All],14,FALSE)="BR",VLOOKUP(F2,Table4[#All],24,FALSE))</f>
        <v>0.77</v>
      </c>
      <c r="S18" s="16" cm="1">
        <f t="array" ref="S18">_xlfn.IFS(VLOOKUP(F2,Table1[#All],14,FALSE)="NAIA Presto",Q18+R18,VLOOKUP(F2,Table1[#All],14,FALSE)="BR",VLOOKUP(F2,Table4[#All],25,FALSE))</f>
        <v>1.2230000000000001</v>
      </c>
    </row>
    <row r="20" spans="2:19" x14ac:dyDescent="0.25">
      <c r="B20" s="44" t="s">
        <v>467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175</v>
      </c>
      <c r="F21" s="13" t="s">
        <v>156</v>
      </c>
      <c r="G21" s="13" t="s">
        <v>155</v>
      </c>
      <c r="H21" s="13" t="s">
        <v>176</v>
      </c>
      <c r="I21" s="13" t="s">
        <v>177</v>
      </c>
      <c r="J21" s="13" t="s">
        <v>158</v>
      </c>
      <c r="K21" s="13" t="s">
        <v>178</v>
      </c>
      <c r="L21" s="13" t="s">
        <v>179</v>
      </c>
      <c r="M21" s="13" t="s">
        <v>180</v>
      </c>
      <c r="N21" s="13" t="s">
        <v>159</v>
      </c>
      <c r="O21" s="13" t="s">
        <v>161</v>
      </c>
      <c r="P21" s="13" t="s">
        <v>181</v>
      </c>
      <c r="Q21" s="13" t="s">
        <v>182</v>
      </c>
      <c r="R21" s="13" t="s">
        <v>183</v>
      </c>
      <c r="S21" s="13" t="s">
        <v>184</v>
      </c>
    </row>
    <row r="22" spans="2:19" x14ac:dyDescent="0.25">
      <c r="B22" s="13">
        <f>VLOOKUP(F2,Table5[#All],2,FALSE)</f>
        <v>2021</v>
      </c>
      <c r="C22" s="20" t="str">
        <f>VLOOKUP(F2,Table5[#All],5,FALSE)</f>
        <v>West Virginia Miners</v>
      </c>
      <c r="D22" s="13">
        <f>VLOOKUP(F2,Table5[#All],9,FALSE)</f>
        <v>28</v>
      </c>
      <c r="E22" s="13">
        <f>VLOOKUP(F2,Table5[#All],11,FALSE)</f>
        <v>105</v>
      </c>
      <c r="F22" s="13">
        <f>VLOOKUP(F2,Table5[#All],12,FALSE)</f>
        <v>24</v>
      </c>
      <c r="G22" s="13">
        <f>VLOOKUP(F2,Table5[#All],13,FALSE)</f>
        <v>40</v>
      </c>
      <c r="H22" s="13">
        <f>VLOOKUP(F2,Table5[#All],14,FALSE)</f>
        <v>4</v>
      </c>
      <c r="I22" s="13">
        <f>VLOOKUP(F2,Table5[#All],15,FALSE)</f>
        <v>2</v>
      </c>
      <c r="J22" s="13">
        <f>VLOOKUP(F2,Table5[#All],16,FALSE)</f>
        <v>11</v>
      </c>
      <c r="K22" s="13">
        <f>VLOOKUP(F2,Table5[#All],17,FALSE)</f>
        <v>44</v>
      </c>
      <c r="L22" s="13">
        <f>VLOOKUP(F2,Table5[#All],18,FALSE)</f>
        <v>4</v>
      </c>
      <c r="M22" s="13">
        <f>VLOOKUP(F2,Table5[#All],19,FALSE)</f>
        <v>0</v>
      </c>
      <c r="N22" s="13">
        <f>VLOOKUP(F2,Table5[#All],20,FALSE)</f>
        <v>14</v>
      </c>
      <c r="O22" s="13">
        <f>VLOOKUP(F2,Table5[#All],21,FALSE)</f>
        <v>29</v>
      </c>
      <c r="P22" s="16">
        <f>VLOOKUP(F2,Table5[#All],22,FALSE)</f>
        <v>0.38100000000000001</v>
      </c>
      <c r="Q22" s="16">
        <f>VLOOKUP(F2,Table5[#All],23,FALSE)</f>
        <v>0.45</v>
      </c>
      <c r="R22" s="16">
        <f>VLOOKUP(F2,Table5[#All],24,FALSE)</f>
        <v>0.77100000000000002</v>
      </c>
      <c r="S22" s="16">
        <f>VLOOKUP(F2,Table5[#All],25,FALSE)</f>
        <v>1.2210000000000001</v>
      </c>
    </row>
  </sheetData>
  <mergeCells count="7">
    <mergeCell ref="B16:S16"/>
    <mergeCell ref="B20:S20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4C205-B1D0-47A7-B4E5-56BBC8BEC025}">
  <dimension ref="B2:S19"/>
  <sheetViews>
    <sheetView showGridLines="0" workbookViewId="0">
      <selection activeCell="P7" sqref="P7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60" t="s">
        <v>104</v>
      </c>
      <c r="G2" s="60"/>
      <c r="H2" s="60"/>
      <c r="I2" s="60"/>
      <c r="J2" s="60"/>
      <c r="K2" s="60"/>
      <c r="L2" s="60"/>
      <c r="M2" s="60"/>
      <c r="N2" s="61" t="str">
        <f>"# " &amp; VLOOKUP(F2,Table1[#All],2,FALSE)</f>
        <v># 1</v>
      </c>
      <c r="O2" s="61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60"/>
      <c r="G3" s="60"/>
      <c r="H3" s="60"/>
      <c r="I3" s="60"/>
      <c r="J3" s="60"/>
      <c r="K3" s="60"/>
      <c r="L3" s="60"/>
      <c r="M3" s="60"/>
      <c r="N3" s="61"/>
      <c r="O3" s="61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6'0"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190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May 4, 2003 (R-Freshman)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Atlanta, GA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Grambling State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13" t="s">
        <v>318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9">
        <v>0</v>
      </c>
      <c r="Q18" s="19">
        <v>0</v>
      </c>
      <c r="R18" s="19">
        <v>0</v>
      </c>
      <c r="S18" s="2"/>
    </row>
    <row r="19" spans="2:19" x14ac:dyDescent="0.25">
      <c r="B19" s="2"/>
      <c r="C19" s="2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2"/>
    </row>
  </sheetData>
  <mergeCells count="6">
    <mergeCell ref="B16:S16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4D4C3-9153-4A54-AE23-41E785F7FA0A}">
  <dimension ref="B2:S18"/>
  <sheetViews>
    <sheetView showGridLines="0" workbookViewId="0">
      <selection activeCell="P15" sqref="P15"/>
    </sheetView>
  </sheetViews>
  <sheetFormatPr defaultRowHeight="15" x14ac:dyDescent="0.25"/>
  <cols>
    <col min="2" max="2" width="5.42578125" customWidth="1"/>
    <col min="3" max="3" width="18.28515625" customWidth="1"/>
    <col min="4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497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4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28"/>
      <c r="H4" s="28"/>
      <c r="I4" s="28"/>
      <c r="J4" s="28"/>
      <c r="K4" s="28"/>
      <c r="L4" s="28"/>
      <c r="M4" s="28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Outfielder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9"/>
      <c r="C8" s="49"/>
      <c r="D8" s="49"/>
      <c r="F8" s="28" t="str">
        <f>"Height: " &amp; VLOOKUP(F2,Table1[#All],6,FALSE)</f>
        <v>Height: 5'11"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9"/>
      <c r="C9" s="49"/>
      <c r="D9" s="49"/>
      <c r="F9" s="28" t="str">
        <f>"Weight: " &amp; VLOOKUP(F2,Table1[#All],7,FALSE)</f>
        <v>Weight: 185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May 17, 2000 (Sophomore)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Detroit, MI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Central Methodist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Central Methodist</v>
      </c>
      <c r="D18" s="13" cm="1">
        <f t="array" ref="D18">_xlfn.IFS(VLOOKUP(F2,Table1[#All],14,FALSE)="NAIA Presto",VLOOKUP(F2,Table4[#All],4,FALSE),VLOOKUP(F2,Table1[#All],14,FALSE)="BR",VLOOKUP(F2,Table4[#All],9,FALSE))</f>
        <v>57</v>
      </c>
      <c r="E18" s="13" cm="1">
        <f t="array" ref="E18">_xlfn.IFS(VLOOKUP(F2,Table1[#All],14,FALSE)="NAIA Presto",VLOOKUP(F2,Table4[#All],5,FALSE),VLOOKUP(F2,Table1[#All],14,FALSE)="BR",VLOOKUP(F2,Table4[#All],11,FALSE))</f>
        <v>202</v>
      </c>
      <c r="F18" s="13" cm="1">
        <f t="array" ref="F18">_xlfn.IFS(VLOOKUP(F2,Table1[#All],14,FALSE)="NAIA Presto",VLOOKUP(F2,Table4[#All],6,FALSE),VLOOKUP(F2,Table1[#All],14,FALSE)="BR",VLOOKUP(F2,Table4[#All],12,FALSE))</f>
        <v>69</v>
      </c>
      <c r="G18" s="13" cm="1">
        <f t="array" ref="G18">_xlfn.IFS(VLOOKUP(F2,Table1[#All],14,FALSE)="NAIA Presto",VLOOKUP(F2,Table4[#All],7,FALSE),VLOOKUP(F2,Table1[#All],14,FALSE)="BR",VLOOKUP(F2,Table4[#All],13,FALSE))</f>
        <v>70</v>
      </c>
      <c r="H18" s="13" cm="1">
        <f t="array" ref="H18">_xlfn.IFS(VLOOKUP(F2,Table1[#All],14,FALSE)="NAIA Presto",VLOOKUP(F2,Table4[#All],8,FALSE),VLOOKUP(F2,Table1[#All],14,FALSE)="BR",VLOOKUP(F2,Table4[#All],14,FALSE))</f>
        <v>11</v>
      </c>
      <c r="I18" s="13" cm="1">
        <f t="array" ref="I18">_xlfn.IFS(VLOOKUP(F2,Table1[#All],14,FALSE)="NAIA Presto",VLOOKUP(F2,Table4[#All],9,FALSE),VLOOKUP(F2,Table1[#All],14,FALSE)="BR",VLOOKUP(F2,Table4[#All],15,FALSE))</f>
        <v>3</v>
      </c>
      <c r="J18" s="13" cm="1">
        <f t="array" ref="J18">_xlfn.IFS(VLOOKUP(F2,Table1[#All],14,FALSE)="NAIA Presto",VLOOKUP(F2,Table4[#All],10,FALSE),VLOOKUP(F2,Table1[#All],14,FALSE)="BR",VLOOKUP(F2,Table4[#All],16,FALSE))</f>
        <v>2</v>
      </c>
      <c r="K18" s="13" cm="1">
        <f t="array" ref="K18">_xlfn.IFS(VLOOKUP(F2,Table1[#All],14,FALSE)="NAIA Presto",VLOOKUP(F2,Table4[#All],11,FALSE),VLOOKUP(F2,Table1[#All],14,FALSE)="BR",VLOOKUP(F2,Table4[#All],17,FALSE))</f>
        <v>27</v>
      </c>
      <c r="L18" s="13" cm="1">
        <f t="array" ref="L18">_xlfn.IFS(VLOOKUP(F2,Table1[#All],14,FALSE)="NAIA Presto",VLOOKUP(F2,Table4[#All],14,FALSE),VLOOKUP(F2,Table1[#All],14,FALSE)="BR",VLOOKUP(F2,Table4[#All],18,FALSE))</f>
        <v>57</v>
      </c>
      <c r="M18" s="13" cm="1">
        <f t="array" ref="M18">_xlfn.IFS(VLOOKUP(F2,Table1[#All],14,FALSE)="NAIA Presto",VLOOKUP(F2,Table4[#All],15,FALSE),VLOOKUP(F2,Table1[#All],14,FALSE)="BR",VLOOKUP(F2,Table4[#All],19,FALSE))</f>
        <v>2</v>
      </c>
      <c r="N18" s="13" cm="1">
        <f t="array" ref="N18">_xlfn.IFS(VLOOKUP(F2,Table1[#All],14,FALSE)="NAIA Presto",VLOOKUP(F2,Table4[#All],12,FALSE),VLOOKUP(F2,Table1[#All],14,FALSE)="BR",VLOOKUP(F2,Table4[#All],20,FALSE))</f>
        <v>36</v>
      </c>
      <c r="O18" s="13" cm="1">
        <f t="array" ref="O18">_xlfn.IFS(VLOOKUP(F2,Table1[#All],14,FALSE)="NAIA Presto",VLOOKUP(F2,Table4[#All],13,FALSE),VLOOKUP(F2,Table1[#All],14,FALSE)="BR",VLOOKUP(F2,Table4[#All],21,FALSE))</f>
        <v>35</v>
      </c>
      <c r="P18" s="16" cm="1">
        <f t="array" ref="P18">_xlfn.IFS(VLOOKUP(F2,Table1[#All],14,FALSE)="NAIA Presto",VLOOKUP(F2,Table4[#All],16,FALSE),VLOOKUP(F2,Table1[#All],14,FALSE)="BR",VLOOKUP(F2,Table4[#All],22,FALSE))</f>
        <v>0.34699999999999998</v>
      </c>
      <c r="Q18" s="16" cm="1">
        <f t="array" ref="Q18">_xlfn.IFS(VLOOKUP(F2,Table1[#All],14,FALSE)="NAIA Presto",VLOOKUP(F2,Table4[#All],17,FALSE),VLOOKUP(F2,Table1[#All],14,FALSE)="BR",VLOOKUP(F2,Table4[#All],23,FALSE))</f>
        <v>0.45500000000000002</v>
      </c>
      <c r="R18" s="16" cm="1">
        <f t="array" ref="R18">_xlfn.IFS(VLOOKUP(F2,Table1[#All],14,FALSE)="NAIA Presto",VLOOKUP(F2,Table4[#All],18,FALSE),VLOOKUP(F2,Table1[#All],14,FALSE)="BR",VLOOKUP(F2,Table4[#All],24,FALSE))</f>
        <v>0.46</v>
      </c>
      <c r="S18" s="16" cm="1">
        <f t="array" ref="S18">_xlfn.IFS(VLOOKUP(F2,Table1[#All],14,FALSE)="NAIA Presto",Q18+R18,VLOOKUP(F2,Table1[#All],14,FALSE)="BR",VLOOKUP(F2,Table4[#All],25,FALSE))</f>
        <v>0.91500000000000004</v>
      </c>
    </row>
  </sheetData>
  <mergeCells count="6">
    <mergeCell ref="B16:S16"/>
    <mergeCell ref="B2:D14"/>
    <mergeCell ref="F2:M3"/>
    <mergeCell ref="N2:O3"/>
    <mergeCell ref="P2:S5"/>
    <mergeCell ref="F13:O14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AE652-8522-4903-80D5-7BC0160FB661}">
  <dimension ref="B2:S23"/>
  <sheetViews>
    <sheetView showGridLines="0" workbookViewId="0">
      <selection activeCell="N6" sqref="N6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105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39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6'8"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250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October 8, 1998 (R-Senior)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Logansport, IN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Defiance College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13" t="str">
        <f>VLOOKUP(F2,Table1[#All],9,FALSE)</f>
        <v>Defiance College</v>
      </c>
      <c r="D18" s="14" cm="1">
        <f t="array" ref="D18">_xlfn.IFS(VLOOKUP(F2,Table1[#All],14,FALSE)="NAIA Presto", VLOOKUP(F2,Table2[#All],4,FALSE))</f>
        <v>13</v>
      </c>
      <c r="E18" s="14" cm="1">
        <f t="array" ref="E18">_xlfn.IFS(VLOOKUP(F2,Table1[#All],14,FALSE)="NAIA Presto", VLOOKUP(F2,Table2[#All],5,FALSE))</f>
        <v>12</v>
      </c>
      <c r="F18" s="14" cm="1">
        <f t="array" ref="F18">_xlfn.IFS(VLOOKUP(F2,Table1[#All],14,FALSE)="NAIA Presto", VLOOKUP(F2,Table2[#All],6,FALSE))</f>
        <v>4</v>
      </c>
      <c r="G18" s="14" cm="1">
        <f t="array" ref="G18">_xlfn.IFS(VLOOKUP(F2,Table1[#All],14,FALSE)="NAIA Presto", VLOOKUP(F2,Table2[#All],7,FALSE))</f>
        <v>4</v>
      </c>
      <c r="H18" s="14" cm="1">
        <f t="array" ref="H18">_xlfn.IFS(VLOOKUP(F2,Table1[#All],14,FALSE)="NAIA Presto", VLOOKUP(F2,Table2[#All],8,FALSE))</f>
        <v>0</v>
      </c>
      <c r="I18" s="14" cm="1">
        <f t="array" ref="I18">_xlfn.IFS(VLOOKUP(F2,Table1[#All],14,FALSE)="NAIA Presto", VLOOKUP(F2,Table2[#All],10,FALSE))</f>
        <v>59.2</v>
      </c>
      <c r="J18" s="14" cm="1">
        <f t="array" ref="J18">_xlfn.IFS(VLOOKUP(F2,Table1[#All],14,FALSE)="NAIA Presto", VLOOKUP(F2,Table2[#All],11,FALSE))</f>
        <v>70</v>
      </c>
      <c r="K18" s="14" cm="1">
        <f t="array" ref="K18">_xlfn.IFS(VLOOKUP(F2,Table1[#All],14,FALSE)="NAIA Presto", VLOOKUP(F2,Table2[#All],12,FALSE))</f>
        <v>37</v>
      </c>
      <c r="L18" s="14" cm="1">
        <f t="array" ref="L18">_xlfn.IFS(VLOOKUP(F2,Table1[#All],14,FALSE)="NAIA Presto", VLOOKUP(F2,Table2[#All],13,FALSE))</f>
        <v>30</v>
      </c>
      <c r="M18" s="14" cm="1">
        <f t="array" ref="M18">_xlfn.IFS(VLOOKUP(F2,Table1[#All],14,FALSE)="NAIA Presto", VLOOKUP(F2,Table2[#All],17,FALSE))</f>
        <v>3</v>
      </c>
      <c r="N18" s="14" cm="1">
        <f t="array" ref="N18">_xlfn.IFS(VLOOKUP(F2,Table1[#All],14,FALSE)="NAIA Presto", VLOOKUP(F2,Table2[#All],14,FALSE))</f>
        <v>32</v>
      </c>
      <c r="O18" s="14" cm="1">
        <f t="array" ref="O18">_xlfn.IFS(VLOOKUP(F2,Table1[#All],14,FALSE)="NAIA Presto", VLOOKUP(F2,Table2[#All],15,FALSE))</f>
        <v>66</v>
      </c>
      <c r="P18" s="14" cm="1">
        <f t="array" ref="P18">_xlfn.IFS(VLOOKUP(F2,Table1[#All],14,FALSE)="NAIA Presto", VLOOKUP(F2,Table2[#All],18,FALSE))</f>
        <v>4.53</v>
      </c>
      <c r="Q18" s="14">
        <v>1.71</v>
      </c>
      <c r="R18" s="14" cm="1">
        <f t="array" ref="R18">_xlfn.IFS(VLOOKUP(F2,Table1[#All],14,FALSE)="NAIA Presto", VLOOKUP(F2,Table2[#All],16,FALSE))</f>
        <v>9.9600000000000009</v>
      </c>
      <c r="S18" s="2"/>
    </row>
    <row r="20" spans="2:19" x14ac:dyDescent="0.25">
      <c r="B20" s="44" t="s">
        <v>467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149</v>
      </c>
      <c r="F21" s="13" t="s">
        <v>143</v>
      </c>
      <c r="G21" s="13" t="s">
        <v>144</v>
      </c>
      <c r="H21" s="13" t="s">
        <v>153</v>
      </c>
      <c r="I21" s="13" t="s">
        <v>154</v>
      </c>
      <c r="J21" s="13" t="s">
        <v>155</v>
      </c>
      <c r="K21" s="13" t="s">
        <v>156</v>
      </c>
      <c r="L21" s="13" t="s">
        <v>157</v>
      </c>
      <c r="M21" s="13" t="s">
        <v>158</v>
      </c>
      <c r="N21" s="13" t="s">
        <v>159</v>
      </c>
      <c r="O21" s="13" t="s">
        <v>161</v>
      </c>
      <c r="P21" s="13" t="s">
        <v>146</v>
      </c>
      <c r="Q21" s="13" t="s">
        <v>166</v>
      </c>
      <c r="R21" s="13" t="s">
        <v>185</v>
      </c>
      <c r="S21" s="2"/>
    </row>
    <row r="22" spans="2:19" x14ac:dyDescent="0.25">
      <c r="B22" s="13">
        <f>VLOOKUP(F2,Table3[#All],2,FALSE)</f>
        <v>2019</v>
      </c>
      <c r="C22" s="13" t="str" cm="1">
        <f t="array" ref="C22">_xlfn.IFS(VLOOKUP(F2,Table1[#All],15,FALSE)="BR",VLOOKUP(F2,Table3[#All],5,FALSE),VLOOKUP(F2,Table1[#All],15,FALSE)="Pointstreak",VLOOKUP(F2,Table3[#All],3,FALSE))</f>
        <v>Lafayette Aviators</v>
      </c>
      <c r="D22" s="13" cm="1">
        <f t="array" ref="D22">_xlfn.IFS(VLOOKUP(F2,Table1[#All],15,FALSE)="BR",VLOOKUP(F2,Table3[#All],14,FALSE),VLOOKUP(F2,Table1[#All],15,FALSE)="Pointstreak",VLOOKUP(F2,Table3[#All],7,FALSE))</f>
        <v>11</v>
      </c>
      <c r="E22" s="13" cm="1">
        <f t="array" ref="E22">_xlfn.IFS(VLOOKUP(F2,Table1[#All],15,FALSE)="BR",VLOOKUP(F2,Table3[#All],15,FALSE),VLOOKUP(F2,Table1[#All],15,FALSE)="Pointstreak",VLOOKUP(F2,Table3[#All],8,FALSE))</f>
        <v>4</v>
      </c>
      <c r="F22" s="13" cm="1">
        <f t="array" ref="F22">_xlfn.IFS(VLOOKUP(F2,Table1[#All],15,FALSE)="BR",VLOOKUP(F2,Table3[#All],9,FALSE),VLOOKUP(F2,Table1[#All],15,FALSE)="Pointstreak",VLOOKUP(F2,Table3[#All],4,FALSE))</f>
        <v>1</v>
      </c>
      <c r="G22" s="13" cm="1">
        <f t="array" ref="G22">_xlfn.IFS(VLOOKUP(F2,Table1[#All],15,FALSE)="BR",VLOOKUP(F2,Table3[#All],10,FALSE),VLOOKUP(F2,Table1[#All],15,FALSE)="Pointstreak",VLOOKUP(F2,Table3[#All],5,FALSE))</f>
        <v>1</v>
      </c>
      <c r="H22" s="13" cm="1">
        <f t="array" ref="H22">_xlfn.IFS(VLOOKUP(F2,Table1[#All],15,FALSE)="BR",VLOOKUP(F2,Table3[#All],19,FALSE),VLOOKUP(F2,Table1[#All],15,FALSE)="Pointstreak",VLOOKUP(F2,Table3[#All],10,FALSE))</f>
        <v>0</v>
      </c>
      <c r="I22" s="13" cm="1">
        <f t="array" ref="I22">_xlfn.IFS(VLOOKUP(F2,Table1[#All],15,FALSE)="BR",VLOOKUP(F2,Table3[#All],20,FALSE),VLOOKUP(F2,Table1[#All],15,FALSE)="Pointstreak",VLOOKUP(F2,Table3[#All],11,FALSE))</f>
        <v>26.1</v>
      </c>
      <c r="J22" s="13" cm="1">
        <f t="array" ref="J22">_xlfn.IFS(VLOOKUP(F2,Table1[#All],15,FALSE)="BR",VLOOKUP(F2,Table3[#All],21,FALSE),VLOOKUP(F2,Table1[#All],15,FALSE)="Pointstreak",VLOOKUP(F2,Table3[#All],14,FALSE))</f>
        <v>30</v>
      </c>
      <c r="K22" s="13" cm="1">
        <f t="array" ref="K22">_xlfn.IFS(VLOOKUP(F2,Table1[#All],15,FALSE)="BR",VLOOKUP(F2,Table3[#All],22,FALSE),VLOOKUP(F2,Table1[#All],15,FALSE)="Pointstreak","")</f>
        <v>24</v>
      </c>
      <c r="L22" s="13" cm="1">
        <f t="array" ref="L22">_xlfn.IFS(VLOOKUP(F2,Table1[#All],15,FALSE)="BR",VLOOKUP(F2,Table3[#All],23,FALSE),VLOOKUP(F2,Table1[#All],15,FALSE)="Pointstreak","")</f>
        <v>22</v>
      </c>
      <c r="M22" s="13" cm="1">
        <f t="array" ref="M22">_xlfn.IFS(VLOOKUP(F2,Table1[#All],15,FALSE)="BR",VLOOKUP(F2,Table3[#All],24,FALSE),VLOOKUP(F2,Table1[#All],15,FALSE)="Pointstreak","")</f>
        <v>4</v>
      </c>
      <c r="N22" s="13" cm="1">
        <f t="array" ref="N22">_xlfn.IFS(VLOOKUP(F2,Table1[#All],15,FALSE)="BR",VLOOKUP(F2,Table3[#All],25,FALSE),VLOOKUP(F2,Table1[#All],15,FALSE)="Pointstreak",VLOOKUP(F2,Table3[#All],13,FALSE))</f>
        <v>12</v>
      </c>
      <c r="O22" s="13" cm="1">
        <f t="array" ref="O22">_xlfn.IFS(VLOOKUP(F2,Table1[#All],15,FALSE)="BR",VLOOKUP(F2,Table3[#All],27,FALSE),VLOOKUP(F2,Table1[#All],15,FALSE)="Pointstreak",VLOOKUP(F2,Table3[#All],12,FALSE))</f>
        <v>18</v>
      </c>
      <c r="P22" s="13" cm="1">
        <f t="array" ref="P22">_xlfn.IFS(VLOOKUP(F2,Table1[#All],15,FALSE)="BR",VLOOKUP(F2,Table3[#All],12,FALSE),VLOOKUP(F2,Table1[#All],15,FALSE)="Pointstreak",VLOOKUP(F2,Table3[#All],6,FALSE))</f>
        <v>7.52</v>
      </c>
      <c r="Q22" s="15" cm="1">
        <f t="array" ref="Q22">_xlfn.IFS(VLOOKUP(F2,Table1[#All],15,FALSE)="BR",VLOOKUP(F2,Table3[#All],32,FALSE),VLOOKUP(F2,Table1[#All],15,FALSE)="Pointstreak","")</f>
        <v>1.595</v>
      </c>
      <c r="R22" s="15" cm="1">
        <f t="array" ref="R22">_xlfn.IFS(VLOOKUP(F2,Table1[#All],15,FALSE)="BR",VLOOKUP(F2,Table3[#All],36,FALSE),VLOOKUP(F2,Table1[#All],15,FALSE)="Pointstreak","")</f>
        <v>6.2</v>
      </c>
      <c r="S22" s="2"/>
    </row>
    <row r="23" spans="2:19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</sheetData>
  <mergeCells count="7">
    <mergeCell ref="B16:S16"/>
    <mergeCell ref="B20:S20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C91DE-6A93-49DB-94D6-A854BF3BCD64}">
  <dimension ref="B1:S22"/>
  <sheetViews>
    <sheetView workbookViewId="0">
      <selection activeCell="B21" sqref="B21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125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99</v>
      </c>
      <c r="O2" s="55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str">
        <f>"Position: " &amp; VLOOKUP(F2,Table1[#All],3,FALSE)</f>
        <v>Position: Outfielder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Left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8"/>
      <c r="C8" s="49"/>
      <c r="D8" s="50"/>
      <c r="F8" s="9" t="str">
        <f>"Height: " &amp; VLOOKUP(F2,Table1[#All],6,FALSE)</f>
        <v>Height: 5'8"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8"/>
      <c r="C9" s="49"/>
      <c r="D9" s="50"/>
      <c r="F9" s="9" t="str">
        <f>"Weight: " &amp; VLOOKUP(F2,Table1[#All],7,FALSE)</f>
        <v>Weight: 175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October 3, 2000 (R-Sophomore)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Grandville, MI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str">
        <f>"School: " &amp; VLOOKUP(F2,Table1[#All],9,FALSE)</f>
        <v>School: Ohio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Ohio</v>
      </c>
      <c r="D18" s="13" cm="1">
        <f t="array" ref="D18">_xlfn.IFS(VLOOKUP(F2,Table1[#All],14,FALSE)="NAIA Presto",VLOOKUP(F2,Table4[#All],4,FALSE),VLOOKUP(F2,Table1[#All],14,FALSE)="BR",VLOOKUP(F2,Table4[#All],9,FALSE))</f>
        <v>51</v>
      </c>
      <c r="E18" s="13" cm="1">
        <f t="array" ref="E18">_xlfn.IFS(VLOOKUP(F2,Table1[#All],14,FALSE)="NAIA Presto",VLOOKUP(F2,Table4[#All],5,FALSE),VLOOKUP(F2,Table1[#All],14,FALSE)="BR",VLOOKUP(F2,Table4[#All],11,FALSE))</f>
        <v>170</v>
      </c>
      <c r="F18" s="13" cm="1">
        <f t="array" ref="F18">_xlfn.IFS(VLOOKUP(F2,Table1[#All],14,FALSE)="NAIA Presto",VLOOKUP(F2,Table4[#All],6,FALSE),VLOOKUP(F2,Table1[#All],14,FALSE)="BR",VLOOKUP(F2,Table4[#All],12,FALSE))</f>
        <v>36</v>
      </c>
      <c r="G18" s="13" cm="1">
        <f t="array" ref="G18">_xlfn.IFS(VLOOKUP(F2,Table1[#All],14,FALSE)="NAIA Presto",VLOOKUP(F2,Table4[#All],7,FALSE),VLOOKUP(F2,Table1[#All],14,FALSE)="BR",VLOOKUP(F2,Table4[#All],13,FALSE))</f>
        <v>68</v>
      </c>
      <c r="H18" s="13" cm="1">
        <f t="array" ref="H18">_xlfn.IFS(VLOOKUP(F2,Table1[#All],14,FALSE)="NAIA Presto",VLOOKUP(F2,Table4[#All],8,FALSE),VLOOKUP(F2,Table1[#All],14,FALSE)="BR",VLOOKUP(F2,Table4[#All],14,FALSE))</f>
        <v>8</v>
      </c>
      <c r="I18" s="13" cm="1">
        <f t="array" ref="I18">_xlfn.IFS(VLOOKUP(F2,Table1[#All],14,FALSE)="NAIA Presto",VLOOKUP(F2,Table4[#All],9,FALSE),VLOOKUP(F2,Table1[#All],14,FALSE)="BR",VLOOKUP(F2,Table4[#All],15,FALSE))</f>
        <v>2</v>
      </c>
      <c r="J18" s="13" cm="1">
        <f t="array" ref="J18">_xlfn.IFS(VLOOKUP(F2,Table1[#All],14,FALSE)="NAIA Presto",VLOOKUP(F2,Table4[#All],10,FALSE),VLOOKUP(F2,Table1[#All],14,FALSE)="BR",VLOOKUP(F2,Table4[#All],16,FALSE))</f>
        <v>1</v>
      </c>
      <c r="K18" s="13" cm="1">
        <f t="array" ref="K18">_xlfn.IFS(VLOOKUP(F2,Table1[#All],14,FALSE)="NAIA Presto",VLOOKUP(F2,Table4[#All],11,FALSE),VLOOKUP(F2,Table1[#All],14,FALSE)="BR",VLOOKUP(F2,Table4[#All],17,FALSE))</f>
        <v>46</v>
      </c>
      <c r="L18" s="13" cm="1">
        <f t="array" ref="L18">_xlfn.IFS(VLOOKUP(F2,Table1[#All],14,FALSE)="NAIA Presto",VLOOKUP(F2,Table4[#All],14,FALSE),VLOOKUP(F2,Table1[#All],14,FALSE)="BR",VLOOKUP(F2,Table4[#All],18,FALSE))</f>
        <v>17</v>
      </c>
      <c r="M18" s="13" cm="1">
        <f t="array" ref="M18">_xlfn.IFS(VLOOKUP(F2,Table1[#All],14,FALSE)="NAIA Presto",VLOOKUP(F2,Table4[#All],15,FALSE),VLOOKUP(F2,Table1[#All],14,FALSE)="BR",VLOOKUP(F2,Table4[#All],19,FALSE))</f>
        <v>4</v>
      </c>
      <c r="N18" s="13" cm="1">
        <f t="array" ref="N18">_xlfn.IFS(VLOOKUP(F2,Table1[#All],14,FALSE)="NAIA Presto",VLOOKUP(F2,Table4[#All],12,FALSE),VLOOKUP(F2,Table1[#All],14,FALSE)="BR",VLOOKUP(F2,Table4[#All],20,FALSE))</f>
        <v>23</v>
      </c>
      <c r="O18" s="13" cm="1">
        <f t="array" ref="O18">_xlfn.IFS(VLOOKUP(F2,Table1[#All],14,FALSE)="NAIA Presto",VLOOKUP(F2,Table4[#All],13,FALSE),VLOOKUP(F2,Table1[#All],14,FALSE)="BR",VLOOKUP(F2,Table4[#All],21,FALSE))</f>
        <v>23</v>
      </c>
      <c r="P18" s="16" cm="1">
        <f t="array" ref="P18">_xlfn.IFS(VLOOKUP(F2,Table1[#All],14,FALSE)="NAIA Presto",VLOOKUP(F2,Table4[#All],16,FALSE),VLOOKUP(F2,Table1[#All],14,FALSE)="BR",VLOOKUP(F2,Table4[#All],22,FALSE))</f>
        <v>0.4</v>
      </c>
      <c r="Q18" s="16" cm="1">
        <f t="array" ref="Q18">_xlfn.IFS(VLOOKUP(F2,Table1[#All],14,FALSE)="NAIA Presto",VLOOKUP(F2,Table4[#All],17,FALSE),VLOOKUP(F2,Table1[#All],14,FALSE)="BR",VLOOKUP(F2,Table4[#All],23,FALSE))</f>
        <v>0.49</v>
      </c>
      <c r="R18" s="16" cm="1">
        <f t="array" ref="R18">_xlfn.IFS(VLOOKUP(F2,Table1[#All],14,FALSE)="NAIA Presto",VLOOKUP(F2,Table4[#All],18,FALSE),VLOOKUP(F2,Table1[#All],14,FALSE)="BR",VLOOKUP(F2,Table4[#All],24,FALSE))</f>
        <v>0.48799999999999999</v>
      </c>
      <c r="S18" s="16" cm="1">
        <f t="array" ref="S18">_xlfn.IFS(VLOOKUP(F2,Table1[#All],14,FALSE)="NAIA Presto",Q18+R18,VLOOKUP(F2,Table1[#All],14,FALSE)="BR",VLOOKUP(F2,Table4[#All],25,FALSE))</f>
        <v>0.97799999999999998</v>
      </c>
    </row>
    <row r="20" spans="2:19" x14ac:dyDescent="0.25">
      <c r="B20" s="44" t="s">
        <v>474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175</v>
      </c>
      <c r="F21" s="13" t="s">
        <v>156</v>
      </c>
      <c r="G21" s="13" t="s">
        <v>155</v>
      </c>
      <c r="H21" s="13" t="s">
        <v>176</v>
      </c>
      <c r="I21" s="13" t="s">
        <v>177</v>
      </c>
      <c r="J21" s="13" t="s">
        <v>158</v>
      </c>
      <c r="K21" s="13" t="s">
        <v>178</v>
      </c>
      <c r="L21" s="13" t="s">
        <v>179</v>
      </c>
      <c r="M21" s="13" t="s">
        <v>180</v>
      </c>
      <c r="N21" s="13" t="s">
        <v>159</v>
      </c>
      <c r="O21" s="13" t="s">
        <v>161</v>
      </c>
      <c r="P21" s="13" t="s">
        <v>181</v>
      </c>
      <c r="Q21" s="13" t="s">
        <v>182</v>
      </c>
      <c r="R21" s="13" t="s">
        <v>183</v>
      </c>
      <c r="S21" s="13" t="s">
        <v>184</v>
      </c>
    </row>
    <row r="22" spans="2:19" x14ac:dyDescent="0.25">
      <c r="B22" s="13">
        <f>VLOOKUP(F2,Table5[#All],2,FALSE)</f>
        <v>2021</v>
      </c>
      <c r="C22" s="20" t="str">
        <f>VLOOKUP(F2,Table5[#All],5,FALSE)</f>
        <v>Baton Rouge Rougarou</v>
      </c>
      <c r="D22" s="13">
        <f>VLOOKUP(F2,Table5[#All],9,FALSE)</f>
        <v>2</v>
      </c>
      <c r="E22" s="13">
        <f>VLOOKUP(F2,Table5[#All],11,FALSE)</f>
        <v>8</v>
      </c>
      <c r="F22" s="13">
        <f>VLOOKUP(F2,Table5[#All],12,FALSE)</f>
        <v>0</v>
      </c>
      <c r="G22" s="13">
        <f>VLOOKUP(F2,Table5[#All],13,FALSE)</f>
        <v>0</v>
      </c>
      <c r="H22" s="13">
        <f>VLOOKUP(F2,Table5[#All],14,FALSE)</f>
        <v>0</v>
      </c>
      <c r="I22" s="13">
        <f>VLOOKUP(F2,Table5[#All],15,FALSE)</f>
        <v>0</v>
      </c>
      <c r="J22" s="13">
        <f>VLOOKUP(F2,Table5[#All],16,FALSE)</f>
        <v>0</v>
      </c>
      <c r="K22" s="13">
        <f>VLOOKUP(F2,Table5[#All],17,FALSE)</f>
        <v>0</v>
      </c>
      <c r="L22" s="13">
        <f>VLOOKUP(F2,Table5[#All],18,FALSE)</f>
        <v>1</v>
      </c>
      <c r="M22" s="13">
        <f>VLOOKUP(F2,Table5[#All],19,FALSE)</f>
        <v>0</v>
      </c>
      <c r="N22" s="13">
        <f>VLOOKUP(F2,Table5[#All],20,FALSE)</f>
        <v>0</v>
      </c>
      <c r="O22" s="13">
        <f>VLOOKUP(F2,Table5[#All],21,FALSE)</f>
        <v>2</v>
      </c>
      <c r="P22" s="16">
        <f>VLOOKUP(F2,Table5[#All],22,FALSE)</f>
        <v>0</v>
      </c>
      <c r="Q22" s="16">
        <f>VLOOKUP(F2,Table5[#All],23,FALSE)</f>
        <v>0</v>
      </c>
      <c r="R22" s="16">
        <f>VLOOKUP(F2,Table5[#All],24,FALSE)</f>
        <v>0</v>
      </c>
      <c r="S22" s="16">
        <f>VLOOKUP(F2,Table5[#All],25,FALSE)</f>
        <v>0</v>
      </c>
    </row>
  </sheetData>
  <mergeCells count="7">
    <mergeCell ref="B16:S16"/>
    <mergeCell ref="B20:S20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FCE1F-4F28-4C35-A5F3-F61E0F99F23D}">
  <dimension ref="B2:S22"/>
  <sheetViews>
    <sheetView showGridLines="0" workbookViewId="0">
      <selection activeCell="L6" sqref="L6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123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5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Infielder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Both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6'0"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180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November 18, 2001 (R-Sophomore)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San Diego, CA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San Diego State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2021</v>
      </c>
      <c r="C18" s="13" t="str">
        <f>VLOOKUP(F2,Table1[#All],9,FALSE)</f>
        <v>San Diego State</v>
      </c>
      <c r="D18" s="13" cm="1">
        <f t="array" ref="D18">_xlfn.IFS(VLOOKUP(F2,Table1[#All],14,FALSE)="NAIA Presto",VLOOKUP(F2,Table4[#All],4,FALSE),VLOOKUP(F2,Table1[#All],14,FALSE)="BR",VLOOKUP(F2,Table4[#All],9,FALSE))</f>
        <v>19</v>
      </c>
      <c r="E18" s="13" cm="1">
        <f t="array" ref="E18">_xlfn.IFS(VLOOKUP(F2,Table1[#All],14,FALSE)="NAIA Presto",VLOOKUP(F2,Table4[#All],5,FALSE),VLOOKUP(F2,Table1[#All],14,FALSE)="BR",VLOOKUP(F2,Table4[#All],11,FALSE))</f>
        <v>50</v>
      </c>
      <c r="F18" s="13" cm="1">
        <f t="array" ref="F18">_xlfn.IFS(VLOOKUP(F2,Table1[#All],14,FALSE)="NAIA Presto",VLOOKUP(F2,Table4[#All],6,FALSE),VLOOKUP(F2,Table1[#All],14,FALSE)="BR",VLOOKUP(F2,Table4[#All],12,FALSE))</f>
        <v>8</v>
      </c>
      <c r="G18" s="13" cm="1">
        <f t="array" ref="G18">_xlfn.IFS(VLOOKUP(F2,Table1[#All],14,FALSE)="NAIA Presto",VLOOKUP(F2,Table4[#All],7,FALSE),VLOOKUP(F2,Table1[#All],14,FALSE)="BR",VLOOKUP(F2,Table4[#All],13,FALSE))</f>
        <v>12</v>
      </c>
      <c r="H18" s="13" cm="1">
        <f t="array" ref="H18">_xlfn.IFS(VLOOKUP(F2,Table1[#All],14,FALSE)="NAIA Presto",VLOOKUP(F2,Table4[#All],8,FALSE),VLOOKUP(F2,Table1[#All],14,FALSE)="BR",VLOOKUP(F2,Table4[#All],14,FALSE))</f>
        <v>2</v>
      </c>
      <c r="I18" s="13" cm="1">
        <f t="array" ref="I18">_xlfn.IFS(VLOOKUP(F2,Table1[#All],14,FALSE)="NAIA Presto",VLOOKUP(F2,Table4[#All],9,FALSE),VLOOKUP(F2,Table1[#All],14,FALSE)="BR",VLOOKUP(F2,Table4[#All],15,FALSE))</f>
        <v>0</v>
      </c>
      <c r="J18" s="13" cm="1">
        <f t="array" ref="J18">_xlfn.IFS(VLOOKUP(F2,Table1[#All],14,FALSE)="NAIA Presto",VLOOKUP(F2,Table4[#All],10,FALSE),VLOOKUP(F2,Table1[#All],14,FALSE)="BR",VLOOKUP(F2,Table4[#All],16,FALSE))</f>
        <v>0</v>
      </c>
      <c r="K18" s="13" cm="1">
        <f t="array" ref="K18">_xlfn.IFS(VLOOKUP(F2,Table1[#All],14,FALSE)="NAIA Presto",VLOOKUP(F2,Table4[#All],11,FALSE),VLOOKUP(F2,Table1[#All],14,FALSE)="BR",VLOOKUP(F2,Table4[#All],17,FALSE))</f>
        <v>0</v>
      </c>
      <c r="L18" s="13" cm="1">
        <f t="array" ref="L18">_xlfn.IFS(VLOOKUP(F2,Table1[#All],14,FALSE)="NAIA Presto",VLOOKUP(F2,Table4[#All],14,FALSE),VLOOKUP(F2,Table1[#All],14,FALSE)="BR",VLOOKUP(F2,Table4[#All],18,FALSE))</f>
        <v>0</v>
      </c>
      <c r="M18" s="13" cm="1">
        <f t="array" ref="M18">_xlfn.IFS(VLOOKUP(F2,Table1[#All],14,FALSE)="NAIA Presto",VLOOKUP(F2,Table4[#All],15,FALSE),VLOOKUP(F2,Table1[#All],14,FALSE)="BR",VLOOKUP(F2,Table4[#All],19,FALSE))</f>
        <v>0</v>
      </c>
      <c r="N18" s="13" cm="1">
        <f t="array" ref="N18">_xlfn.IFS(VLOOKUP(F2,Table1[#All],14,FALSE)="NAIA Presto",VLOOKUP(F2,Table4[#All],12,FALSE),VLOOKUP(F2,Table1[#All],14,FALSE)="BR",VLOOKUP(F2,Table4[#All],20,FALSE))</f>
        <v>8</v>
      </c>
      <c r="O18" s="13" cm="1">
        <f t="array" ref="O18">_xlfn.IFS(VLOOKUP(F2,Table1[#All],14,FALSE)="NAIA Presto",VLOOKUP(F2,Table4[#All],13,FALSE),VLOOKUP(F2,Table1[#All],14,FALSE)="BR",VLOOKUP(F2,Table4[#All],21,FALSE))</f>
        <v>10</v>
      </c>
      <c r="P18" s="16" cm="1">
        <f t="array" ref="P18">_xlfn.IFS(VLOOKUP(F2,Table1[#All],14,FALSE)="NAIA Presto",VLOOKUP(F2,Table4[#All],16,FALSE),VLOOKUP(F2,Table1[#All],14,FALSE)="BR",VLOOKUP(F2,Table4[#All],22,FALSE))</f>
        <v>0.24</v>
      </c>
      <c r="Q18" s="16" cm="1">
        <f t="array" ref="Q18">_xlfn.IFS(VLOOKUP(F2,Table1[#All],14,FALSE)="NAIA Presto",VLOOKUP(F2,Table4[#All],17,FALSE),VLOOKUP(F2,Table1[#All],14,FALSE)="BR",VLOOKUP(F2,Table4[#All],23,FALSE))</f>
        <v>0.39700000000000002</v>
      </c>
      <c r="R18" s="16" cm="1">
        <f t="array" ref="R18">_xlfn.IFS(VLOOKUP(F2,Table1[#All],14,FALSE)="NAIA Presto",VLOOKUP(F2,Table4[#All],18,FALSE),VLOOKUP(F2,Table1[#All],14,FALSE)="BR",VLOOKUP(F2,Table4[#All],24,FALSE))</f>
        <v>0.28000000000000003</v>
      </c>
      <c r="S18" s="16" cm="1">
        <f t="array" ref="S18">_xlfn.IFS(VLOOKUP(F2,Table1[#All],14,FALSE)="NAIA Presto",Q18+R18,VLOOKUP(F2,Table1[#All],14,FALSE)="BR",VLOOKUP(F2,Table4[#All],25,FALSE))</f>
        <v>0.67700000000000005</v>
      </c>
    </row>
    <row r="20" spans="2:19" x14ac:dyDescent="0.25">
      <c r="B20" s="44" t="s">
        <v>469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37" t="s">
        <v>187</v>
      </c>
      <c r="D21" s="13" t="s">
        <v>148</v>
      </c>
      <c r="E21" s="13" t="s">
        <v>175</v>
      </c>
      <c r="F21" s="13" t="s">
        <v>156</v>
      </c>
      <c r="G21" s="13" t="s">
        <v>155</v>
      </c>
      <c r="H21" s="13" t="s">
        <v>176</v>
      </c>
      <c r="I21" s="13" t="s">
        <v>177</v>
      </c>
      <c r="J21" s="13" t="s">
        <v>158</v>
      </c>
      <c r="K21" s="13" t="s">
        <v>178</v>
      </c>
      <c r="L21" s="13" t="s">
        <v>179</v>
      </c>
      <c r="M21" s="13" t="s">
        <v>180</v>
      </c>
      <c r="N21" s="13" t="s">
        <v>159</v>
      </c>
      <c r="O21" s="13" t="s">
        <v>161</v>
      </c>
      <c r="P21" s="13" t="s">
        <v>181</v>
      </c>
      <c r="Q21" s="13" t="s">
        <v>182</v>
      </c>
      <c r="R21" s="13" t="s">
        <v>183</v>
      </c>
      <c r="S21" s="13" t="s">
        <v>184</v>
      </c>
    </row>
    <row r="22" spans="2:19" x14ac:dyDescent="0.25">
      <c r="B22" s="38">
        <f>VLOOKUP(F2,Table5[#All],2,FALSE)</f>
        <v>2021</v>
      </c>
      <c r="C22" s="20" t="str">
        <f>VLOOKUP(F2,Table5[#All],5,FALSE)</f>
        <v>Princeton WhistlePigs</v>
      </c>
      <c r="D22" s="13">
        <f>VLOOKUP(F2,Table5[#All],9,FALSE)</f>
        <v>38</v>
      </c>
      <c r="E22" s="13">
        <f>VLOOKUP(F2,Table5[#All],11,FALSE)</f>
        <v>132</v>
      </c>
      <c r="F22" s="13">
        <f>VLOOKUP(F2,Table5[#All],12,FALSE)</f>
        <v>20</v>
      </c>
      <c r="G22" s="13">
        <f>VLOOKUP(F2,Table5[#All],13,FALSE)</f>
        <v>24</v>
      </c>
      <c r="H22" s="13">
        <f>VLOOKUP(F2,Table5[#All],14,FALSE)</f>
        <v>4</v>
      </c>
      <c r="I22" s="13">
        <f>VLOOKUP(F2,Table5[#All],15,FALSE)</f>
        <v>0</v>
      </c>
      <c r="J22" s="13">
        <f>VLOOKUP(F2,Table5[#All],16,FALSE)</f>
        <v>4</v>
      </c>
      <c r="K22" s="13">
        <f>VLOOKUP(F2,Table5[#All],17,FALSE)</f>
        <v>19</v>
      </c>
      <c r="L22" s="13">
        <f>VLOOKUP(F2,Table5[#All],18,FALSE)</f>
        <v>1</v>
      </c>
      <c r="M22" s="13">
        <f>VLOOKUP(F2,Table5[#All],19,FALSE)</f>
        <v>1</v>
      </c>
      <c r="N22" s="13">
        <f>VLOOKUP(F2,Table5[#All],20,FALSE)</f>
        <v>18</v>
      </c>
      <c r="O22" s="13">
        <f>VLOOKUP(F2,Table5[#All],21,FALSE)</f>
        <v>35</v>
      </c>
      <c r="P22" s="16">
        <f>VLOOKUP(F2,Table5[#All],22,FALSE)</f>
        <v>0.182</v>
      </c>
      <c r="Q22" s="16">
        <f>VLOOKUP(F2,Table5[#All],23,FALSE)</f>
        <v>0.28100000000000003</v>
      </c>
      <c r="R22" s="16">
        <f>VLOOKUP(F2,Table5[#All],24,FALSE)</f>
        <v>0.30299999999999999</v>
      </c>
      <c r="S22" s="16">
        <f>VLOOKUP(F2,Table5[#All],25,FALSE)</f>
        <v>0.58399999999999996</v>
      </c>
    </row>
  </sheetData>
  <mergeCells count="7">
    <mergeCell ref="B16:S16"/>
    <mergeCell ref="B20:S20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14E9-30D7-411B-BD45-5D4F3FEF7FA7}">
  <dimension ref="B1:S18"/>
  <sheetViews>
    <sheetView workbookViewId="0">
      <selection activeCell="F10" sqref="F10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106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99</v>
      </c>
      <c r="O2" s="55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str">
        <f>"Position: " &amp; VLOOKUP(F2,Table1[#All],3,FALSE)</f>
        <v>Position: Infielder/Right-Handed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8"/>
      <c r="C8" s="49"/>
      <c r="D8" s="50"/>
      <c r="F8" s="9" t="str">
        <f>"Height: " &amp; VLOOKUP(F2,Table1[#All],6,FALSE)</f>
        <v>Height: 6'3"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8"/>
      <c r="C9" s="49"/>
      <c r="D9" s="50"/>
      <c r="F9" s="9" t="str">
        <f>"Weight: " &amp; VLOOKUP(F2,Table1[#All],7,FALSE)</f>
        <v>Weight: 225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May 24, 2002 (Sophomore)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Bonner Springs, KS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str">
        <f>"School: " &amp; VLOOKUP(F2,Table1[#All],9,FALSE)</f>
        <v>School: Concordia-Nebraska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Concordia-Nebraska</v>
      </c>
      <c r="D18" s="13" cm="1">
        <f t="array" ref="D18">_xlfn.IFS(VLOOKUP(F2,Table1[#All],14,FALSE)="NAIA Presto",VLOOKUP(F2,Table4[#All],4,FALSE))</f>
        <v>58</v>
      </c>
      <c r="E18" s="13" cm="1">
        <f t="array" ref="E18">_xlfn.IFS(VLOOKUP(F2,Table1[#All],14,FALSE)="NAIA Presto",VLOOKUP(F2,Table4[#All],5,FALSE))</f>
        <v>173</v>
      </c>
      <c r="F18" s="13" cm="1">
        <f t="array" ref="F18">_xlfn.IFS(VLOOKUP(F2,Table1[#All],14,FALSE)="NAIA Presto",VLOOKUP(F2,Table4[#All],6,FALSE))</f>
        <v>59</v>
      </c>
      <c r="G18" s="13" cm="1">
        <f t="array" ref="G18">_xlfn.IFS(VLOOKUP(F2,Table1[#All],14,FALSE)="NAIA Presto",VLOOKUP(F2,Table4[#All],7,FALSE))</f>
        <v>59</v>
      </c>
      <c r="H18" s="13" cm="1">
        <f t="array" ref="H18">_xlfn.IFS(VLOOKUP(F2,Table1[#All],14,FALSE)="NAIA Presto",VLOOKUP(F2,Table4[#All],8,FALSE))</f>
        <v>10</v>
      </c>
      <c r="I18" s="13" cm="1">
        <f t="array" ref="I18">_xlfn.IFS(VLOOKUP(F2,Table1[#All],14,FALSE)="NAIA Presto",VLOOKUP(F2,Table4[#All],9,FALSE))</f>
        <v>1</v>
      </c>
      <c r="J18" s="13" cm="1">
        <f t="array" ref="J18">_xlfn.IFS(VLOOKUP(F2,Table1[#All],14,FALSE)="NAIA Presto",VLOOKUP(F2,Table4[#All],10,FALSE))</f>
        <v>19</v>
      </c>
      <c r="K18" s="13" cm="1">
        <f t="array" ref="K18">_xlfn.IFS(VLOOKUP(F2,Table1[#All],14,FALSE)="NAIA Presto",VLOOKUP(F2,Table4[#All],11,FALSE))</f>
        <v>58</v>
      </c>
      <c r="L18" s="13" cm="1">
        <f t="array" ref="L18">_xlfn.IFS(VLOOKUP(F2,Table1[#All],14,FALSE)="NAIA Presto",VLOOKUP(F2,Table4[#All],14,FALSE))</f>
        <v>3</v>
      </c>
      <c r="M18" s="13" cm="1">
        <f t="array" ref="M18">_xlfn.IFS(VLOOKUP(F2,Table1[#All],14,FALSE)="NAIA Presto",VLOOKUP(F2,Table4[#All],15,FALSE))</f>
        <v>1</v>
      </c>
      <c r="N18" s="13" cm="1">
        <f t="array" ref="N18">_xlfn.IFS(VLOOKUP(F2,Table1[#All],14,FALSE)="NAIA Presto",VLOOKUP(F2,Table4[#All],12,FALSE))</f>
        <v>35</v>
      </c>
      <c r="O18" s="13" cm="1">
        <f t="array" ref="O18">_xlfn.IFS(VLOOKUP(F2,Table1[#All],14,FALSE)="NAIA Presto",VLOOKUP(F2,Table4[#All],13,FALSE))</f>
        <v>48</v>
      </c>
      <c r="P18" s="16" cm="1">
        <f t="array" ref="P18">_xlfn.IFS(VLOOKUP(F2,Table1[#All],14,FALSE)="NAIA Presto",VLOOKUP(F2,Table4[#All],16,FALSE))</f>
        <v>0.34100000000000003</v>
      </c>
      <c r="Q18" s="16" cm="1">
        <f t="array" ref="Q18">_xlfn.IFS(VLOOKUP(F2,Table1[#All],14,FALSE)="NAIA Presto",VLOOKUP(F2,Table4[#All],17,FALSE))</f>
        <v>0.50600000000000001</v>
      </c>
      <c r="R18" s="16" cm="1">
        <f t="array" ref="R18">_xlfn.IFS(VLOOKUP(F2,Table1[#All],14,FALSE)="NAIA Presto",VLOOKUP(F2,Table4[#All],18,FALSE))</f>
        <v>0.74</v>
      </c>
      <c r="S18" s="16" cm="1">
        <f t="array" ref="S18">_xlfn.IFS(VLOOKUP(F2,Table1[#All],14,FALSE)="NAIA Presto",Q18+R18)</f>
        <v>1.246</v>
      </c>
    </row>
  </sheetData>
  <mergeCells count="6">
    <mergeCell ref="B16:S16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38619-640F-458A-9E96-6C49AB1FD3F4}">
  <dimension ref="B1:S18"/>
  <sheetViews>
    <sheetView workbookViewId="0">
      <selection activeCell="P11" sqref="P11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107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99</v>
      </c>
      <c r="O2" s="55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str">
        <f>"Position: " &amp; VLOOKUP(F2,Table1[#All],3,FALSE)</f>
        <v>Position: Left-Handed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Left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8"/>
      <c r="C8" s="49"/>
      <c r="D8" s="50"/>
      <c r="F8" s="9" t="str">
        <f>"Height: " &amp; VLOOKUP(F2,Table1[#All],6,FALSE)</f>
        <v>Height: 6'4"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8"/>
      <c r="C9" s="49"/>
      <c r="D9" s="50"/>
      <c r="F9" s="9" t="str">
        <f>"Weight: " &amp; VLOOKUP(F2,Table1[#All],7,FALSE)</f>
        <v>Weight: 243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April 16, 2000 (Senior)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Windsor, ON, CAN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str">
        <f>"School: " &amp; VLOOKUP(F2,Table1[#All],9,FALSE)</f>
        <v>School: Northern Kentucky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13" t="str">
        <f>VLOOKUP(F2,Table1[#All],9,FALSE)</f>
        <v>Northern Kentucky</v>
      </c>
      <c r="D18" s="14" cm="1">
        <f t="array" ref="D18">_xlfn.IFS(VLOOKUP(F2,Table1[#All],14,FALSE)="NAIA Presto", VLOOKUP(F2,Table2[#All],4,FALSE),VLOOKUP(F2,Table1[#All],14,FALSE)="BR",VLOOKUP(F2,Table2[#All],14,FALSE))</f>
        <v>4</v>
      </c>
      <c r="E18" s="14" cm="1">
        <f t="array" ref="E18">_xlfn.IFS(VLOOKUP(F2,Table1[#All],14,FALSE)="NAIA Presto", VLOOKUP(F2,Table2[#All],5,FALSE),VLOOKUP(F2,Table1[#All],14,FALSE)="BR", VLOOKUP(F2,Table2[#All],15,FALSE))</f>
        <v>0</v>
      </c>
      <c r="F18" s="14" cm="1">
        <f t="array" ref="F18">_xlfn.IFS(VLOOKUP(F2,Table1[#All],14,FALSE)="NAIA Presto", VLOOKUP(F2,Table2[#All],6,FALSE),VLOOKUP(F2,Table1[#All],14,FALSE)="BR", VLOOKUP(F2,Table2[#All],9,FALSE))</f>
        <v>1</v>
      </c>
      <c r="G18" s="14" cm="1">
        <f t="array" ref="G18">_xlfn.IFS(VLOOKUP(F2,Table1[#All],14,FALSE)="NAIA Presto", VLOOKUP(F2,Table2[#All],7,FALSE),VLOOKUP(F2,Table1[#All],14,FALSE)="BR", VLOOKUP(F2,Table2[#All],10,FALSE))</f>
        <v>0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14" cm="1">
        <f t="array" ref="I18">_xlfn.IFS(VLOOKUP(F2,Table1[#All],14,FALSE)="NAIA Presto", VLOOKUP(F2,Table2[#All],10,FALSE),VLOOKUP(F2,Table1[#All],14,FALSE)="BR", VLOOKUP(F2,Table2[#All],20,FALSE))</f>
        <v>7.2</v>
      </c>
      <c r="J18" s="14" cm="1">
        <f t="array" ref="J18">_xlfn.IFS(VLOOKUP(F2,Table1[#All],14,FALSE)="NAIA Presto", VLOOKUP(F2,Table2[#All],11,FALSE),VLOOKUP(F2,Table1[#All],14,FALSE)="BR", VLOOKUP(F2,Table2[#All],21,FALSE))</f>
        <v>6</v>
      </c>
      <c r="K18" s="14" cm="1">
        <f t="array" ref="K18">_xlfn.IFS(VLOOKUP(F2,Table1[#All],14,FALSE)="NAIA Presto", VLOOKUP(F2,Table2[#All],12,FALSE),VLOOKUP(F2,Table1[#All],14,FALSE)="BR", VLOOKUP(F2,Table2[#All],22,FALSE))</f>
        <v>3</v>
      </c>
      <c r="L18" s="14" cm="1">
        <f t="array" ref="L18">_xlfn.IFS(VLOOKUP(F2,Table1[#All],14,FALSE)="NAIA Presto", VLOOKUP(F2,Table2[#All],13,FALSE),VLOOKUP(F2,Table1[#All],14,FALSE)="BR", VLOOKUP(F2,Table2[#All],23,FALSE))</f>
        <v>3</v>
      </c>
      <c r="M18" s="14" cm="1">
        <f t="array" ref="M18">_xlfn.IFS(VLOOKUP(F2,Table1[#All],14,FALSE)="NAIA Presto", VLOOKUP(F2,Table2[#All],17,FALSE),VLOOKUP(F2,Table1[#All],14,FALSE)="BR", VLOOKUP(F2,Table2[#All],24,FALSE))</f>
        <v>0</v>
      </c>
      <c r="N18" s="14" cm="1">
        <f t="array" ref="N18">_xlfn.IFS(VLOOKUP(F2,Table1[#All],14,FALSE)="NAIA Presto", VLOOKUP(F2,Table2[#All],14,FALSE),VLOOKUP(F2,Table1[#All],14,FALSE)="BR", VLOOKUP(F2,Table2[#All],25,FALSE))</f>
        <v>4</v>
      </c>
      <c r="O18" s="14" cm="1">
        <f t="array" ref="O18">_xlfn.IFS(VLOOKUP(F2,Table1[#All],14,FALSE)="NAIA Presto", VLOOKUP(F2,Table2[#All],15,FALSE),VLOOKUP(F2,Table1[#All],14,FALSE)="BR", VLOOKUP(F2,Table2[#All],27,FALSE))</f>
        <v>11</v>
      </c>
      <c r="P18" s="14" cm="1">
        <f t="array" ref="P18">_xlfn.IFS(VLOOKUP(F2,Table1[#All],14,FALSE)="NAIA Presto", VLOOKUP(F2,Table2[#All],18,FALSE),VLOOKUP(F2,Table1[#All],14,FALSE)="BR", VLOOKUP(F2,Table2[#All],12,FALSE))</f>
        <v>3.52</v>
      </c>
      <c r="Q18" s="14" cm="1">
        <f t="array" ref="Q18">_xlfn.IFS(VLOOKUP(F2,Table1[#All],14,FALSE)="NAIA Presto", "",VLOOKUP(F2,Table1[#All],14,FALSE)="BR", VLOOKUP(F2,Table2[#All],32,FALSE))</f>
        <v>1.304</v>
      </c>
      <c r="R18" s="14" cm="1">
        <f t="array" ref="R18">_xlfn.IFS(VLOOKUP(F2,Table1[#All],14,FALSE)="NAIA Presto", VLOOKUP(F2,Table2[#All],16,FALSE),VLOOKUP(F2,Table1[#All],14,FALSE)="BR", VLOOKUP(F2,Table2[#All],36,FALSE))</f>
        <v>12.9</v>
      </c>
      <c r="S18" s="2"/>
    </row>
  </sheetData>
  <mergeCells count="6">
    <mergeCell ref="B16:S16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7F24-2A73-4F50-BCA6-B92055FF8F78}">
  <dimension ref="B2:S18"/>
  <sheetViews>
    <sheetView showGridLines="0" workbookViewId="0">
      <selection activeCell="E3" sqref="E3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108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13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6'0"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175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October 13, 2002 (Freshman)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Jenison, MI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Kellogg CC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13" t="str">
        <f>VLOOKUP(F2,Table1[#All],9,FALSE)</f>
        <v>Kellogg CC</v>
      </c>
      <c r="D18" s="14" cm="1">
        <f t="array" ref="D18">_xlfn.IFS(VLOOKUP(F2,Table1[#All],14,FALSE)="NAIA Presto", VLOOKUP(F2,Table2[#All],4,FALSE))</f>
        <v>21</v>
      </c>
      <c r="E18" s="14" cm="1">
        <f t="array" ref="E18">_xlfn.IFS(VLOOKUP(F2,Table1[#All],14,FALSE)="NAIA Presto", VLOOKUP(F2,Table2[#All],5,FALSE))</f>
        <v>0</v>
      </c>
      <c r="F18" s="14" cm="1">
        <f t="array" ref="F18">_xlfn.IFS(VLOOKUP(F2,Table1[#All],14,FALSE)="NAIA Presto", VLOOKUP(F2,Table2[#All],6,FALSE))</f>
        <v>3</v>
      </c>
      <c r="G18" s="14" cm="1">
        <f t="array" ref="G18">_xlfn.IFS(VLOOKUP(F2,Table1[#All],14,FALSE)="NAIA Presto", VLOOKUP(F2,Table2[#All],7,FALSE))</f>
        <v>0</v>
      </c>
      <c r="H18" s="14" cm="1">
        <f t="array" ref="H18">_xlfn.IFS(VLOOKUP(F2,Table1[#All],14,FALSE)="NAIA Presto", VLOOKUP(F2,Table2[#All],8,FALSE))</f>
        <v>7</v>
      </c>
      <c r="I18" s="14" cm="1">
        <f t="array" ref="I18">_xlfn.IFS(VLOOKUP(F2,Table1[#All],14,FALSE)="NAIA Presto", VLOOKUP(F2,Table2[#All],10,FALSE))</f>
        <v>38</v>
      </c>
      <c r="J18" s="14" cm="1">
        <f t="array" ref="J18">_xlfn.IFS(VLOOKUP(F2,Table1[#All],14,FALSE)="NAIA Presto", VLOOKUP(F2,Table2[#All],11,FALSE))</f>
        <v>27</v>
      </c>
      <c r="K18" s="14" cm="1">
        <f t="array" ref="K18">_xlfn.IFS(VLOOKUP(F2,Table1[#All],14,FALSE)="NAIA Presto", VLOOKUP(F2,Table2[#All],12,FALSE))</f>
        <v>15</v>
      </c>
      <c r="L18" s="14" cm="1">
        <f t="array" ref="L18">_xlfn.IFS(VLOOKUP(F2,Table1[#All],14,FALSE)="NAIA Presto", VLOOKUP(F2,Table2[#All],13,FALSE))</f>
        <v>12</v>
      </c>
      <c r="M18" s="14" cm="1">
        <f t="array" ref="M18">_xlfn.IFS(VLOOKUP(F2,Table1[#All],14,FALSE)="NAIA Presto", VLOOKUP(F2,Table2[#All],17,FALSE))</f>
        <v>3</v>
      </c>
      <c r="N18" s="14" cm="1">
        <f t="array" ref="N18">_xlfn.IFS(VLOOKUP(F2,Table1[#All],14,FALSE)="NAIA Presto", VLOOKUP(F2,Table2[#All],14,FALSE))</f>
        <v>17</v>
      </c>
      <c r="O18" s="14" cm="1">
        <f t="array" ref="O18">_xlfn.IFS(VLOOKUP(F2,Table1[#All],14,FALSE)="NAIA Presto", VLOOKUP(F2,Table2[#All],15,FALSE))</f>
        <v>50</v>
      </c>
      <c r="P18" s="14" cm="1">
        <f t="array" ref="P18">_xlfn.IFS(VLOOKUP(F2,Table1[#All],14,FALSE)="NAIA Presto", VLOOKUP(F2,Table2[#All],18,FALSE))</f>
        <v>2.84</v>
      </c>
      <c r="Q18" s="19">
        <f>(J18+N18)/I18</f>
        <v>1.1578947368421053</v>
      </c>
      <c r="R18" s="14" cm="1">
        <f t="array" ref="R18">_xlfn.IFS(VLOOKUP(F2,Table1[#All],14,FALSE)="NAIA Presto", VLOOKUP(F2,Table2[#All],16,FALSE))</f>
        <v>11.84</v>
      </c>
      <c r="S18" s="2"/>
    </row>
  </sheetData>
  <mergeCells count="5">
    <mergeCell ref="F13:O14"/>
    <mergeCell ref="B2:D14"/>
    <mergeCell ref="F2:M3"/>
    <mergeCell ref="N2:O3"/>
    <mergeCell ref="B16:R16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BF1AA-BEB5-4F5B-8CB9-33099390C260}">
  <dimension ref="B2:S18"/>
  <sheetViews>
    <sheetView showGridLines="0" workbookViewId="0">
      <selection activeCell="B2" sqref="B2:R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109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17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6'4"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187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April 20, 2000 (R-Sophomore)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Slidell, LA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Belhaven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13" t="str">
        <f>VLOOKUP(F2,Table1[#All],9,FALSE)</f>
        <v>Belhaven</v>
      </c>
      <c r="D18" s="14" cm="1">
        <f t="array" ref="D18">_xlfn.IFS(VLOOKUP(F2,Table1[#All],14,FALSE)="NAIA Presto", VLOOKUP(F2,Table2[#All],4,FALSE),VLOOKUP(F2,Table1[#All],14,FALSE)="BR",VLOOKUP(F2,Table2[#All],14,FALSE))</f>
        <v>11</v>
      </c>
      <c r="E18" s="14" cm="1">
        <f t="array" ref="E18">_xlfn.IFS(VLOOKUP(F2,Table1[#All],14,FALSE)="NAIA Presto", VLOOKUP(F2,Table2[#All],5,FALSE),VLOOKUP(F2,Table1[#All],14,FALSE)="BR", VLOOKUP(F2,Table2[#All],15,FALSE))</f>
        <v>11</v>
      </c>
      <c r="F18" s="14" cm="1">
        <f t="array" ref="F18">_xlfn.IFS(VLOOKUP(F2,Table1[#All],14,FALSE)="NAIA Presto", VLOOKUP(F2,Table2[#All],6,FALSE),VLOOKUP(F2,Table1[#All],14,FALSE)="BR", VLOOKUP(F2,Table2[#All],9,FALSE))</f>
        <v>8</v>
      </c>
      <c r="G18" s="14" cm="1">
        <f t="array" ref="G18">_xlfn.IFS(VLOOKUP(F2,Table1[#All],14,FALSE)="NAIA Presto", VLOOKUP(F2,Table2[#All],7,FALSE),VLOOKUP(F2,Table1[#All],14,FALSE)="BR", VLOOKUP(F2,Table2[#All],10,FALSE))</f>
        <v>1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14" cm="1">
        <f t="array" ref="I18">_xlfn.IFS(VLOOKUP(F2,Table1[#All],14,FALSE)="NAIA Presto", VLOOKUP(F2,Table2[#All],10,FALSE),VLOOKUP(F2,Table1[#All],14,FALSE)="BR", VLOOKUP(F2,Table2[#All],20,FALSE))</f>
        <v>85</v>
      </c>
      <c r="J18" s="14" cm="1">
        <f t="array" ref="J18">_xlfn.IFS(VLOOKUP(F2,Table1[#All],14,FALSE)="NAIA Presto", VLOOKUP(F2,Table2[#All],11,FALSE),VLOOKUP(F2,Table1[#All],14,FALSE)="BR", VLOOKUP(F2,Table2[#All],21,FALSE))</f>
        <v>67</v>
      </c>
      <c r="K18" s="14" cm="1">
        <f t="array" ref="K18">_xlfn.IFS(VLOOKUP(F2,Table1[#All],14,FALSE)="NAIA Presto", VLOOKUP(F2,Table2[#All],12,FALSE),VLOOKUP(F2,Table1[#All],14,FALSE)="BR", VLOOKUP(F2,Table2[#All],22,FALSE))</f>
        <v>22</v>
      </c>
      <c r="L18" s="14" cm="1">
        <f t="array" ref="L18">_xlfn.IFS(VLOOKUP(F2,Table1[#All],14,FALSE)="NAIA Presto", VLOOKUP(F2,Table2[#All],13,FALSE),VLOOKUP(F2,Table1[#All],14,FALSE)="BR", VLOOKUP(F2,Table2[#All],23,FALSE))</f>
        <v>19</v>
      </c>
      <c r="M18" s="14" cm="1">
        <f t="array" ref="M18">_xlfn.IFS(VLOOKUP(F2,Table1[#All],14,FALSE)="NAIA Presto", VLOOKUP(F2,Table2[#All],17,FALSE),VLOOKUP(F2,Table1[#All],14,FALSE)="BR", VLOOKUP(F2,Table2[#All],24,FALSE))</f>
        <v>2</v>
      </c>
      <c r="N18" s="14" cm="1">
        <f t="array" ref="N18">_xlfn.IFS(VLOOKUP(F2,Table1[#All],14,FALSE)="NAIA Presto", VLOOKUP(F2,Table2[#All],14,FALSE),VLOOKUP(F2,Table1[#All],14,FALSE)="BR", VLOOKUP(F2,Table2[#All],25,FALSE))</f>
        <v>10</v>
      </c>
      <c r="O18" s="14" cm="1">
        <f t="array" ref="O18">_xlfn.IFS(VLOOKUP(F2,Table1[#All],14,FALSE)="NAIA Presto", VLOOKUP(F2,Table2[#All],15,FALSE),VLOOKUP(F2,Table1[#All],14,FALSE)="BR", VLOOKUP(F2,Table2[#All],27,FALSE))</f>
        <v>84</v>
      </c>
      <c r="P18" s="14" cm="1">
        <f t="array" ref="P18">_xlfn.IFS(VLOOKUP(F2,Table1[#All],14,FALSE)="NAIA Presto", VLOOKUP(F2,Table2[#All],18,FALSE),VLOOKUP(F2,Table1[#All],14,FALSE)="BR", VLOOKUP(F2,Table2[#All],12,FALSE))</f>
        <v>2.0099999999999998</v>
      </c>
      <c r="Q18" s="19" cm="1">
        <f t="array" ref="Q18">_xlfn.IFS(VLOOKUP(F2,Table1[#All],14,FALSE)="NAIA Presto", "",VLOOKUP(F2,Table1[#All],14,FALSE)="BR", VLOOKUP(F2,Table2[#All],32,FALSE))</f>
        <v>0.90600000000000003</v>
      </c>
      <c r="R18" s="19" cm="1">
        <f t="array" ref="R18">_xlfn.IFS(VLOOKUP(F2,Table1[#All],14,FALSE)="NAIA Presto", VLOOKUP(F2,Table2[#All],16,FALSE),VLOOKUP(F2,Table1[#All],14,FALSE)="BR", VLOOKUP(F2,Table2[#All],36,FALSE))</f>
        <v>8.9</v>
      </c>
      <c r="S18" s="2"/>
    </row>
  </sheetData>
  <mergeCells count="5">
    <mergeCell ref="F13:O14"/>
    <mergeCell ref="B2:D14"/>
    <mergeCell ref="F2:M3"/>
    <mergeCell ref="N2:O3"/>
    <mergeCell ref="B16:R16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F58B-5B13-4375-B3F3-E35AB300043C}">
  <dimension ref="B1:S23"/>
  <sheetViews>
    <sheetView topLeftCell="A4" workbookViewId="0">
      <selection activeCell="O15" sqref="O15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110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34</v>
      </c>
      <c r="O2" s="55"/>
      <c r="P2" s="6"/>
      <c r="Q2" s="6"/>
      <c r="R2" s="6"/>
      <c r="S2" s="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8"/>
      <c r="C4" s="49"/>
      <c r="D4" s="50"/>
      <c r="G4" s="9"/>
      <c r="H4" s="9"/>
      <c r="I4" s="9"/>
      <c r="J4" s="9"/>
      <c r="K4" s="9"/>
      <c r="L4" s="9"/>
      <c r="M4" s="9"/>
      <c r="N4" s="23"/>
      <c r="O4" s="23"/>
      <c r="P4" s="6"/>
      <c r="Q4" s="6"/>
      <c r="R4" s="6"/>
      <c r="S4" s="6"/>
    </row>
    <row r="5" spans="2:19" x14ac:dyDescent="0.25">
      <c r="B5" s="48"/>
      <c r="C5" s="49"/>
      <c r="D5" s="50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Left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8"/>
      <c r="C8" s="49"/>
      <c r="D8" s="50"/>
      <c r="F8" s="9" t="str">
        <f>"Height: " &amp; VLOOKUP(F2,Table1[#All],6,FALSE)</f>
        <v>Height: 6'0"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8"/>
      <c r="C9" s="49"/>
      <c r="D9" s="50"/>
      <c r="F9" s="9" t="str">
        <f>"Weight: " &amp; VLOOKUP(F2,Table1[#All],7,FALSE)</f>
        <v>Weight: 205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November 16, 2000 (Junior)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Knoxville, TN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str">
        <f>"School: " &amp; VLOOKUP(F2,Table1[#All],9,FALSE)</f>
        <v>School: Johns Hopkins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13" t="str">
        <f>VLOOKUP(F2,Table1[#All],9,FALSE)</f>
        <v>Johns Hopkins</v>
      </c>
      <c r="D18" s="14" cm="1">
        <f t="array" ref="D18">_xlfn.IFS(VLOOKUP(F2,Table1[#All],14,FALSE)="NAIA Presto", VLOOKUP(F2,Table2[#All],4,FALSE),VLOOKUP(F2,Table1[#All],14,FALSE)="BR",VLOOKUP(F2,Table2[#All],14,FALSE))</f>
        <v>10</v>
      </c>
      <c r="E18" s="14" cm="1">
        <f t="array" ref="E18">_xlfn.IFS(VLOOKUP(F2,Table1[#All],14,FALSE)="NAIA Presto", VLOOKUP(F2,Table2[#All],5,FALSE),VLOOKUP(F2,Table1[#All],14,FALSE)="BR", VLOOKUP(F2,Table2[#All],15,FALSE))</f>
        <v>10</v>
      </c>
      <c r="F18" s="14" cm="1">
        <f t="array" ref="F18">_xlfn.IFS(VLOOKUP(F2,Table1[#All],14,FALSE)="NAIA Presto", VLOOKUP(F2,Table2[#All],6,FALSE),VLOOKUP(F2,Table1[#All],14,FALSE)="BR", VLOOKUP(F2,Table2[#All],9,FALSE))</f>
        <v>5</v>
      </c>
      <c r="G18" s="14" cm="1">
        <f t="array" ref="G18">_xlfn.IFS(VLOOKUP(F2,Table1[#All],14,FALSE)="NAIA Presto", VLOOKUP(F2,Table2[#All],7,FALSE),VLOOKUP(F2,Table1[#All],14,FALSE)="BR", VLOOKUP(F2,Table2[#All],10,FALSE))</f>
        <v>3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14" cm="1">
        <f t="array" ref="I18">_xlfn.IFS(VLOOKUP(F2,Table1[#All],14,FALSE)="NAIA Presto", VLOOKUP(F2,Table2[#All],10,FALSE),VLOOKUP(F2,Table1[#All],14,FALSE)="BR", VLOOKUP(F2,Table2[#All],20,FALSE))</f>
        <v>59</v>
      </c>
      <c r="J18" s="14" cm="1">
        <f t="array" ref="J18">_xlfn.IFS(VLOOKUP(F2,Table1[#All],14,FALSE)="NAIA Presto", VLOOKUP(F2,Table2[#All],11,FALSE),VLOOKUP(F2,Table1[#All],14,FALSE)="BR", VLOOKUP(F2,Table2[#All],21,FALSE))</f>
        <v>39</v>
      </c>
      <c r="K18" s="14" cm="1">
        <f t="array" ref="K18">_xlfn.IFS(VLOOKUP(F2,Table1[#All],14,FALSE)="NAIA Presto", VLOOKUP(F2,Table2[#All],12,FALSE),VLOOKUP(F2,Table1[#All],14,FALSE)="BR", VLOOKUP(F2,Table2[#All],22,FALSE))</f>
        <v>17</v>
      </c>
      <c r="L18" s="14" cm="1">
        <f t="array" ref="L18">_xlfn.IFS(VLOOKUP(F2,Table1[#All],14,FALSE)="NAIA Presto", VLOOKUP(F2,Table2[#All],13,FALSE),VLOOKUP(F2,Table1[#All],14,FALSE)="BR", VLOOKUP(F2,Table2[#All],23,FALSE))</f>
        <v>14</v>
      </c>
      <c r="M18" s="14" cm="1">
        <f t="array" ref="M18">_xlfn.IFS(VLOOKUP(F2,Table1[#All],14,FALSE)="NAIA Presto", VLOOKUP(F2,Table2[#All],17,FALSE),VLOOKUP(F2,Table1[#All],14,FALSE)="BR", VLOOKUP(F2,Table2[#All],24,FALSE))</f>
        <v>1</v>
      </c>
      <c r="N18" s="14" cm="1">
        <f t="array" ref="N18">_xlfn.IFS(VLOOKUP(F2,Table1[#All],14,FALSE)="NAIA Presto", VLOOKUP(F2,Table2[#All],14,FALSE),VLOOKUP(F2,Table1[#All],14,FALSE)="BR", VLOOKUP(F2,Table2[#All],25,FALSE))</f>
        <v>16</v>
      </c>
      <c r="O18" s="14" cm="1">
        <f t="array" ref="O18">_xlfn.IFS(VLOOKUP(F2,Table1[#All],14,FALSE)="NAIA Presto", VLOOKUP(F2,Table2[#All],15,FALSE),VLOOKUP(F2,Table1[#All],14,FALSE)="BR", VLOOKUP(F2,Table2[#All],27,FALSE))</f>
        <v>78</v>
      </c>
      <c r="P18" s="14" cm="1">
        <f t="array" ref="P18">_xlfn.IFS(VLOOKUP(F2,Table1[#All],14,FALSE)="NAIA Presto", VLOOKUP(F2,Table2[#All],18,FALSE),VLOOKUP(F2,Table1[#All],14,FALSE)="BR", VLOOKUP(F2,Table2[#All],12,FALSE))</f>
        <v>2.14</v>
      </c>
      <c r="Q18" s="19" cm="1">
        <f t="array" ref="Q18">_xlfn.IFS(VLOOKUP(F2,Table1[#All],14,FALSE)="NAIA Presto", "",VLOOKUP(F2,Table1[#All],14,FALSE)="BR", VLOOKUP(F2,Table2[#All],32,FALSE))</f>
        <v>0.93200000000000005</v>
      </c>
      <c r="R18" s="19" cm="1">
        <f t="array" ref="R18">_xlfn.IFS(VLOOKUP(F2,Table1[#All],14,FALSE)="NAIA Presto", VLOOKUP(F2,Table2[#All],16,FALSE),VLOOKUP(F2,Table1[#All],14,FALSE)="BR", VLOOKUP(F2,Table2[#All],36,FALSE))</f>
        <v>11.9</v>
      </c>
      <c r="S18" s="2"/>
    </row>
    <row r="20" spans="2:19" x14ac:dyDescent="0.25">
      <c r="B20" s="57" t="s">
        <v>470</v>
      </c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10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149</v>
      </c>
      <c r="F21" s="13" t="s">
        <v>143</v>
      </c>
      <c r="G21" s="13" t="s">
        <v>144</v>
      </c>
      <c r="H21" s="13" t="s">
        <v>153</v>
      </c>
      <c r="I21" s="13" t="s">
        <v>154</v>
      </c>
      <c r="J21" s="13" t="s">
        <v>155</v>
      </c>
      <c r="K21" s="13" t="s">
        <v>156</v>
      </c>
      <c r="L21" s="13" t="s">
        <v>157</v>
      </c>
      <c r="M21" s="13" t="s">
        <v>158</v>
      </c>
      <c r="N21" s="13" t="s">
        <v>159</v>
      </c>
      <c r="O21" s="13" t="s">
        <v>161</v>
      </c>
      <c r="P21" s="13" t="s">
        <v>146</v>
      </c>
      <c r="Q21" s="13" t="s">
        <v>166</v>
      </c>
      <c r="R21" s="13" t="s">
        <v>185</v>
      </c>
      <c r="S21" s="2"/>
    </row>
    <row r="22" spans="2:19" x14ac:dyDescent="0.25">
      <c r="B22" s="13">
        <f>VLOOKUP(F2,Table3[#All],2,FALSE)</f>
        <v>2021</v>
      </c>
      <c r="C22" s="13" t="str" cm="1">
        <f t="array" ref="C22">_xlfn.IFS(VLOOKUP(F2,Table1[#All],15,FALSE)="BR",VLOOKUP(F2,Table3[#All],5,FALSE),VLOOKUP(F2,Table1[#All],15,FALSE)="Pointstreak",VLOOKUP(F2,Table3[#All],3,FALSE))</f>
        <v>Wilson Tobs</v>
      </c>
      <c r="D22" s="13" cm="1">
        <f t="array" ref="D22">_xlfn.IFS(VLOOKUP(F2,Table1[#All],15,FALSE)="BR",VLOOKUP(F2,Table3[#All],14,FALSE),VLOOKUP(F2,Table1[#All],15,FALSE)="Pointstreak",VLOOKUP(F2,Table3[#All],7,FALSE))</f>
        <v>6</v>
      </c>
      <c r="E22" s="13" cm="1">
        <f t="array" ref="E22">_xlfn.IFS(VLOOKUP(F2,Table1[#All],15,FALSE)="BR",VLOOKUP(F2,Table3[#All],15,FALSE),VLOOKUP(F2,Table1[#All],15,FALSE)="Pointstreak",VLOOKUP(F2,Table3[#All],8,FALSE))</f>
        <v>6</v>
      </c>
      <c r="F22" s="13" cm="1">
        <f t="array" ref="F22">_xlfn.IFS(VLOOKUP(F2,Table1[#All],15,FALSE)="BR",VLOOKUP(F2,Table3[#All],9,FALSE),VLOOKUP(F2,Table1[#All],15,FALSE)="Pointstreak",VLOOKUP(F2,Table3[#All],4,FALSE))</f>
        <v>2</v>
      </c>
      <c r="G22" s="13" cm="1">
        <f t="array" ref="G22">_xlfn.IFS(VLOOKUP(F2,Table1[#All],15,FALSE)="BR",VLOOKUP(F2,Table3[#All],10,FALSE),VLOOKUP(F2,Table1[#All],15,FALSE)="Pointstreak",VLOOKUP(F2,Table3[#All],5,FALSE))</f>
        <v>2</v>
      </c>
      <c r="H22" s="13" cm="1">
        <f t="array" ref="H22">_xlfn.IFS(VLOOKUP(F2,Table1[#All],15,FALSE)="BR",VLOOKUP(F2,Table3[#All],19,FALSE),VLOOKUP(F2,Table1[#All],15,FALSE)="Pointstreak",VLOOKUP(F2,Table3[#All],10,FALSE))</f>
        <v>0</v>
      </c>
      <c r="I22" s="13" cm="1">
        <f t="array" ref="I22">_xlfn.IFS(VLOOKUP(F2,Table1[#All],15,FALSE)="BR",VLOOKUP(F2,Table3[#All],20,FALSE),VLOOKUP(F2,Table1[#All],15,FALSE)="Pointstreak",VLOOKUP(F2,Table3[#All],11,FALSE))</f>
        <v>25</v>
      </c>
      <c r="J22" s="13" cm="1">
        <f t="array" ref="J22">_xlfn.IFS(VLOOKUP(F2,Table1[#All],15,FALSE)="BR",VLOOKUP(F2,Table3[#All],21,FALSE),VLOOKUP(F2,Table1[#All],15,FALSE)="Pointstreak",VLOOKUP(F2,Table3[#All],14,FALSE))</f>
        <v>25</v>
      </c>
      <c r="K22" s="13" cm="1">
        <f t="array" ref="K22">_xlfn.IFS(VLOOKUP(F2,Table1[#All],15,FALSE)="BR",VLOOKUP(F2,Table3[#All],22,FALSE),VLOOKUP(F2,Table1[#All],15,FALSE)="Pointstreak","")</f>
        <v>19</v>
      </c>
      <c r="L22" s="13" cm="1">
        <f t="array" ref="L22">_xlfn.IFS(VLOOKUP(F2,Table1[#All],15,FALSE)="BR",VLOOKUP(F2,Table3[#All],23,FALSE),VLOOKUP(F2,Table1[#All],15,FALSE)="Pointstreak","")</f>
        <v>13</v>
      </c>
      <c r="M22" s="13" cm="1">
        <f t="array" ref="M22">_xlfn.IFS(VLOOKUP(F2,Table1[#All],15,FALSE)="BR",VLOOKUP(F2,Table3[#All],24,FALSE),VLOOKUP(F2,Table1[#All],15,FALSE)="Pointstreak","")</f>
        <v>2</v>
      </c>
      <c r="N22" s="13" cm="1">
        <f t="array" ref="N22">_xlfn.IFS(VLOOKUP(F2,Table1[#All],15,FALSE)="BR",VLOOKUP(F2,Table3[#All],25,FALSE),VLOOKUP(F2,Table1[#All],15,FALSE)="Pointstreak",VLOOKUP(F2,Table3[#All],13,FALSE))</f>
        <v>22</v>
      </c>
      <c r="O22" s="13" cm="1">
        <f t="array" ref="O22">_xlfn.IFS(VLOOKUP(F2,Table1[#All],15,FALSE)="BR",VLOOKUP(F2,Table3[#All],27,FALSE),VLOOKUP(F2,Table1[#All],15,FALSE)="Pointstreak",VLOOKUP(F2,Table3[#All],12,FALSE))</f>
        <v>28</v>
      </c>
      <c r="P22" s="13" cm="1">
        <f t="array" ref="P22">_xlfn.IFS(VLOOKUP(F2,Table1[#All],15,FALSE)="BR",VLOOKUP(F2,Table3[#All],12,FALSE),VLOOKUP(F2,Table1[#All],15,FALSE)="Pointstreak",VLOOKUP(F2,Table3[#All],6,FALSE))</f>
        <v>4.68</v>
      </c>
      <c r="Q22" s="15" cm="1">
        <f t="array" ref="Q22">_xlfn.IFS(VLOOKUP(F2,Table1[#All],15,FALSE)="BR",VLOOKUP(F2,Table3[#All],32,FALSE),VLOOKUP(F2,Table1[#All],15,FALSE)="Pointstreak","")</f>
        <v>1.88</v>
      </c>
      <c r="R22" s="13" cm="1">
        <f t="array" ref="R22">_xlfn.IFS(VLOOKUP(F2,Table1[#All],15,FALSE)="BR",VLOOKUP(F2,Table3[#All],36,FALSE),VLOOKUP(F2,Table1[#All],15,FALSE)="Pointstreak","")</f>
        <v>10.1</v>
      </c>
      <c r="S22" s="2"/>
    </row>
    <row r="23" spans="2:19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</sheetData>
  <mergeCells count="6">
    <mergeCell ref="B20:R20"/>
    <mergeCell ref="F13:O14"/>
    <mergeCell ref="B2:D14"/>
    <mergeCell ref="F2:M3"/>
    <mergeCell ref="N2:O3"/>
    <mergeCell ref="B16:R16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EA5CA-E920-45B5-B4E7-31CE5374FF38}">
  <dimension ref="B2:S22"/>
  <sheetViews>
    <sheetView showGridLines="0" workbookViewId="0">
      <selection activeCell="L7" sqref="L7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500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23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28"/>
      <c r="H4" s="28"/>
      <c r="I4" s="28"/>
      <c r="J4" s="28"/>
      <c r="K4" s="28"/>
      <c r="L4" s="28"/>
      <c r="M4" s="28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Catcher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9"/>
      <c r="C8" s="49"/>
      <c r="D8" s="49"/>
      <c r="F8" s="28" t="str">
        <f>"Height: " &amp; VLOOKUP(F2,Table1[#All],6,FALSE)</f>
        <v>Height: 5'10"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9"/>
      <c r="C9" s="49"/>
      <c r="D9" s="49"/>
      <c r="F9" s="28" t="str">
        <f>"Weight: " &amp; VLOOKUP(F2,Table1[#All],7,FALSE)</f>
        <v>Weight: 205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August 20, 2000 (R-Sophomore)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Southgate, MI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Michigan State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13" t="str">
        <f>VLOOKUP(F2,Table1[#All],9,FALSE)</f>
        <v>Michigan State</v>
      </c>
      <c r="D18" s="13" cm="1">
        <f t="array" ref="D18">_xlfn.IFS(VLOOKUP(F2,Table1[#All],14,FALSE)="NAIA Presto",VLOOKUP(F2,Table4[#All],4,FALSE),VLOOKUP(F2,Table1[#All],14,FALSE)="BR",VLOOKUP(F2,Table4[#All],9,FALSE))</f>
        <v>28</v>
      </c>
      <c r="E18" s="13" cm="1">
        <f t="array" ref="E18">_xlfn.IFS(VLOOKUP(F2,Table1[#All],14,FALSE)="NAIA Presto",VLOOKUP(F2,Table4[#All],5,FALSE),VLOOKUP(F2,Table1[#All],14,FALSE)="BR",VLOOKUP(F2,Table4[#All],11,FALSE))</f>
        <v>81</v>
      </c>
      <c r="F18" s="13" cm="1">
        <f t="array" ref="F18">_xlfn.IFS(VLOOKUP(F2,Table1[#All],14,FALSE)="NAIA Presto",VLOOKUP(F2,Table4[#All],6,FALSE),VLOOKUP(F2,Table1[#All],14,FALSE)="BR",VLOOKUP(F2,Table4[#All],12,FALSE))</f>
        <v>12</v>
      </c>
      <c r="G18" s="13" cm="1">
        <f t="array" ref="G18">_xlfn.IFS(VLOOKUP(F2,Table1[#All],14,FALSE)="NAIA Presto",VLOOKUP(F2,Table4[#All],7,FALSE),VLOOKUP(F2,Table1[#All],14,FALSE)="BR",VLOOKUP(F2,Table4[#All],13,FALSE))</f>
        <v>22</v>
      </c>
      <c r="H18" s="13" cm="1">
        <f t="array" ref="H18">_xlfn.IFS(VLOOKUP(F2,Table1[#All],14,FALSE)="NAIA Presto",VLOOKUP(F2,Table4[#All],8,FALSE),VLOOKUP(F2,Table1[#All],14,FALSE)="BR",VLOOKUP(F2,Table4[#All],14,FALSE))</f>
        <v>5</v>
      </c>
      <c r="I18" s="13" cm="1">
        <f t="array" ref="I18">_xlfn.IFS(VLOOKUP(F2,Table1[#All],14,FALSE)="NAIA Presto",VLOOKUP(F2,Table4[#All],9,FALSE),VLOOKUP(F2,Table1[#All],14,FALSE)="BR",VLOOKUP(F2,Table4[#All],15,FALSE))</f>
        <v>0</v>
      </c>
      <c r="J18" s="13" cm="1">
        <f t="array" ref="J18">_xlfn.IFS(VLOOKUP(F2,Table1[#All],14,FALSE)="NAIA Presto",VLOOKUP(F2,Table4[#All],10,FALSE),VLOOKUP(F2,Table1[#All],14,FALSE)="BR",VLOOKUP(F2,Table4[#All],16,FALSE))</f>
        <v>0</v>
      </c>
      <c r="K18" s="13" cm="1">
        <f t="array" ref="K18">_xlfn.IFS(VLOOKUP(F2,Table1[#All],14,FALSE)="NAIA Presto",VLOOKUP(F2,Table4[#All],11,FALSE),VLOOKUP(F2,Table1[#All],14,FALSE)="BR",VLOOKUP(F2,Table4[#All],17,FALSE))</f>
        <v>12</v>
      </c>
      <c r="L18" s="13" cm="1">
        <f t="array" ref="L18">_xlfn.IFS(VLOOKUP(F2,Table1[#All],14,FALSE)="NAIA Presto",VLOOKUP(F2,Table4[#All],14,FALSE),VLOOKUP(F2,Table1[#All],14,FALSE)="BR",VLOOKUP(F2,Table4[#All],18,FALSE))</f>
        <v>5</v>
      </c>
      <c r="M18" s="13" cm="1">
        <f t="array" ref="M18">_xlfn.IFS(VLOOKUP(F2,Table1[#All],14,FALSE)="NAIA Presto",VLOOKUP(F2,Table4[#All],15,FALSE),VLOOKUP(F2,Table1[#All],14,FALSE)="BR",VLOOKUP(F2,Table4[#All],19,FALSE))</f>
        <v>1</v>
      </c>
      <c r="N18" s="13" cm="1">
        <f t="array" ref="N18">_xlfn.IFS(VLOOKUP(F2,Table1[#All],14,FALSE)="NAIA Presto",VLOOKUP(F2,Table4[#All],12,FALSE),VLOOKUP(F2,Table1[#All],14,FALSE)="BR",VLOOKUP(F2,Table4[#All],20,FALSE))</f>
        <v>7</v>
      </c>
      <c r="O18" s="13" cm="1">
        <f t="array" ref="O18">_xlfn.IFS(VLOOKUP(F2,Table1[#All],14,FALSE)="NAIA Presto",VLOOKUP(F2,Table4[#All],13,FALSE),VLOOKUP(F2,Table1[#All],14,FALSE)="BR",VLOOKUP(F2,Table4[#All],21,FALSE))</f>
        <v>25</v>
      </c>
      <c r="P18" s="16" cm="1">
        <f t="array" ref="P18">_xlfn.IFS(VLOOKUP(F2,Table1[#All],14,FALSE)="NAIA Presto",VLOOKUP(F2,Table4[#All],16,FALSE),VLOOKUP(F2,Table1[#All],14,FALSE)="BR",VLOOKUP(F2,Table4[#All],22,FALSE))</f>
        <v>0.27200000000000002</v>
      </c>
      <c r="Q18" s="16" cm="1">
        <f t="array" ref="Q18">_xlfn.IFS(VLOOKUP(F2,Table1[#All],14,FALSE)="NAIA Presto",VLOOKUP(F2,Table4[#All],17,FALSE),VLOOKUP(F2,Table1[#All],14,FALSE)="BR",VLOOKUP(F2,Table4[#All],23,FALSE))</f>
        <v>0.36799999999999999</v>
      </c>
      <c r="R18" s="16" cm="1">
        <f t="array" ref="R18">_xlfn.IFS(VLOOKUP(F2,Table1[#All],14,FALSE)="NAIA Presto",VLOOKUP(F2,Table4[#All],18,FALSE),VLOOKUP(F2,Table1[#All],14,FALSE)="BR",VLOOKUP(F2,Table4[#All],24,FALSE))</f>
        <v>0.33300000000000002</v>
      </c>
      <c r="S18" s="16" cm="1">
        <f t="array" ref="S18">_xlfn.IFS(VLOOKUP(F2,Table1[#All],14,FALSE)="NAIA Presto",Q18+R18,VLOOKUP(F2,Table1[#All],14,FALSE)="BR",VLOOKUP(F2,Table4[#All],25,FALSE))</f>
        <v>0.70199999999999996</v>
      </c>
    </row>
    <row r="20" spans="2:19" x14ac:dyDescent="0.25">
      <c r="B20" s="44" t="s">
        <v>186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13" t="s">
        <v>187</v>
      </c>
      <c r="D21" s="13" t="s">
        <v>148</v>
      </c>
      <c r="E21" s="13" t="s">
        <v>175</v>
      </c>
      <c r="F21" s="13" t="s">
        <v>156</v>
      </c>
      <c r="G21" s="13" t="s">
        <v>155</v>
      </c>
      <c r="H21" s="13" t="s">
        <v>176</v>
      </c>
      <c r="I21" s="13" t="s">
        <v>177</v>
      </c>
      <c r="J21" s="13" t="s">
        <v>158</v>
      </c>
      <c r="K21" s="13" t="s">
        <v>178</v>
      </c>
      <c r="L21" s="13" t="s">
        <v>179</v>
      </c>
      <c r="M21" s="13" t="s">
        <v>180</v>
      </c>
      <c r="N21" s="13" t="s">
        <v>159</v>
      </c>
      <c r="O21" s="13" t="s">
        <v>161</v>
      </c>
      <c r="P21" s="13" t="s">
        <v>181</v>
      </c>
      <c r="Q21" s="13" t="s">
        <v>182</v>
      </c>
      <c r="R21" s="13" t="s">
        <v>183</v>
      </c>
      <c r="S21" s="13" t="s">
        <v>184</v>
      </c>
    </row>
    <row r="22" spans="2:19" x14ac:dyDescent="0.25">
      <c r="B22" s="13" cm="1">
        <f t="array" ref="B22">_xlfn.IFS(VLOOKUP(F2,Table1[#All],15,FALSE)="BR",VLOOKUP(F2,Table5[#All],2,FALSE),VLOOKUP(F2,Table1[#All],15,FALSE)="Pointstreak",VLOOKUP(F2,Table5[#All],2,FALSE))</f>
        <v>2019</v>
      </c>
      <c r="C22" s="30" t="str" cm="1">
        <f t="array" ref="C22">_xlfn.IFS(VLOOKUP(F2,Table1[#All],15,FALSE)="BR",VLOOKUP(F2,Table5[#All],5,FALSE),VLOOKUP(F2,Table1[#All],15,FALSE)="Pointstreak",VLOOKUP(F2,Table5[#All],3,FALSE))</f>
        <v>Charlottesville Tom Sox</v>
      </c>
      <c r="D22" s="13" cm="1">
        <f t="array" ref="D22">_xlfn.IFS(VLOOKUP(F2,Table1[#All],15,FALSE)="BR",VLOOKUP(F2,Table5[#All],9,FALSE),VLOOKUP(F2,Table1[#All],15,FALSE)="Pointstreak",VLOOKUP(F2,Table5[#All],4,FALSE))</f>
        <v>6</v>
      </c>
      <c r="E22" s="13" cm="1">
        <f t="array" ref="E22">_xlfn.IFS(VLOOKUP(F2,Table1[#All],15,FALSE)="BR",VLOOKUP(F2,Table5[#All],11,FALSE),VLOOKUP(F2,Table1[#All],15,FALSE)="Pointstreak",VLOOKUP(F2,Table5[#All],5,FALSE))</f>
        <v>14</v>
      </c>
      <c r="F22" s="13" cm="1">
        <f t="array" ref="F22">_xlfn.IFS(VLOOKUP(F2,Table1[#All],15,FALSE)="BR",VLOOKUP(F2,Table5[#All],12,FALSE),VLOOKUP(F2,Table1[#All],15,FALSE)="Pointstreak",VLOOKUP(F2,Table5[#All],6,FALSE))</f>
        <v>0</v>
      </c>
      <c r="G22" s="13" cm="1">
        <f t="array" ref="G22">_xlfn.IFS(VLOOKUP(F2,Table1[#All],15,FALSE)="BR",VLOOKUP(F2,Table5[#All],13,FALSE),VLOOKUP(F2,Table1[#All],15,FALSE)="Pointstreak",VLOOKUP(F2,Table5[#All],7,FALSE))</f>
        <v>1</v>
      </c>
      <c r="H22" s="13" cm="1">
        <f t="array" ref="H22">_xlfn.IFS(VLOOKUP(F2,Table1[#All],15,FALSE)="BR",VLOOKUP(F2,Table5[#All],14,FALSE),VLOOKUP(F2,Table1[#All],15,FALSE)="Pointstreak",VLOOKUP(F2,Table5[#All],8,FALSE))</f>
        <v>0</v>
      </c>
      <c r="I22" s="13" cm="1">
        <f t="array" ref="I22">_xlfn.IFS(VLOOKUP(F2,Table1[#All],15,FALSE)="BR",VLOOKUP(F2,Table5[#All],15,FALSE),VLOOKUP(F2,Table1[#All],15,FALSE)="Pointstreak",VLOOKUP(F2,Table5[#All],9,FALSE))</f>
        <v>0</v>
      </c>
      <c r="J22" s="13" cm="1">
        <f t="array" ref="J22">_xlfn.IFS(VLOOKUP(F2,Table1[#All],15,FALSE)="BR",VLOOKUP(F2,Table5[#All],16,FALSE),VLOOKUP(F2,Table1[#All],15,FALSE)="Pointstreak",VLOOKUP(F2,Table5[#All],10,FALSE))</f>
        <v>0</v>
      </c>
      <c r="K22" s="13" cm="1">
        <f t="array" ref="K22">_xlfn.IFS(VLOOKUP(F2,Table1[#All],15,FALSE)="BR",VLOOKUP(F2,Table5[#All],17,FALSE),VLOOKUP(F2,Table1[#All],15,FALSE)="Pointstreak",VLOOKUP(F2,Table5[#All],11,FALSE))</f>
        <v>1</v>
      </c>
      <c r="L22" s="13" cm="1">
        <f t="array" ref="L22">_xlfn.IFS(VLOOKUP(F2,Table1[#All],15,FALSE)="BR",VLOOKUP(F2,Table5[#All],18,FALSE),VLOOKUP(F2,Table1[#All],15,FALSE)="Pointstreak",VLOOKUP(F2,Table5[#All],14,FALSE))</f>
        <v>0</v>
      </c>
      <c r="M22" s="13" cm="1">
        <f t="array" ref="M22">_xlfn.IFS(VLOOKUP(F2,Table1[#All],15,FALSE)="BR",VLOOKUP(F2,Table5[#All],19,FALSE),VLOOKUP(F2,Table1[#All],15,FALSE)="Pointstreak","")</f>
        <v>0</v>
      </c>
      <c r="N22" s="13" cm="1">
        <f t="array" ref="N22">_xlfn.IFS(VLOOKUP(F2,Table1[#All],15,FALSE)="BR",VLOOKUP(F2,Table5[#All],20,FALSE),VLOOKUP(F2,Table1[#All],15,FALSE)="Pointstreak",VLOOKUP(F2,Table5[#All],12,FALSE))</f>
        <v>1</v>
      </c>
      <c r="O22" s="13" cm="1">
        <f t="array" ref="O22">_xlfn.IFS(VLOOKUP(F2,Table1[#All],15,FALSE)="BR",VLOOKUP(F2,Table5[#All],21,FALSE),VLOOKUP(F2,Table1[#All],15,FALSE)="Pointstreak",VLOOKUP(F2,Table5[#All],13,FALSE))</f>
        <v>4</v>
      </c>
      <c r="P22" s="16" cm="1">
        <f t="array" ref="P22">_xlfn.IFS(VLOOKUP(F2,Table1[#All],15,FALSE)="BR",VLOOKUP(F2,Table5[#All],22,FALSE),VLOOKUP(F2,Table1[#All],15,FALSE)="Pointstreak",VLOOKUP(F2,Table5[#All],15,FALSE))</f>
        <v>7.0999999999999994E-2</v>
      </c>
      <c r="Q22" s="16" cm="1">
        <f t="array" ref="Q22">_xlfn.IFS(VLOOKUP(F2,Table1[#All],15,FALSE)="BR",VLOOKUP(F2,Table5[#All],23,FALSE),VLOOKUP(F2,Table1[#All],15,FALSE)="Pointstreak","")</f>
        <v>0.13300000000000001</v>
      </c>
      <c r="R22" s="16" cm="1">
        <f t="array" ref="R22">_xlfn.IFS(VLOOKUP(F2,Table1[#All],15,FALSE)="BR",VLOOKUP(F2,Table5[#All],24,FALSE),VLOOKUP(F2,Table1[#All],15,FALSE)="Pointstreak",((G22-H22-I22-J22)+2*H22+3*I22+4*J22)/E22)</f>
        <v>7.0999999999999994E-2</v>
      </c>
      <c r="S22" s="16" cm="1">
        <f t="array" ref="S22">_xlfn.IFS(VLOOKUP(F2,Table1[#All],15,FALSE)="BR",VLOOKUP(F2,Table5[#All],25,FALSE),VLOOKUP(F2,Table1[#All],15,FALSE)="Pointstreak",Q22+R22)</f>
        <v>0.20499999999999999</v>
      </c>
    </row>
  </sheetData>
  <mergeCells count="7">
    <mergeCell ref="B20:S20"/>
    <mergeCell ref="B2:D14"/>
    <mergeCell ref="F2:M3"/>
    <mergeCell ref="N2:O3"/>
    <mergeCell ref="P2:S5"/>
    <mergeCell ref="F13:O14"/>
    <mergeCell ref="B16:S16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DE680-AD7C-4A82-888B-E1836F1B3842}">
  <dimension ref="B2:S18"/>
  <sheetViews>
    <sheetView workbookViewId="0">
      <selection activeCell="B2" sqref="B2:D14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115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99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Catcher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6'2"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210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September 13, 2000 (Sophomore)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St. Petersburg, FL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Middle Georgia State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175</v>
      </c>
      <c r="F17" s="13" t="s">
        <v>156</v>
      </c>
      <c r="G17" s="13" t="s">
        <v>155</v>
      </c>
      <c r="H17" s="13" t="s">
        <v>176</v>
      </c>
      <c r="I17" s="13" t="s">
        <v>177</v>
      </c>
      <c r="J17" s="13" t="s">
        <v>158</v>
      </c>
      <c r="K17" s="13" t="s">
        <v>178</v>
      </c>
      <c r="L17" s="13" t="s">
        <v>179</v>
      </c>
      <c r="M17" s="13" t="s">
        <v>180</v>
      </c>
      <c r="N17" s="13" t="s">
        <v>159</v>
      </c>
      <c r="O17" s="13" t="s">
        <v>161</v>
      </c>
      <c r="P17" s="13" t="s">
        <v>181</v>
      </c>
      <c r="Q17" s="13" t="s">
        <v>182</v>
      </c>
      <c r="R17" s="13" t="s">
        <v>183</v>
      </c>
      <c r="S17" s="13" t="s">
        <v>184</v>
      </c>
    </row>
    <row r="18" spans="2:19" x14ac:dyDescent="0.25">
      <c r="B18" s="13">
        <v>2022</v>
      </c>
      <c r="C18" s="20" t="str">
        <f>VLOOKUP(F2,Table1[#All],9,FALSE)</f>
        <v>Middle Georgia State</v>
      </c>
      <c r="D18" s="13" cm="1">
        <f t="array" ref="D18">_xlfn.IFS(VLOOKUP(F2,Table1[#All],14,FALSE)="NAIA Presto",VLOOKUP(F2,Table4[#All],4,FALSE))</f>
        <v>44</v>
      </c>
      <c r="E18" s="13" cm="1">
        <f t="array" ref="E18">_xlfn.IFS(VLOOKUP(F2,Table1[#All],14,FALSE)="NAIA Presto",VLOOKUP(F2,Table4[#All],5,FALSE))</f>
        <v>141</v>
      </c>
      <c r="F18" s="13" cm="1">
        <f t="array" ref="F18">_xlfn.IFS(VLOOKUP(F2,Table1[#All],14,FALSE)="NAIA Presto",VLOOKUP(F2,Table4[#All],6,FALSE))</f>
        <v>8</v>
      </c>
      <c r="G18" s="13" cm="1">
        <f t="array" ref="G18">_xlfn.IFS(VLOOKUP(F2,Table1[#All],14,FALSE)="NAIA Presto",VLOOKUP(F2,Table4[#All],7,FALSE))</f>
        <v>38</v>
      </c>
      <c r="H18" s="13" cm="1">
        <f t="array" ref="H18">_xlfn.IFS(VLOOKUP(F2,Table1[#All],14,FALSE)="NAIA Presto",VLOOKUP(F2,Table4[#All],8,FALSE))</f>
        <v>10</v>
      </c>
      <c r="I18" s="13" cm="1">
        <f t="array" ref="I18">_xlfn.IFS(VLOOKUP(F2,Table1[#All],14,FALSE)="NAIA Presto",VLOOKUP(F2,Table4[#All],9,FALSE))</f>
        <v>0</v>
      </c>
      <c r="J18" s="13" cm="1">
        <f t="array" ref="J18">_xlfn.IFS(VLOOKUP(F2,Table1[#All],14,FALSE)="NAIA Presto",VLOOKUP(F2,Table4[#All],10,FALSE))</f>
        <v>3</v>
      </c>
      <c r="K18" s="13" cm="1">
        <f t="array" ref="K18">_xlfn.IFS(VLOOKUP(F2,Table1[#All],14,FALSE)="NAIA Presto",VLOOKUP(F2,Table4[#All],11,FALSE))</f>
        <v>32</v>
      </c>
      <c r="L18" s="13" cm="1">
        <f t="array" ref="L18">_xlfn.IFS(VLOOKUP(F2,Table1[#All],14,FALSE)="NAIA Presto",VLOOKUP(F2,Table4[#All],14,FALSE))</f>
        <v>0</v>
      </c>
      <c r="M18" s="13" cm="1">
        <f t="array" ref="M18">_xlfn.IFS(VLOOKUP(F2,Table1[#All],14,FALSE)="NAIA Presto",VLOOKUP(F2,Table4[#All],15,FALSE))</f>
        <v>0</v>
      </c>
      <c r="N18" s="13" cm="1">
        <f t="array" ref="N18">_xlfn.IFS(VLOOKUP(F2,Table1[#All],14,FALSE)="NAIA Presto",VLOOKUP(F2,Table4[#All],12,FALSE))</f>
        <v>32</v>
      </c>
      <c r="O18" s="13" cm="1">
        <f t="array" ref="O18">_xlfn.IFS(VLOOKUP(F2,Table1[#All],14,FALSE)="NAIA Presto",VLOOKUP(F2,Table4[#All],13,FALSE))</f>
        <v>32</v>
      </c>
      <c r="P18" s="16" cm="1">
        <f t="array" ref="P18">_xlfn.IFS(VLOOKUP(F2,Table1[#All],14,FALSE)="NAIA Presto",VLOOKUP(F2,Table4[#All],16,FALSE))</f>
        <v>0.27</v>
      </c>
      <c r="Q18" s="16" cm="1">
        <f t="array" ref="Q18">_xlfn.IFS(VLOOKUP(F2,Table1[#All],14,FALSE)="NAIA Presto",VLOOKUP(F2,Table4[#All],17,FALSE))</f>
        <v>0.40899999999999997</v>
      </c>
      <c r="R18" s="16" cm="1">
        <f t="array" ref="R18">_xlfn.IFS(VLOOKUP(F2,Table1[#All],14,FALSE)="NAIA Presto",VLOOKUP(F2,Table4[#All],18,FALSE))</f>
        <v>0.40400000000000003</v>
      </c>
      <c r="S18" s="16" cm="1">
        <f t="array" ref="S18">_xlfn.IFS(VLOOKUP(F2,Table1[#All],14,FALSE)="NAIA Presto",Q18+R18)</f>
        <v>0.81299999999999994</v>
      </c>
    </row>
  </sheetData>
  <mergeCells count="6">
    <mergeCell ref="B16:S16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18208-E6E9-4134-A133-14D2124237CB}">
  <dimension ref="B2:S18"/>
  <sheetViews>
    <sheetView showGridLines="0" workbookViewId="0">
      <selection activeCell="B2" sqref="B2:R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111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28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6'4"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235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May 30, 2002 (R-Freshman)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Boerne, TX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Temple College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13" t="str">
        <f>VLOOKUP(F2,Table1[#All],9,FALSE)</f>
        <v>Temple College</v>
      </c>
      <c r="D18" s="14" cm="1">
        <f t="array" ref="D18">_xlfn.IFS(VLOOKUP(F2,Table1[#All],14,FALSE)="NAIA Presto", VLOOKUP(F2,Table2[#All],4,FALSE),VLOOKUP(F2,Table1[#All],14,FALSE)="BR",VLOOKUP(F2,Table2[#All],14,FALSE))</f>
        <v>11</v>
      </c>
      <c r="E18" s="14" cm="1">
        <f t="array" ref="E18">_xlfn.IFS(VLOOKUP(F2,Table1[#All],14,FALSE)="NAIA Presto", VLOOKUP(F2,Table2[#All],5,FALSE),VLOOKUP(F2,Table1[#All],14,FALSE)="BR", VLOOKUP(F2,Table2[#All],15,FALSE))</f>
        <v>0</v>
      </c>
      <c r="F18" s="14" cm="1">
        <f t="array" ref="F18">_xlfn.IFS(VLOOKUP(F2,Table1[#All],14,FALSE)="NAIA Presto", VLOOKUP(F2,Table2[#All],6,FALSE),VLOOKUP(F2,Table1[#All],14,FALSE)="BR", VLOOKUP(F2,Table2[#All],9,FALSE))</f>
        <v>1</v>
      </c>
      <c r="G18" s="14" cm="1">
        <f t="array" ref="G18">_xlfn.IFS(VLOOKUP(F2,Table1[#All],14,FALSE)="NAIA Presto", VLOOKUP(F2,Table2[#All],7,FALSE),VLOOKUP(F2,Table1[#All],14,FALSE)="BR", VLOOKUP(F2,Table2[#All],10,FALSE))</f>
        <v>1</v>
      </c>
      <c r="H18" s="14" cm="1">
        <f t="array" ref="H18">_xlfn.IFS(VLOOKUP(F2,Table1[#All],14,FALSE)="NAIA Presto", VLOOKUP(F2,Table2[#All],8,FALSE),VLOOKUP(F2,Table1[#All],14,FALSE)="BR", VLOOKUP(F2,Table2[#All],19,FALSE))</f>
        <v>1</v>
      </c>
      <c r="I18" s="39" cm="1">
        <f t="array" ref="I18">_xlfn.IFS(VLOOKUP(F2,Table1[#All],14,FALSE)="NAIA Presto", VLOOKUP(F2,Table2[#All],10,FALSE),VLOOKUP(F2,Table1[#All],14,FALSE)="BR", VLOOKUP(F2,Table2[#All],20,FALSE))</f>
        <v>17</v>
      </c>
      <c r="J18" s="14" cm="1">
        <f t="array" ref="J18">_xlfn.IFS(VLOOKUP(F2,Table1[#All],14,FALSE)="NAIA Presto", VLOOKUP(F2,Table2[#All],11,FALSE),VLOOKUP(F2,Table1[#All],14,FALSE)="BR", VLOOKUP(F2,Table2[#All],21,FALSE))</f>
        <v>6</v>
      </c>
      <c r="K18" s="14" cm="1">
        <f t="array" ref="K18">_xlfn.IFS(VLOOKUP(F2,Table1[#All],14,FALSE)="NAIA Presto", VLOOKUP(F2,Table2[#All],12,FALSE),VLOOKUP(F2,Table1[#All],14,FALSE)="BR", VLOOKUP(F2,Table2[#All],22,FALSE))</f>
        <v>10</v>
      </c>
      <c r="L18" s="14" cm="1">
        <f t="array" ref="L18">_xlfn.IFS(VLOOKUP(F2,Table1[#All],14,FALSE)="NAIA Presto", VLOOKUP(F2,Table2[#All],13,FALSE),VLOOKUP(F2,Table1[#All],14,FALSE)="BR", VLOOKUP(F2,Table2[#All],23,FALSE))</f>
        <v>6</v>
      </c>
      <c r="M18" s="14">
        <v>0</v>
      </c>
      <c r="N18" s="14" cm="1">
        <f t="array" ref="N18">_xlfn.IFS(VLOOKUP(F2,Table1[#All],14,FALSE)="NAIA Presto", VLOOKUP(F2,Table2[#All],14,FALSE),VLOOKUP(F2,Table1[#All],14,FALSE)="BR", VLOOKUP(F2,Table2[#All],25,FALSE))</f>
        <v>20</v>
      </c>
      <c r="O18" s="14" cm="1">
        <f t="array" ref="O18">_xlfn.IFS(VLOOKUP(F2,Table1[#All],14,FALSE)="NAIA Presto", VLOOKUP(F2,Table2[#All],15,FALSE),VLOOKUP(F2,Table1[#All],14,FALSE)="BR", VLOOKUP(F2,Table2[#All],27,FALSE))</f>
        <v>27</v>
      </c>
      <c r="P18" s="14" cm="1">
        <f t="array" ref="P18">_xlfn.IFS(VLOOKUP(F2,Table1[#All],14,FALSE)="NAIA Presto", VLOOKUP(F2,Table2[#All],18,FALSE),VLOOKUP(F2,Table1[#All],14,FALSE)="BR", VLOOKUP(F2,Table2[#All],12,FALSE))</f>
        <v>3.18</v>
      </c>
      <c r="Q18" s="14">
        <v>1.53</v>
      </c>
      <c r="R18" s="14" cm="1">
        <f t="array" ref="R18">_xlfn.IFS(VLOOKUP(F2,Table1[#All],14,FALSE)="NAIA Presto", VLOOKUP(F2,Table2[#All],16,FALSE),VLOOKUP(F2,Table1[#All],14,FALSE)="BR", VLOOKUP(F2,Table2[#All],36,FALSE))</f>
        <v>14.29</v>
      </c>
      <c r="S18" s="2"/>
    </row>
  </sheetData>
  <mergeCells count="5">
    <mergeCell ref="F13:O14"/>
    <mergeCell ref="B2:D14"/>
    <mergeCell ref="F2:M3"/>
    <mergeCell ref="N2:O3"/>
    <mergeCell ref="B16:R16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F2CFF-9292-4F53-9537-F0FEACBC30AA}">
  <dimension ref="B2:S25"/>
  <sheetViews>
    <sheetView showGridLines="0" workbookViewId="0">
      <selection activeCell="B2" sqref="B2:R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418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18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28"/>
      <c r="H4" s="28"/>
      <c r="I4" s="28"/>
      <c r="J4" s="28"/>
      <c r="K4" s="28"/>
      <c r="L4" s="28"/>
      <c r="M4" s="28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Infielder/Right-Handed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9"/>
      <c r="C8" s="49"/>
      <c r="D8" s="49"/>
      <c r="F8" s="28" t="str">
        <f>"Height: " &amp; VLOOKUP(F2,Table1[#All],6,FALSE)</f>
        <v>Height: 6'1"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9"/>
      <c r="C9" s="49"/>
      <c r="D9" s="49"/>
      <c r="F9" s="28" t="str">
        <f>"Weight: " &amp; VLOOKUP(F2,Table1[#All],7,FALSE)</f>
        <v>Weight: 195</v>
      </c>
      <c r="P9" s="6"/>
      <c r="Q9" s="6"/>
    </row>
    <row r="10" spans="2:19" ht="15" customHeight="1" x14ac:dyDescent="0.25">
      <c r="B10" s="49"/>
      <c r="C10" s="49"/>
      <c r="D10" s="49"/>
      <c r="F10" s="28" t="str">
        <f>"DOB: " &amp; VLOOKUP(F2, Table1[#All],8,FALSE) &amp; " (" &amp; VLOOKUP(F2,Table1[#All],11,FALSE) &amp; ")"</f>
        <v>DOB: October 19, 1997 (Senior)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Santo Domingo, DOM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Bryan College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31"/>
    </row>
    <row r="18" spans="2:19" x14ac:dyDescent="0.25">
      <c r="B18" s="13">
        <v>2022</v>
      </c>
      <c r="C18" s="13" t="str">
        <f>VLOOKUP(F2,Table1[#All],9,FALSE)</f>
        <v>Bryan College</v>
      </c>
      <c r="D18" s="14" cm="1">
        <f t="array" ref="D18">_xlfn.IFS(VLOOKUP(F2,Table1[#All],14,FALSE)="NAIA Presto", VLOOKUP(F2,Table2[#All],4,FALSE),VLOOKUP(F2,Table1[#All],14,FALSE)="BR",VLOOKUP(F2,Table2[#All],14,FALSE))</f>
        <v>17</v>
      </c>
      <c r="E18" s="14" cm="1">
        <f t="array" ref="E18">_xlfn.IFS(VLOOKUP(F2,Table1[#All],14,FALSE)="NAIA Presto", VLOOKUP(F2,Table2[#All],5,FALSE),VLOOKUP(F2,Table1[#All],14,FALSE)="BR", VLOOKUP(F2,Table2[#All],15,FALSE))</f>
        <v>8</v>
      </c>
      <c r="F18" s="14" cm="1">
        <f t="array" ref="F18">_xlfn.IFS(VLOOKUP(F2,Table1[#All],14,FALSE)="NAIA Presto", VLOOKUP(F2,Table2[#All],6,FALSE),VLOOKUP(F2,Table1[#All],14,FALSE)="BR", VLOOKUP(F2,Table2[#All],9,FALSE))</f>
        <v>3</v>
      </c>
      <c r="G18" s="14" cm="1">
        <f t="array" ref="G18">_xlfn.IFS(VLOOKUP(F2,Table1[#All],14,FALSE)="NAIA Presto", VLOOKUP(F2,Table2[#All],7,FALSE),VLOOKUP(F2,Table1[#All],14,FALSE)="BR", VLOOKUP(F2,Table2[#All],10,FALSE))</f>
        <v>1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39" cm="1">
        <f t="array" ref="I18">_xlfn.IFS(VLOOKUP(F2,Table1[#All],14,FALSE)="NAIA Presto", VLOOKUP(F2,Table2[#All],10,FALSE),VLOOKUP(F2,Table1[#All],14,FALSE)="BR", VLOOKUP(F2,Table2[#All],20,FALSE))</f>
        <v>42</v>
      </c>
      <c r="J18" s="14" cm="1">
        <f t="array" ref="J18">_xlfn.IFS(VLOOKUP(F2,Table1[#All],14,FALSE)="NAIA Presto", VLOOKUP(F2,Table2[#All],11,FALSE),VLOOKUP(F2,Table1[#All],14,FALSE)="BR", VLOOKUP(F2,Table2[#All],21,FALSE))</f>
        <v>27</v>
      </c>
      <c r="K18" s="14" cm="1">
        <f t="array" ref="K18">_xlfn.IFS(VLOOKUP(F2,Table1[#All],14,FALSE)="NAIA Presto", VLOOKUP(F2,Table2[#All],12,FALSE),VLOOKUP(F2,Table1[#All],14,FALSE)="BR", VLOOKUP(F2,Table2[#All],22,FALSE))</f>
        <v>19</v>
      </c>
      <c r="L18" s="14" cm="1">
        <f t="array" ref="L18">_xlfn.IFS(VLOOKUP(F2,Table1[#All],14,FALSE)="NAIA Presto", VLOOKUP(F2,Table2[#All],13,FALSE),VLOOKUP(F2,Table1[#All],14,FALSE)="BR", VLOOKUP(F2,Table2[#All],23,FALSE))</f>
        <v>17</v>
      </c>
      <c r="M18" s="14" cm="1">
        <f t="array" ref="M18">_xlfn.IFS(VLOOKUP(F2,Table1[#All],14,FALSE)="NAIA Presto", VLOOKUP(F2,Table2[#All],17,FALSE),VLOOKUP(F2,Table1[#All],14,FALSE)="BR", VLOOKUP(F2,Table2[#All],24,FALSE))</f>
        <v>4</v>
      </c>
      <c r="N18" s="14" cm="1">
        <f t="array" ref="N18">_xlfn.IFS(VLOOKUP(F2,Table1[#All],14,FALSE)="NAIA Presto", VLOOKUP(F2,Table2[#All],14,FALSE),VLOOKUP(F2,Table1[#All],14,FALSE)="BR", VLOOKUP(F2,Table2[#All],25,FALSE))</f>
        <v>17</v>
      </c>
      <c r="O18" s="14" cm="1">
        <f t="array" ref="O18">_xlfn.IFS(VLOOKUP(F2,Table1[#All],14,FALSE)="NAIA Presto", VLOOKUP(F2,Table2[#All],15,FALSE),VLOOKUP(F2,Table1[#All],14,FALSE)="BR", VLOOKUP(F2,Table2[#All],27,FALSE))</f>
        <v>68</v>
      </c>
      <c r="P18" s="14" cm="1">
        <f t="array" ref="P18">_xlfn.IFS(VLOOKUP(F2,Table1[#All],14,FALSE)="NAIA Presto", VLOOKUP(F2,Table2[#All],18,FALSE),VLOOKUP(F2,Table1[#All],14,FALSE)="BR", VLOOKUP(F2,Table2[#All],12,FALSE))</f>
        <v>3.64</v>
      </c>
      <c r="Q18" s="19">
        <f>(J18+N18)/I18</f>
        <v>1.0476190476190477</v>
      </c>
      <c r="R18" s="14" cm="1">
        <f t="array" ref="R18">_xlfn.IFS(VLOOKUP(F2,Table1[#All],14,FALSE)="NAIA Presto", VLOOKUP(F2,Table2[#All],16,FALSE),VLOOKUP(F2,Table1[#All],14,FALSE)="BR", VLOOKUP(F2,Table2[#All],36,FALSE))</f>
        <v>14.57</v>
      </c>
      <c r="S18" s="31"/>
    </row>
    <row r="19" spans="2:19" x14ac:dyDescent="0.25">
      <c r="B19" s="31"/>
      <c r="C19" s="31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31"/>
    </row>
    <row r="20" spans="2:19" x14ac:dyDescent="0.25">
      <c r="B20" s="13" t="s">
        <v>136</v>
      </c>
      <c r="C20" s="13" t="s">
        <v>174</v>
      </c>
      <c r="D20" s="13" t="s">
        <v>148</v>
      </c>
      <c r="E20" s="13" t="s">
        <v>175</v>
      </c>
      <c r="F20" s="13" t="s">
        <v>156</v>
      </c>
      <c r="G20" s="13" t="s">
        <v>155</v>
      </c>
      <c r="H20" s="13" t="s">
        <v>176</v>
      </c>
      <c r="I20" s="13" t="s">
        <v>177</v>
      </c>
      <c r="J20" s="13" t="s">
        <v>158</v>
      </c>
      <c r="K20" s="13" t="s">
        <v>178</v>
      </c>
      <c r="L20" s="13" t="s">
        <v>179</v>
      </c>
      <c r="M20" s="13" t="s">
        <v>180</v>
      </c>
      <c r="N20" s="13" t="s">
        <v>159</v>
      </c>
      <c r="O20" s="13" t="s">
        <v>161</v>
      </c>
      <c r="P20" s="13" t="s">
        <v>181</v>
      </c>
      <c r="Q20" s="13" t="s">
        <v>182</v>
      </c>
      <c r="R20" s="13" t="s">
        <v>183</v>
      </c>
      <c r="S20" s="13" t="s">
        <v>184</v>
      </c>
    </row>
    <row r="21" spans="2:19" x14ac:dyDescent="0.25">
      <c r="B21" s="13">
        <v>2022</v>
      </c>
      <c r="C21" s="13" t="str">
        <f>VLOOKUP(F2,Table1[#All],9,FALSE)</f>
        <v>Bryan College</v>
      </c>
      <c r="D21" s="13" cm="1">
        <f t="array" ref="D21">_xlfn.IFS(VLOOKUP(F2,Table1[#All],14,FALSE)="NAIA Presto",VLOOKUP(F2,Table4[#All],4,FALSE),VLOOKUP(F2,Table1[#All],14,FALSE)="BR",VLOOKUP(F2,Table4[#All],9,FALSE))</f>
        <v>35</v>
      </c>
      <c r="E21" s="13" cm="1">
        <f t="array" ref="E21">_xlfn.IFS(VLOOKUP(F2,Table1[#All],14,FALSE)="NAIA Presto",VLOOKUP(F2,Table4[#All],5,FALSE),VLOOKUP(F2,Table1[#All],14,FALSE)="BR",VLOOKUP(F2,Table4[#All],11,FALSE))</f>
        <v>15</v>
      </c>
      <c r="F21" s="13" cm="1">
        <f t="array" ref="F21">_xlfn.IFS(VLOOKUP(F2,Table1[#All],14,FALSE)="NAIA Presto",VLOOKUP(F2,Table4[#All],6,FALSE),VLOOKUP(F2,Table1[#All],14,FALSE)="BR",VLOOKUP(F2,Table4[#All],12,FALSE))</f>
        <v>7</v>
      </c>
      <c r="G21" s="13" cm="1">
        <f t="array" ref="G21">_xlfn.IFS(VLOOKUP(F2,Table1[#All],14,FALSE)="NAIA Presto",VLOOKUP(F2,Table4[#All],7,FALSE),VLOOKUP(F2,Table1[#All],14,FALSE)="BR",VLOOKUP(F2,Table4[#All],13,FALSE))</f>
        <v>5</v>
      </c>
      <c r="H21" s="13" cm="1">
        <f t="array" ref="H21">_xlfn.IFS(VLOOKUP(F2,Table1[#All],14,FALSE)="NAIA Presto",VLOOKUP(F2,Table4[#All],8,FALSE),VLOOKUP(F2,Table1[#All],14,FALSE)="BR",VLOOKUP(F2,Table4[#All],14,FALSE))</f>
        <v>0</v>
      </c>
      <c r="I21" s="13" cm="1">
        <f t="array" ref="I21">_xlfn.IFS(VLOOKUP(F2,Table1[#All],14,FALSE)="NAIA Presto",VLOOKUP(F2,Table4[#All],9,FALSE),VLOOKUP(F2,Table1[#All],14,FALSE)="BR",VLOOKUP(F2,Table4[#All],15,FALSE))</f>
        <v>0</v>
      </c>
      <c r="J21" s="13" cm="1">
        <f t="array" ref="J21">_xlfn.IFS(VLOOKUP(F2,Table1[#All],14,FALSE)="NAIA Presto",VLOOKUP(F2,Table4[#All],10,FALSE),VLOOKUP(F2,Table1[#All],14,FALSE)="BR",VLOOKUP(F2,Table4[#All],16,FALSE))</f>
        <v>1</v>
      </c>
      <c r="K21" s="13" cm="1">
        <f t="array" ref="K21">_xlfn.IFS(VLOOKUP(F2,Table1[#All],14,FALSE)="NAIA Presto",VLOOKUP(F2,Table4[#All],11,FALSE),VLOOKUP(F2,Table1[#All],14,FALSE)="BR",VLOOKUP(F2,Table4[#All],17,FALSE))</f>
        <v>7</v>
      </c>
      <c r="L21" s="13" cm="1">
        <f t="array" ref="L21">_xlfn.IFS(VLOOKUP(F2,Table1[#All],14,FALSE)="NAIA Presto",VLOOKUP(F2,Table4[#All],14,FALSE),VLOOKUP(F2,Table1[#All],14,FALSE)="BR",VLOOKUP(F2,Table4[#All],18,FALSE))</f>
        <v>2</v>
      </c>
      <c r="M21" s="13" cm="1">
        <f t="array" ref="M21">_xlfn.IFS(VLOOKUP(F2,Table1[#All],14,FALSE)="NAIA Presto",VLOOKUP(F2,Table4[#All],15,FALSE),VLOOKUP(F2,Table1[#All],14,FALSE)="BR",VLOOKUP(F2,Table4[#All],19,FALSE))</f>
        <v>1</v>
      </c>
      <c r="N21" s="13" cm="1">
        <f t="array" ref="N21">_xlfn.IFS(VLOOKUP(F2,Table1[#All],14,FALSE)="NAIA Presto",VLOOKUP(F2,Table4[#All],12,FALSE),VLOOKUP(F2,Table1[#All],14,FALSE)="BR",VLOOKUP(F2,Table4[#All],20,FALSE))</f>
        <v>1</v>
      </c>
      <c r="O21" s="13" cm="1">
        <f t="array" ref="O21">_xlfn.IFS(VLOOKUP(F2,Table1[#All],14,FALSE)="NAIA Presto",VLOOKUP(F2,Table4[#All],13,FALSE),VLOOKUP(F2,Table1[#All],14,FALSE)="BR",VLOOKUP(F2,Table4[#All],21,FALSE))</f>
        <v>8</v>
      </c>
      <c r="P21" s="16" cm="1">
        <f t="array" ref="P21">_xlfn.IFS(VLOOKUP(F2,Table1[#All],14,FALSE)="NAIA Presto",VLOOKUP(F2,Table4[#All],16,FALSE),VLOOKUP(F2,Table1[#All],14,FALSE)="BR",VLOOKUP(F2,Table4[#All],22,FALSE))</f>
        <v>0.33300000000000002</v>
      </c>
      <c r="Q21" s="16" cm="1">
        <f t="array" ref="Q21">_xlfn.IFS(VLOOKUP(F2,Table1[#All],14,FALSE)="NAIA Presto",VLOOKUP(F2,Table4[#All],17,FALSE),VLOOKUP(F2,Table1[#All],14,FALSE)="BR",VLOOKUP(F2,Table4[#All],23,FALSE))</f>
        <v>0.41199999999999998</v>
      </c>
      <c r="R21" s="16" cm="1">
        <f t="array" ref="R21">_xlfn.IFS(VLOOKUP(F2,Table1[#All],14,FALSE)="NAIA Presto",VLOOKUP(F2,Table4[#All],18,FALSE),VLOOKUP(F2,Table1[#All],14,FALSE)="BR",VLOOKUP(F2,Table4[#All],24,FALSE))</f>
        <v>0.53300000000000003</v>
      </c>
      <c r="S21" s="16" cm="1">
        <f t="array" ref="S21">_xlfn.IFS(VLOOKUP(F2,Table1[#All],14,FALSE)="NAIA Presto",Q21+R21,VLOOKUP(F2,Table1[#All],14,FALSE)="BR",VLOOKUP(F2,Table4[#All],25,FALSE))</f>
        <v>0.94500000000000006</v>
      </c>
    </row>
    <row r="23" spans="2:19" x14ac:dyDescent="0.25">
      <c r="B23" s="44" t="s">
        <v>475</v>
      </c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</row>
    <row r="24" spans="2:19" x14ac:dyDescent="0.25">
      <c r="B24" s="13" t="s">
        <v>136</v>
      </c>
      <c r="C24" s="13" t="s">
        <v>187</v>
      </c>
      <c r="D24" s="13" t="s">
        <v>148</v>
      </c>
      <c r="E24" s="13" t="s">
        <v>175</v>
      </c>
      <c r="F24" s="13" t="s">
        <v>156</v>
      </c>
      <c r="G24" s="13" t="s">
        <v>155</v>
      </c>
      <c r="H24" s="13" t="s">
        <v>176</v>
      </c>
      <c r="I24" s="13" t="s">
        <v>177</v>
      </c>
      <c r="J24" s="13" t="s">
        <v>158</v>
      </c>
      <c r="K24" s="13" t="s">
        <v>178</v>
      </c>
      <c r="L24" s="13" t="s">
        <v>179</v>
      </c>
      <c r="M24" s="13" t="s">
        <v>180</v>
      </c>
      <c r="N24" s="13" t="s">
        <v>159</v>
      </c>
      <c r="O24" s="13" t="s">
        <v>161</v>
      </c>
      <c r="P24" s="13" t="s">
        <v>181</v>
      </c>
      <c r="Q24" s="13" t="s">
        <v>182</v>
      </c>
      <c r="R24" s="13" t="s">
        <v>183</v>
      </c>
      <c r="S24" s="13" t="s">
        <v>184</v>
      </c>
    </row>
    <row r="25" spans="2:19" x14ac:dyDescent="0.25">
      <c r="B25" s="13" cm="1">
        <f t="array" ref="B25">_xlfn.IFS(VLOOKUP(F2,Table1[#All],15,FALSE)="BR",VLOOKUP(F2,Table5[#All],2,FALSE),VLOOKUP(F2,Table1[#All],15,FALSE)="Pointstreak",VLOOKUP(F2,Table5[#All],2,FALSE))</f>
        <v>2018</v>
      </c>
      <c r="C25" s="13" t="str" cm="1">
        <f t="array" ref="C25">_xlfn.IFS(VLOOKUP(F2,Table1[#All],15,FALSE)="BR",VLOOKUP(F2,Table5[#All],5,FALSE),VLOOKUP(F2,Table1[#All],15,FALSE)="Pointstreak",VLOOKUP(F2,Table5[#All],3,FALSE))</f>
        <v>Weyburn Beavers</v>
      </c>
      <c r="D25" s="13" cm="1">
        <f t="array" ref="D25">_xlfn.IFS(VLOOKUP(F2,Table1[#All],15,FALSE)="BR",VLOOKUP(F2,Table5[#All],9,FALSE),VLOOKUP(F2,Table1[#All],15,FALSE)="Pointstreak",VLOOKUP(F2,Table5[#All],4,FALSE))</f>
        <v>18</v>
      </c>
      <c r="E25" s="13" cm="1">
        <f t="array" ref="E25">_xlfn.IFS(VLOOKUP(F2,Table1[#All],15,FALSE)="BR",VLOOKUP(F2,Table5[#All],11,FALSE),VLOOKUP(F2,Table1[#All],15,FALSE)="Pointstreak",VLOOKUP(F2,Table5[#All],5,FALSE))</f>
        <v>39</v>
      </c>
      <c r="F25" s="13" cm="1">
        <f t="array" ref="F25">_xlfn.IFS(VLOOKUP(F2,Table1[#All],15,FALSE)="BR",VLOOKUP(F2,Table5[#All],12,FALSE),VLOOKUP(F2,Table1[#All],15,FALSE)="Pointstreak",VLOOKUP(F2,Table5[#All],6,FALSE))</f>
        <v>6</v>
      </c>
      <c r="G25" s="13" cm="1">
        <f t="array" ref="G25">_xlfn.IFS(VLOOKUP(F2,Table1[#All],15,FALSE)="BR",VLOOKUP(F2,Table5[#All],13,FALSE),VLOOKUP(F2,Table1[#All],15,FALSE)="Pointstreak",VLOOKUP(F2,Table5[#All],7,FALSE))</f>
        <v>5</v>
      </c>
      <c r="H25" s="13" cm="1">
        <f t="array" ref="H25">_xlfn.IFS(VLOOKUP(F2,Table1[#All],15,FALSE)="BR",VLOOKUP(F2,Table5[#All],14,FALSE),VLOOKUP(F2,Table1[#All],15,FALSE)="Pointstreak",VLOOKUP(F2,Table5[#All],8,FALSE))</f>
        <v>0</v>
      </c>
      <c r="I25" s="13" cm="1">
        <f t="array" ref="I25">_xlfn.IFS(VLOOKUP(F2,Table1[#All],15,FALSE)="BR",VLOOKUP(F2,Table5[#All],15,FALSE),VLOOKUP(F2,Table1[#All],15,FALSE)="Pointstreak",VLOOKUP(F2,Table5[#All],9,FALSE))</f>
        <v>1</v>
      </c>
      <c r="J25" s="13" cm="1">
        <f t="array" ref="J25">_xlfn.IFS(VLOOKUP(F2,Table1[#All],15,FALSE)="BR",VLOOKUP(F2,Table5[#All],16,FALSE),VLOOKUP(F2,Table1[#All],15,FALSE)="Pointstreak",VLOOKUP(F2,Table5[#All],10,FALSE))</f>
        <v>1</v>
      </c>
      <c r="K25" s="13" cm="1">
        <f t="array" ref="K25">_xlfn.IFS(VLOOKUP(F2,Table1[#All],15,FALSE)="BR",VLOOKUP(F2,Table5[#All],17,FALSE),VLOOKUP(F2,Table1[#All],15,FALSE)="Pointstreak",VLOOKUP(F2,Table5[#All],11,FALSE))</f>
        <v>5</v>
      </c>
      <c r="L25" s="13" cm="1">
        <f t="array" ref="L25">_xlfn.IFS(VLOOKUP(F2,Table1[#All],15,FALSE)="BR",VLOOKUP(F2,Table5[#All],18,FALSE),VLOOKUP(F2,Table1[#All],15,FALSE)="Pointstreak",VLOOKUP(F2,Table5[#All],14,FALSE))</f>
        <v>3</v>
      </c>
      <c r="M25" s="13" cm="1">
        <f t="array" ref="M25">_xlfn.IFS(VLOOKUP(F2,Table1[#All],15,FALSE)="BR",VLOOKUP(F2,Table5[#All],19,FALSE),VLOOKUP(F2,Table1[#All],15,FALSE)="Pointstreak","")</f>
        <v>1</v>
      </c>
      <c r="N25" s="13" cm="1">
        <f t="array" ref="N25">_xlfn.IFS(VLOOKUP(F2,Table1[#All],15,FALSE)="BR",VLOOKUP(F2,Table5[#All],20,FALSE),VLOOKUP(F2,Table1[#All],15,FALSE)="Pointstreak",VLOOKUP(F2,Table5[#All],12,FALSE))</f>
        <v>5</v>
      </c>
      <c r="O25" s="13" cm="1">
        <f t="array" ref="O25">_xlfn.IFS(VLOOKUP(F2,Table1[#All],15,FALSE)="BR",VLOOKUP(F2,Table5[#All],21,FALSE),VLOOKUP(F2,Table1[#All],15,FALSE)="Pointstreak",VLOOKUP(F2,Table5[#All],13,FALSE))</f>
        <v>13</v>
      </c>
      <c r="P25" s="16" cm="1">
        <f t="array" ref="P25">_xlfn.IFS(VLOOKUP(F2,Table1[#All],15,FALSE)="BR",VLOOKUP(F2,Table5[#All],22,FALSE),VLOOKUP(F2,Table1[#All],15,FALSE)="Pointstreak",VLOOKUP(F2,Table5[#All],15,FALSE))</f>
        <v>0.128</v>
      </c>
      <c r="Q25" s="16" cm="1">
        <f t="array" ref="Q25">_xlfn.IFS(VLOOKUP(F2,Table1[#All],15,FALSE)="BR",VLOOKUP(F2,Table5[#All],23,FALSE),VLOOKUP(F2,Table1[#All],15,FALSE)="Pointstreak","")</f>
        <v>0.25</v>
      </c>
      <c r="R25" s="16" cm="1">
        <f t="array" ref="R25">_xlfn.IFS(VLOOKUP(F2,Table1[#All],15,FALSE)="BR",VLOOKUP(F2,Table5[#All],24,FALSE),VLOOKUP(F2,Table1[#All],15,FALSE)="Pointstreak",((G25-H25-I25-J25)+2*H25+3*I25+4*J25)/E25)</f>
        <v>0.25600000000000001</v>
      </c>
      <c r="S25" s="16" cm="1">
        <f t="array" ref="S25">_xlfn.IFS(VLOOKUP(F2,Table1[#All],15,FALSE)="BR",VLOOKUP(F2,Table5[#All],25,FALSE),VLOOKUP(F2,Table1[#All],15,FALSE)="Pointstreak",Q25+R25)</f>
        <v>0.50600000000000001</v>
      </c>
    </row>
  </sheetData>
  <mergeCells count="6">
    <mergeCell ref="B23:S23"/>
    <mergeCell ref="B2:D14"/>
    <mergeCell ref="F2:M3"/>
    <mergeCell ref="N2:O3"/>
    <mergeCell ref="F13:O14"/>
    <mergeCell ref="B16:R16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AB7BE-AC6C-4C44-A162-BE70603B63B3}">
  <dimension ref="B2:S23"/>
  <sheetViews>
    <sheetView workbookViewId="0">
      <selection activeCell="B2" sqref="B2:D14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420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35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28"/>
      <c r="H4" s="28"/>
      <c r="I4" s="28"/>
      <c r="J4" s="28"/>
      <c r="K4" s="28"/>
      <c r="L4" s="28"/>
      <c r="M4" s="28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9"/>
      <c r="C8" s="49"/>
      <c r="D8" s="49"/>
      <c r="F8" s="28" t="str">
        <f>"Height: " &amp; VLOOKUP(F2,Table1[#All],6,FALSE)</f>
        <v>Height: 6'6"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9"/>
      <c r="C9" s="49"/>
      <c r="D9" s="49"/>
      <c r="F9" s="28" t="str">
        <f>"Weight: " &amp; VLOOKUP(F2,Table1[#All],7,FALSE)</f>
        <v>Weight: 190</v>
      </c>
      <c r="P9" s="6"/>
      <c r="Q9" s="6"/>
    </row>
    <row r="10" spans="2:19" ht="15" customHeight="1" x14ac:dyDescent="0.25">
      <c r="B10" s="49"/>
      <c r="C10" s="49"/>
      <c r="D10" s="49"/>
      <c r="F10" s="28" t="str">
        <f>"DOB: " &amp; VLOOKUP(F2, Table1[#All],8,FALSE) &amp; " (" &amp; VLOOKUP(F2,Table1[#All],11,FALSE) &amp; ")"</f>
        <v>DOB: September 10, 2002 (R-Freshman)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Mechanicsburg, PA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Millersville-Pennsylvania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31"/>
    </row>
    <row r="18" spans="2:19" x14ac:dyDescent="0.25">
      <c r="B18" s="13">
        <v>2022</v>
      </c>
      <c r="C18" s="30" t="str">
        <f>VLOOKUP(F2,Table1[#All],9,FALSE)</f>
        <v>Millersville-Pennsylvania</v>
      </c>
      <c r="D18" s="14" cm="1">
        <f t="array" ref="D18">_xlfn.IFS(VLOOKUP(F2,Table1[#All],14,FALSE)="NAIA Presto", VLOOKUP(F2,Table2[#All],4,FALSE),VLOOKUP(F2,Table1[#All],14,FALSE)="BR",VLOOKUP(F2,Table2[#All],14,FALSE))</f>
        <v>3</v>
      </c>
      <c r="E18" s="14" cm="1">
        <f t="array" ref="E18">_xlfn.IFS(VLOOKUP(F2,Table1[#All],14,FALSE)="NAIA Presto", VLOOKUP(F2,Table2[#All],5,FALSE),VLOOKUP(F2,Table1[#All],14,FALSE)="BR", VLOOKUP(F2,Table2[#All],15,FALSE))</f>
        <v>0</v>
      </c>
      <c r="F18" s="14" cm="1">
        <f t="array" ref="F18">_xlfn.IFS(VLOOKUP(F2,Table1[#All],14,FALSE)="NAIA Presto", VLOOKUP(F2,Table2[#All],6,FALSE),VLOOKUP(F2,Table1[#All],14,FALSE)="BR", VLOOKUP(F2,Table2[#All],9,FALSE))</f>
        <v>0</v>
      </c>
      <c r="G18" s="14" cm="1">
        <f t="array" ref="G18">_xlfn.IFS(VLOOKUP(F2,Table1[#All],14,FALSE)="NAIA Presto", VLOOKUP(F2,Table2[#All],7,FALSE),VLOOKUP(F2,Table1[#All],14,FALSE)="BR", VLOOKUP(F2,Table2[#All],10,FALSE))</f>
        <v>0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14" cm="1">
        <f t="array" ref="I18">_xlfn.IFS(VLOOKUP(F2,Table1[#All],14,FALSE)="NAIA Presto", VLOOKUP(F2,Table2[#All],10,FALSE),VLOOKUP(F2,Table1[#All],14,FALSE)="BR", VLOOKUP(F2,Table2[#All],20,FALSE))</f>
        <v>1.1000000000000001</v>
      </c>
      <c r="J18" s="14" cm="1">
        <f t="array" ref="J18">_xlfn.IFS(VLOOKUP(F2,Table1[#All],14,FALSE)="NAIA Presto", VLOOKUP(F2,Table2[#All],11,FALSE),VLOOKUP(F2,Table1[#All],14,FALSE)="BR", VLOOKUP(F2,Table2[#All],21,FALSE))</f>
        <v>0</v>
      </c>
      <c r="K18" s="14" cm="1">
        <f t="array" ref="K18">_xlfn.IFS(VLOOKUP(F2,Table1[#All],14,FALSE)="NAIA Presto", VLOOKUP(F2,Table2[#All],12,FALSE),VLOOKUP(F2,Table1[#All],14,FALSE)="BR", VLOOKUP(F2,Table2[#All],22,FALSE))</f>
        <v>3</v>
      </c>
      <c r="L18" s="14" cm="1">
        <f t="array" ref="L18">_xlfn.IFS(VLOOKUP(F2,Table1[#All],14,FALSE)="NAIA Presto", VLOOKUP(F2,Table2[#All],13,FALSE),VLOOKUP(F2,Table1[#All],14,FALSE)="BR", VLOOKUP(F2,Table2[#All],23,FALSE))</f>
        <v>2</v>
      </c>
      <c r="M18" s="14" cm="1">
        <f t="array" ref="M18">_xlfn.IFS(VLOOKUP(F2,Table1[#All],14,FALSE)="NAIA Presto", VLOOKUP(F2,Table2[#All],17,FALSE),VLOOKUP(F2,Table1[#All],14,FALSE)="BR", VLOOKUP(F2,Table2[#All],24,FALSE))</f>
        <v>0</v>
      </c>
      <c r="N18" s="14" cm="1">
        <f t="array" ref="N18">_xlfn.IFS(VLOOKUP(F2,Table1[#All],14,FALSE)="NAIA Presto", VLOOKUP(F2,Table2[#All],14,FALSE),VLOOKUP(F2,Table1[#All],14,FALSE)="BR", VLOOKUP(F2,Table2[#All],25,FALSE))</f>
        <v>5</v>
      </c>
      <c r="O18" s="14" cm="1">
        <f t="array" ref="O18">_xlfn.IFS(VLOOKUP(F2,Table1[#All],14,FALSE)="NAIA Presto", VLOOKUP(F2,Table2[#All],15,FALSE),VLOOKUP(F2,Table1[#All],14,FALSE)="BR", VLOOKUP(F2,Table2[#All],27,FALSE))</f>
        <v>3</v>
      </c>
      <c r="P18" s="19" cm="1">
        <f t="array" ref="P18">_xlfn.IFS(VLOOKUP(F2,Table1[#All],14,FALSE)="NAIA Presto", VLOOKUP(F2,Table2[#All],18,FALSE),VLOOKUP(F2,Table1[#All],14,FALSE)="BR", VLOOKUP(F2,Table2[#All],12,FALSE))</f>
        <v>13.5</v>
      </c>
      <c r="Q18" s="14" cm="1">
        <f t="array" ref="Q18">_xlfn.IFS(VLOOKUP(F2,Table1[#All],14,FALSE)="NAIA Presto", "",VLOOKUP(F2,Table1[#All],14,FALSE)="BR", VLOOKUP(F2,Table2[#All],32,FALSE))</f>
        <v>3.75</v>
      </c>
      <c r="R18" s="19" cm="1">
        <f t="array" ref="R18">_xlfn.IFS(VLOOKUP(F2,Table1[#All],14,FALSE)="NAIA Presto", VLOOKUP(F2,Table2[#All],16,FALSE),VLOOKUP(F2,Table1[#All],14,FALSE)="BR", VLOOKUP(F2,Table2[#All],36,FALSE))</f>
        <v>20.3</v>
      </c>
      <c r="S18" s="31"/>
    </row>
    <row r="19" spans="2:19" x14ac:dyDescent="0.25">
      <c r="B19" s="31"/>
      <c r="C19" s="31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31"/>
    </row>
    <row r="20" spans="2:19" x14ac:dyDescent="0.25">
      <c r="B20" s="44" t="s">
        <v>466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2:19" x14ac:dyDescent="0.25">
      <c r="B21" s="13" t="s">
        <v>136</v>
      </c>
      <c r="C21" s="37" t="s">
        <v>187</v>
      </c>
      <c r="D21" s="13" t="s">
        <v>148</v>
      </c>
      <c r="E21" s="13" t="s">
        <v>149</v>
      </c>
      <c r="F21" s="13" t="s">
        <v>143</v>
      </c>
      <c r="G21" s="13" t="s">
        <v>144</v>
      </c>
      <c r="H21" s="13" t="s">
        <v>153</v>
      </c>
      <c r="I21" s="13" t="s">
        <v>154</v>
      </c>
      <c r="J21" s="13" t="s">
        <v>155</v>
      </c>
      <c r="K21" s="13" t="s">
        <v>156</v>
      </c>
      <c r="L21" s="13" t="s">
        <v>157</v>
      </c>
      <c r="M21" s="13" t="s">
        <v>158</v>
      </c>
      <c r="N21" s="13" t="s">
        <v>159</v>
      </c>
      <c r="O21" s="13" t="s">
        <v>161</v>
      </c>
      <c r="P21" s="13" t="s">
        <v>146</v>
      </c>
      <c r="Q21" s="13" t="s">
        <v>166</v>
      </c>
      <c r="R21" s="13" t="s">
        <v>185</v>
      </c>
      <c r="S21" s="31"/>
    </row>
    <row r="22" spans="2:19" x14ac:dyDescent="0.25">
      <c r="B22" s="38">
        <f>VLOOKUP(F2,Table3[#All],2,FALSE)</f>
        <v>2021</v>
      </c>
      <c r="C22" s="13" t="str" cm="1">
        <f t="array" ref="C22">_xlfn.IFS(VLOOKUP(F2,Table1[#All],15,FALSE)="BR",VLOOKUP(F2,Table3[#All],5,FALSE),VLOOKUP(F2,Table1[#All],15,FALSE)="Pointstreak",VLOOKUP(F2,Table3[#All],3,FALSE))</f>
        <v>Green Bay Booyah</v>
      </c>
      <c r="D22" s="13" cm="1">
        <f t="array" ref="D22">_xlfn.IFS(VLOOKUP(F2,Table1[#All],15,FALSE)="BR",VLOOKUP(F2,Table3[#All],14,FALSE),VLOOKUP(F2,Table1[#All],15,FALSE)="Pointstreak",VLOOKUP(F2,Table3[#All],7,FALSE))</f>
        <v>3</v>
      </c>
      <c r="E22" s="13" cm="1">
        <f t="array" ref="E22">_xlfn.IFS(VLOOKUP(F2,Table1[#All],15,FALSE)="BR",VLOOKUP(F2,Table3[#All],15,FALSE),VLOOKUP(F2,Table1[#All],15,FALSE)="Pointstreak",VLOOKUP(F2,Table3[#All],8,FALSE))</f>
        <v>0</v>
      </c>
      <c r="F22" s="13" cm="1">
        <f t="array" ref="F22">_xlfn.IFS(VLOOKUP(F2,Table1[#All],15,FALSE)="BR",VLOOKUP(F2,Table3[#All],9,FALSE),VLOOKUP(F2,Table1[#All],15,FALSE)="Pointstreak",VLOOKUP(F2,Table3[#All],4,FALSE))</f>
        <v>0</v>
      </c>
      <c r="G22" s="13" cm="1">
        <f t="array" ref="G22">_xlfn.IFS(VLOOKUP(F2,Table1[#All],15,FALSE)="BR",VLOOKUP(F2,Table3[#All],10,FALSE),VLOOKUP(F2,Table1[#All],15,FALSE)="Pointstreak",VLOOKUP(F2,Table3[#All],5,FALSE))</f>
        <v>1</v>
      </c>
      <c r="H22" s="13" cm="1">
        <f t="array" ref="H22">_xlfn.IFS(VLOOKUP(F2,Table1[#All],15,FALSE)="BR",VLOOKUP(F2,Table3[#All],19,FALSE),VLOOKUP(F2,Table1[#All],15,FALSE)="Pointstreak",VLOOKUP(F2,Table3[#All],10,FALSE))</f>
        <v>0</v>
      </c>
      <c r="I22" s="13" cm="1">
        <f t="array" ref="I22">_xlfn.IFS(VLOOKUP(F2,Table1[#All],15,FALSE)="BR",VLOOKUP(F2,Table3[#All],20,FALSE),VLOOKUP(F2,Table1[#All],15,FALSE)="Pointstreak",VLOOKUP(F2,Table3[#All],11,FALSE))</f>
        <v>6</v>
      </c>
      <c r="J22" s="13" cm="1">
        <f t="array" ref="J22">_xlfn.IFS(VLOOKUP(F2,Table1[#All],15,FALSE)="BR",VLOOKUP(F2,Table3[#All],21,FALSE),VLOOKUP(F2,Table1[#All],15,FALSE)="Pointstreak",VLOOKUP(F2,Table3[#All],14,FALSE))</f>
        <v>5</v>
      </c>
      <c r="K22" s="13" cm="1">
        <f t="array" ref="K22">_xlfn.IFS(VLOOKUP(F2,Table1[#All],15,FALSE)="BR",VLOOKUP(F2,Table3[#All],22,FALSE),VLOOKUP(F2,Table1[#All],15,FALSE)="Pointstreak","")</f>
        <v>5</v>
      </c>
      <c r="L22" s="13" cm="1">
        <f t="array" ref="L22">_xlfn.IFS(VLOOKUP(F2,Table1[#All],15,FALSE)="BR",VLOOKUP(F2,Table3[#All],23,FALSE),VLOOKUP(F2,Table1[#All],15,FALSE)="Pointstreak","")</f>
        <v>2</v>
      </c>
      <c r="M22" s="13" cm="1">
        <f t="array" ref="M22">_xlfn.IFS(VLOOKUP(F2,Table1[#All],15,FALSE)="BR",VLOOKUP(F2,Table3[#All],24,FALSE),VLOOKUP(F2,Table1[#All],15,FALSE)="Pointstreak","")</f>
        <v>0</v>
      </c>
      <c r="N22" s="13" cm="1">
        <f t="array" ref="N22">_xlfn.IFS(VLOOKUP(F2,Table1[#All],15,FALSE)="BR",VLOOKUP(F2,Table3[#All],25,FALSE),VLOOKUP(F2,Table1[#All],15,FALSE)="Pointstreak",VLOOKUP(F2,Table3[#All],13,FALSE))</f>
        <v>11</v>
      </c>
      <c r="O22" s="13" cm="1">
        <f t="array" ref="O22">_xlfn.IFS(VLOOKUP(F2,Table1[#All],15,FALSE)="BR",VLOOKUP(F2,Table3[#All],27,FALSE),VLOOKUP(F2,Table1[#All],15,FALSE)="Pointstreak",VLOOKUP(F2,Table3[#All],12,FALSE))</f>
        <v>5</v>
      </c>
      <c r="P22" s="15" cm="1">
        <f t="array" ref="P22">_xlfn.IFS(VLOOKUP(F2,Table1[#All],15,FALSE)="BR",VLOOKUP(F2,Table3[#All],12,FALSE),VLOOKUP(F2,Table1[#All],15,FALSE)="Pointstreak",VLOOKUP(F2,Table3[#All],6,FALSE))</f>
        <v>3</v>
      </c>
      <c r="Q22" s="15" cm="1">
        <f t="array" ref="Q22">_xlfn.IFS(VLOOKUP(F2,Table1[#All],15,FALSE)="BR",VLOOKUP(F2,Table3[#All],32,FALSE),VLOOKUP(F2,Table1[#All],15,FALSE)="Pointstreak","")</f>
        <v>2.6669999999999998</v>
      </c>
      <c r="R22" s="15" cm="1">
        <f t="array" ref="R22">_xlfn.IFS(VLOOKUP(F2,Table1[#All],15,FALSE)="BR",VLOOKUP(F2,Table3[#All],36,FALSE),VLOOKUP(F2,Table1[#All],15,FALSE)="Pointstreak","")</f>
        <v>7.5</v>
      </c>
      <c r="S22" s="31"/>
    </row>
    <row r="23" spans="2:19" x14ac:dyDescent="0.25"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</row>
  </sheetData>
  <mergeCells count="7">
    <mergeCell ref="B20:S20"/>
    <mergeCell ref="B2:D14"/>
    <mergeCell ref="F2:M3"/>
    <mergeCell ref="N2:O3"/>
    <mergeCell ref="P2:S5"/>
    <mergeCell ref="F13:O14"/>
    <mergeCell ref="B16:S16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6CF81-B199-42CB-90FF-AB3495335BD6}">
  <dimension ref="B1:S18"/>
  <sheetViews>
    <sheetView workbookViewId="0">
      <selection activeCell="I18" sqref="I18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1" spans="2:19" ht="15.75" thickBot="1" x14ac:dyDescent="0.3"/>
    <row r="2" spans="2:19" ht="18.75" customHeight="1" x14ac:dyDescent="0.25">
      <c r="B2" s="45" t="s">
        <v>130</v>
      </c>
      <c r="C2" s="46"/>
      <c r="D2" s="47"/>
      <c r="F2" s="54" t="s">
        <v>503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1</v>
      </c>
      <c r="O2" s="55"/>
      <c r="P2" s="56"/>
      <c r="Q2" s="56"/>
      <c r="R2" s="56"/>
      <c r="S2" s="56"/>
    </row>
    <row r="3" spans="2:19" ht="15" customHeight="1" x14ac:dyDescent="0.25">
      <c r="B3" s="48"/>
      <c r="C3" s="49"/>
      <c r="D3" s="50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8"/>
      <c r="C4" s="49"/>
      <c r="D4" s="50"/>
      <c r="G4" s="28"/>
      <c r="H4" s="28"/>
      <c r="I4" s="28"/>
      <c r="J4" s="28"/>
      <c r="K4" s="28"/>
      <c r="L4" s="28"/>
      <c r="M4" s="28"/>
      <c r="N4" s="23"/>
      <c r="O4" s="23"/>
      <c r="P4" s="56"/>
      <c r="Q4" s="56"/>
      <c r="R4" s="56"/>
      <c r="S4" s="56"/>
    </row>
    <row r="5" spans="2:19" x14ac:dyDescent="0.25">
      <c r="B5" s="48"/>
      <c r="C5" s="49"/>
      <c r="D5" s="50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8"/>
      <c r="C6" s="49"/>
      <c r="D6" s="50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8"/>
      <c r="C7" s="49"/>
      <c r="D7" s="50"/>
      <c r="F7" s="22" t="str" cm="1">
        <f t="array" ref="F7">"Throws: " &amp; _xlfn.IFS(RIGHT(VLOOKUP(F2,Table1[#All],5,FALSE),1)="R","Right",RIGHT(VLOOKUP(F2,Table1[#All],5,FALSE),1)="L","Left")</f>
        <v>Throws: Right</v>
      </c>
      <c r="G7" s="28"/>
      <c r="H7" s="28"/>
      <c r="I7" s="28"/>
      <c r="J7" s="28"/>
      <c r="K7" s="28"/>
      <c r="L7" s="28"/>
      <c r="M7" s="28"/>
      <c r="P7" s="6"/>
      <c r="Q7" s="6"/>
    </row>
    <row r="8" spans="2:19" x14ac:dyDescent="0.25">
      <c r="B8" s="48"/>
      <c r="C8" s="49"/>
      <c r="D8" s="50"/>
      <c r="F8" s="28" t="str">
        <f>"Height: " &amp; VLOOKUP(F2,Table1[#All],6,FALSE)</f>
        <v>Height: 5'9"</v>
      </c>
      <c r="G8" s="28"/>
      <c r="H8" s="28"/>
      <c r="I8" s="28"/>
      <c r="J8" s="28"/>
      <c r="K8" s="28"/>
      <c r="L8" s="28"/>
      <c r="M8" s="28"/>
      <c r="P8" s="6"/>
      <c r="Q8" s="6"/>
    </row>
    <row r="9" spans="2:19" x14ac:dyDescent="0.25">
      <c r="B9" s="48"/>
      <c r="C9" s="49"/>
      <c r="D9" s="50"/>
      <c r="F9" s="28" t="str">
        <f>"Weight: " &amp; VLOOKUP(F2,Table1[#All],7,FALSE)</f>
        <v>Weight: 160</v>
      </c>
      <c r="P9" s="6"/>
      <c r="Q9" s="6"/>
    </row>
    <row r="10" spans="2:19" ht="15" customHeight="1" x14ac:dyDescent="0.25">
      <c r="B10" s="48"/>
      <c r="C10" s="49"/>
      <c r="D10" s="50"/>
      <c r="F10" s="28" t="str">
        <f>"Born: " &amp; VLOOKUP(F2, Table1[#All],8,FALSE) &amp; " (" &amp; VLOOKUP(F2,Table1[#All],11,FALSE) &amp; ")"</f>
        <v>Born: January 30, 2001 (Sophomore)</v>
      </c>
      <c r="Q10" s="11"/>
      <c r="R10" s="11"/>
      <c r="S10" s="11"/>
    </row>
    <row r="11" spans="2:19" x14ac:dyDescent="0.25">
      <c r="B11" s="48"/>
      <c r="C11" s="49"/>
      <c r="D11" s="50"/>
      <c r="F11" s="22" t="str">
        <f>"Hometown: " &amp; VLOOKUP(F2,Table1[#All],12,FALSE)</f>
        <v>Hometown: Tinley Park, IL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8"/>
      <c r="C12" s="49"/>
      <c r="D12" s="50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8"/>
      <c r="C13" s="49"/>
      <c r="D13" s="50"/>
      <c r="F13" s="43" t="str">
        <f>"School: " &amp; VLOOKUP(F2,Table1[#All],9,FALSE)</f>
        <v>School: Saint Xavier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ht="15.75" thickBot="1" x14ac:dyDescent="0.3">
      <c r="B14" s="51"/>
      <c r="C14" s="52"/>
      <c r="D14" s="5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34"/>
    </row>
    <row r="18" spans="2:19" x14ac:dyDescent="0.25">
      <c r="B18" s="13">
        <v>2022</v>
      </c>
      <c r="C18" s="13" t="str">
        <f>VLOOKUP(F2,Table1[#All],9,FALSE)</f>
        <v>Saint Xavier</v>
      </c>
      <c r="D18" s="14" cm="1">
        <f t="array" ref="D18">_xlfn.IFS(VLOOKUP(F2,Table1[#All],14,FALSE)="NAIA Presto", VLOOKUP(F2,Table2[#All],4,FALSE),VLOOKUP(F2,Table1[#All],14,FALSE)="BR",VLOOKUP(F2,Table2[#All],14,FALSE))</f>
        <v>13</v>
      </c>
      <c r="E18" s="14" cm="1">
        <f t="array" ref="E18">_xlfn.IFS(VLOOKUP(F2,Table1[#All],14,FALSE)="NAIA Presto", VLOOKUP(F2,Table2[#All],5,FALSE),VLOOKUP(F2,Table1[#All],14,FALSE)="BR", VLOOKUP(F2,Table2[#All],15,FALSE))</f>
        <v>12</v>
      </c>
      <c r="F18" s="14" cm="1">
        <f t="array" ref="F18">_xlfn.IFS(VLOOKUP(F2,Table1[#All],14,FALSE)="NAIA Presto", VLOOKUP(F2,Table2[#All],6,FALSE),VLOOKUP(F2,Table1[#All],14,FALSE)="BR", VLOOKUP(F2,Table2[#All],9,FALSE))</f>
        <v>7</v>
      </c>
      <c r="G18" s="14" cm="1">
        <f t="array" ref="G18">_xlfn.IFS(VLOOKUP(F2,Table1[#All],14,FALSE)="NAIA Presto", VLOOKUP(F2,Table2[#All],7,FALSE),VLOOKUP(F2,Table1[#All],14,FALSE)="BR", VLOOKUP(F2,Table2[#All],10,FALSE))</f>
        <v>1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39" cm="1">
        <f t="array" ref="I18">_xlfn.IFS(VLOOKUP(F2,Table1[#All],14,FALSE)="NAIA Presto", VLOOKUP(F2,Table2[#All],10,FALSE),VLOOKUP(F2,Table1[#All],14,FALSE)="BR", VLOOKUP(F2,Table2[#All],20,FALSE))</f>
        <v>72</v>
      </c>
      <c r="J18" s="14" cm="1">
        <f t="array" ref="J18">_xlfn.IFS(VLOOKUP(F2,Table1[#All],14,FALSE)="NAIA Presto", VLOOKUP(F2,Table2[#All],11,FALSE),VLOOKUP(F2,Table1[#All],14,FALSE)="BR", VLOOKUP(F2,Table2[#All],21,FALSE))</f>
        <v>74</v>
      </c>
      <c r="K18" s="14" cm="1">
        <f t="array" ref="K18">_xlfn.IFS(VLOOKUP(F2,Table1[#All],14,FALSE)="NAIA Presto", VLOOKUP(F2,Table2[#All],12,FALSE),VLOOKUP(F2,Table1[#All],14,FALSE)="BR", VLOOKUP(F2,Table2[#All],22,FALSE))</f>
        <v>44</v>
      </c>
      <c r="L18" s="14" cm="1">
        <f t="array" ref="L18">_xlfn.IFS(VLOOKUP(F2,Table1[#All],14,FALSE)="NAIA Presto", VLOOKUP(F2,Table2[#All],13,FALSE),VLOOKUP(F2,Table1[#All],14,FALSE)="BR", VLOOKUP(F2,Table2[#All],23,FALSE))</f>
        <v>33</v>
      </c>
      <c r="M18" s="14" cm="1">
        <f t="array" ref="M18">_xlfn.IFS(VLOOKUP(F2,Table1[#All],14,FALSE)="NAIA Presto", VLOOKUP(F2,Table2[#All],17,FALSE),VLOOKUP(F2,Table1[#All],14,FALSE)="BR", VLOOKUP(F2,Table2[#All],24,FALSE))</f>
        <v>1</v>
      </c>
      <c r="N18" s="14" cm="1">
        <f t="array" ref="N18">_xlfn.IFS(VLOOKUP(F2,Table1[#All],14,FALSE)="NAIA Presto", VLOOKUP(F2,Table2[#All],14,FALSE),VLOOKUP(F2,Table1[#All],14,FALSE)="BR", VLOOKUP(F2,Table2[#All],25,FALSE))</f>
        <v>21</v>
      </c>
      <c r="O18" s="14" cm="1">
        <f t="array" ref="O18">_xlfn.IFS(VLOOKUP(F2,Table1[#All],14,FALSE)="NAIA Presto", VLOOKUP(F2,Table2[#All],15,FALSE),VLOOKUP(F2,Table1[#All],14,FALSE)="BR", VLOOKUP(F2,Table2[#All],27,FALSE))</f>
        <v>38</v>
      </c>
      <c r="P18" s="14" cm="1">
        <f t="array" ref="P18">_xlfn.IFS(VLOOKUP(F2,Table1[#All],14,FALSE)="NAIA Presto", VLOOKUP(F2,Table2[#All],18,FALSE),VLOOKUP(F2,Table1[#All],14,FALSE)="BR", VLOOKUP(F2,Table2[#All],12,FALSE))</f>
        <v>4.13</v>
      </c>
      <c r="Q18" s="19" cm="1">
        <f t="array" ref="Q18">_xlfn.IFS(VLOOKUP(F2,Table1[#All],14,FALSE)="NAIA Presto", "",VLOOKUP(F2,Table1[#All],14,FALSE)="BR", VLOOKUP(F2,Table2[#All],32,FALSE))</f>
        <v>1.319</v>
      </c>
      <c r="R18" s="19" cm="1">
        <f t="array" ref="R18">_xlfn.IFS(VLOOKUP(F2,Table1[#All],14,FALSE)="NAIA Presto", VLOOKUP(F2,Table2[#All],16,FALSE),VLOOKUP(F2,Table1[#All],14,FALSE)="BR", VLOOKUP(F2,Table2[#All],36,FALSE))</f>
        <v>4.8</v>
      </c>
      <c r="S18" s="34"/>
    </row>
  </sheetData>
  <mergeCells count="6">
    <mergeCell ref="B16:S16"/>
    <mergeCell ref="B2:D14"/>
    <mergeCell ref="F2:M3"/>
    <mergeCell ref="N2:O3"/>
    <mergeCell ref="P2:S5"/>
    <mergeCell ref="F13:O14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7D730-641D-4DEA-BE10-7E609BB9144F}">
  <dimension ref="B2:S19"/>
  <sheetViews>
    <sheetView showGridLines="0" workbookViewId="0">
      <selection activeCell="T9" sqref="T9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112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11</v>
      </c>
      <c r="O2" s="55"/>
      <c r="P2" s="6"/>
      <c r="Q2" s="6"/>
      <c r="R2" s="6"/>
      <c r="S2" s="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6"/>
      <c r="Q3" s="6"/>
      <c r="R3" s="6"/>
      <c r="S3" s="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6"/>
      <c r="Q4" s="6"/>
      <c r="R4" s="6"/>
      <c r="S4" s="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6"/>
      <c r="Q5" s="6"/>
      <c r="R5" s="6"/>
      <c r="S5" s="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6'0"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175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May 7, 2002 (Freshman)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Chagrin Falls, OH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Washington-St.Louis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57" t="s">
        <v>135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10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40" t="str">
        <f>VLOOKUP(F2,Table1[#All],9,FALSE)</f>
        <v>Washington-St.Louis</v>
      </c>
      <c r="D18" s="14" cm="1">
        <f t="array" ref="D18">_xlfn.IFS(VLOOKUP(F2,Table1[#All],14,FALSE)="NAIA Presto", VLOOKUP(F2,Table2[#All],4,FALSE),VLOOKUP(F2,Table1[#All],14,FALSE)="BR",VLOOKUP(F2,Table2[#All],14,FALSE))</f>
        <v>8</v>
      </c>
      <c r="E18" s="14" cm="1">
        <f t="array" ref="E18">_xlfn.IFS(VLOOKUP(F2,Table1[#All],14,FALSE)="NAIA Presto", VLOOKUP(F2,Table2[#All],5,FALSE),VLOOKUP(F2,Table1[#All],14,FALSE)="BR", VLOOKUP(F2,Table2[#All],15,FALSE))</f>
        <v>1</v>
      </c>
      <c r="F18" s="14" cm="1">
        <f t="array" ref="F18">_xlfn.IFS(VLOOKUP(F2,Table1[#All],14,FALSE)="NAIA Presto", VLOOKUP(F2,Table2[#All],6,FALSE),VLOOKUP(F2,Table1[#All],14,FALSE)="BR", VLOOKUP(F2,Table2[#All],9,FALSE))</f>
        <v>0</v>
      </c>
      <c r="G18" s="14" cm="1">
        <f t="array" ref="G18">_xlfn.IFS(VLOOKUP(F2,Table1[#All],14,FALSE)="NAIA Presto", VLOOKUP(F2,Table2[#All],7,FALSE),VLOOKUP(F2,Table1[#All],14,FALSE)="BR", VLOOKUP(F2,Table2[#All],10,FALSE))</f>
        <v>1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39" cm="1">
        <f t="array" ref="I18">_xlfn.IFS(VLOOKUP(F2,Table1[#All],14,FALSE)="NAIA Presto", VLOOKUP(F2,Table2[#All],10,FALSE),VLOOKUP(F2,Table1[#All],14,FALSE)="BR", VLOOKUP(F2,Table2[#All],20,FALSE))</f>
        <v>15</v>
      </c>
      <c r="J18" s="14" cm="1">
        <f t="array" ref="J18">_xlfn.IFS(VLOOKUP(F2,Table1[#All],14,FALSE)="NAIA Presto", VLOOKUP(F2,Table2[#All],11,FALSE),VLOOKUP(F2,Table1[#All],14,FALSE)="BR", VLOOKUP(F2,Table2[#All],21,FALSE))</f>
        <v>14</v>
      </c>
      <c r="K18" s="14" cm="1">
        <f t="array" ref="K18">_xlfn.IFS(VLOOKUP(F2,Table1[#All],14,FALSE)="NAIA Presto", VLOOKUP(F2,Table2[#All],12,FALSE),VLOOKUP(F2,Table1[#All],14,FALSE)="BR", VLOOKUP(F2,Table2[#All],22,FALSE))</f>
        <v>12</v>
      </c>
      <c r="L18" s="14" cm="1">
        <f t="array" ref="L18">_xlfn.IFS(VLOOKUP(F2,Table1[#All],14,FALSE)="NAIA Presto", VLOOKUP(F2,Table2[#All],13,FALSE),VLOOKUP(F2,Table1[#All],14,FALSE)="BR", VLOOKUP(F2,Table2[#All],23,FALSE))</f>
        <v>9</v>
      </c>
      <c r="M18" s="14" cm="1">
        <f t="array" ref="M18">_xlfn.IFS(VLOOKUP(F2,Table1[#All],14,FALSE)="NAIA Presto", VLOOKUP(F2,Table2[#All],17,FALSE),VLOOKUP(F2,Table1[#All],14,FALSE)="BR", VLOOKUP(F2,Table2[#All],24,FALSE))</f>
        <v>1</v>
      </c>
      <c r="N18" s="14" cm="1">
        <f t="array" ref="N18">_xlfn.IFS(VLOOKUP(F2,Table1[#All],14,FALSE)="NAIA Presto", VLOOKUP(F2,Table2[#All],14,FALSE),VLOOKUP(F2,Table1[#All],14,FALSE)="BR", VLOOKUP(F2,Table2[#All],25,FALSE))</f>
        <v>12</v>
      </c>
      <c r="O18" s="14" cm="1">
        <f t="array" ref="O18">_xlfn.IFS(VLOOKUP(F2,Table1[#All],14,FALSE)="NAIA Presto", VLOOKUP(F2,Table2[#All],15,FALSE),VLOOKUP(F2,Table1[#All],14,FALSE)="BR", VLOOKUP(F2,Table2[#All],27,FALSE))</f>
        <v>16</v>
      </c>
      <c r="P18" s="19" cm="1">
        <f t="array" ref="P18">_xlfn.IFS(VLOOKUP(F2,Table1[#All],14,FALSE)="NAIA Presto", VLOOKUP(F2,Table2[#All],18,FALSE),VLOOKUP(F2,Table1[#All],14,FALSE)="BR", VLOOKUP(F2,Table2[#All],12,FALSE))</f>
        <v>5.4</v>
      </c>
      <c r="Q18" s="19" cm="1">
        <f t="array" ref="Q18">_xlfn.IFS(VLOOKUP(F2,Table1[#All],14,FALSE)="NAIA Presto", "",VLOOKUP(F2,Table1[#All],14,FALSE)="BR", VLOOKUP(F2,Table2[#All],32,FALSE))</f>
        <v>1.7330000000000001</v>
      </c>
      <c r="R18" s="19" cm="1">
        <f t="array" ref="R18">_xlfn.IFS(VLOOKUP(F2,Table1[#All],14,FALSE)="NAIA Presto", VLOOKUP(F2,Table2[#All],16,FALSE),VLOOKUP(F2,Table1[#All],14,FALSE)="BR", VLOOKUP(F2,Table2[#All],36,FALSE))</f>
        <v>9.6</v>
      </c>
      <c r="S18" s="2"/>
    </row>
    <row r="19" spans="2:19" x14ac:dyDescent="0.25">
      <c r="B19" s="2"/>
      <c r="C19" s="2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2"/>
    </row>
  </sheetData>
  <mergeCells count="5">
    <mergeCell ref="F13:O14"/>
    <mergeCell ref="B2:D14"/>
    <mergeCell ref="F2:M3"/>
    <mergeCell ref="N2:O3"/>
    <mergeCell ref="B16:R16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C823-136D-4870-91B8-8AB7D07CD193}">
  <dimension ref="B2:S19"/>
  <sheetViews>
    <sheetView showGridLines="0" workbookViewId="0">
      <selection activeCell="Q10" sqref="Q10"/>
    </sheetView>
  </sheetViews>
  <sheetFormatPr defaultRowHeight="15" x14ac:dyDescent="0.25"/>
  <cols>
    <col min="2" max="2" width="5.42578125" customWidth="1"/>
    <col min="3" max="3" width="18.28515625" customWidth="1"/>
    <col min="4" max="8" width="4.42578125" customWidth="1"/>
    <col min="9" max="9" width="5.42578125" customWidth="1"/>
    <col min="10" max="15" width="4.42578125" customWidth="1"/>
    <col min="16" max="19" width="7.7109375" customWidth="1"/>
  </cols>
  <sheetData>
    <row r="2" spans="2:19" ht="18.75" customHeight="1" x14ac:dyDescent="0.25">
      <c r="B2" s="49" t="s">
        <v>130</v>
      </c>
      <c r="C2" s="49"/>
      <c r="D2" s="49"/>
      <c r="F2" s="54" t="s">
        <v>113</v>
      </c>
      <c r="G2" s="54"/>
      <c r="H2" s="54"/>
      <c r="I2" s="54"/>
      <c r="J2" s="54"/>
      <c r="K2" s="54"/>
      <c r="L2" s="54"/>
      <c r="M2" s="54"/>
      <c r="N2" s="55" t="str">
        <f>"# " &amp; VLOOKUP(F2,Table1[#All],2,FALSE)</f>
        <v># 18</v>
      </c>
      <c r="O2" s="55"/>
      <c r="P2" s="56"/>
      <c r="Q2" s="56"/>
      <c r="R2" s="56"/>
      <c r="S2" s="56"/>
    </row>
    <row r="3" spans="2:19" ht="15" customHeight="1" x14ac:dyDescent="0.25">
      <c r="B3" s="49"/>
      <c r="C3" s="49"/>
      <c r="D3" s="49"/>
      <c r="F3" s="54"/>
      <c r="G3" s="54"/>
      <c r="H3" s="54"/>
      <c r="I3" s="54"/>
      <c r="J3" s="54"/>
      <c r="K3" s="54"/>
      <c r="L3" s="54"/>
      <c r="M3" s="54"/>
      <c r="N3" s="55"/>
      <c r="O3" s="55"/>
      <c r="P3" s="56"/>
      <c r="Q3" s="56"/>
      <c r="R3" s="56"/>
      <c r="S3" s="56"/>
    </row>
    <row r="4" spans="2:19" ht="15" customHeight="1" x14ac:dyDescent="0.25">
      <c r="B4" s="49"/>
      <c r="C4" s="49"/>
      <c r="D4" s="49"/>
      <c r="G4" s="9"/>
      <c r="H4" s="9"/>
      <c r="I4" s="9"/>
      <c r="J4" s="9"/>
      <c r="K4" s="9"/>
      <c r="L4" s="9"/>
      <c r="M4" s="9"/>
      <c r="N4" s="23"/>
      <c r="O4" s="23"/>
      <c r="P4" s="56"/>
      <c r="Q4" s="56"/>
      <c r="R4" s="56"/>
      <c r="S4" s="56"/>
    </row>
    <row r="5" spans="2:19" x14ac:dyDescent="0.25">
      <c r="B5" s="49"/>
      <c r="C5" s="49"/>
      <c r="D5" s="49"/>
      <c r="F5" s="24" t="str">
        <f>"Position: " &amp; VLOOKUP(F2,Table1[#All],3,FALSE)</f>
        <v>Position: Right-Handed Pitcher</v>
      </c>
      <c r="G5" s="22"/>
      <c r="H5" s="22"/>
      <c r="I5" s="22"/>
      <c r="J5" s="22"/>
      <c r="K5" s="22"/>
      <c r="L5" s="22"/>
      <c r="M5" s="22"/>
      <c r="P5" s="56"/>
      <c r="Q5" s="56"/>
      <c r="R5" s="56"/>
      <c r="S5" s="56"/>
    </row>
    <row r="6" spans="2:19" x14ac:dyDescent="0.25">
      <c r="B6" s="49"/>
      <c r="C6" s="49"/>
      <c r="D6" s="49"/>
      <c r="F6" s="22" t="str" cm="1">
        <f t="array" ref="F6">"Bats: " &amp; _xlfn.IFS(LEFT(VLOOKUP(F2,Table1[#All],5,FALSE),1)="R","Right",LEFT(VLOOKUP(F2,Table1[#All],5,FALSE),1)="L","Left",LEFT(VLOOKUP(F2,Table1[#All],5,FALSE),1)="S","Both")</f>
        <v>Bats: Right</v>
      </c>
      <c r="G6" s="22"/>
      <c r="H6" s="22"/>
      <c r="I6" s="22"/>
      <c r="J6" s="22"/>
      <c r="K6" s="22"/>
      <c r="L6" s="22"/>
      <c r="M6" s="22"/>
      <c r="P6" s="6"/>
      <c r="Q6" s="6"/>
    </row>
    <row r="7" spans="2:19" x14ac:dyDescent="0.25">
      <c r="B7" s="49"/>
      <c r="C7" s="49"/>
      <c r="D7" s="49"/>
      <c r="F7" s="22" t="str" cm="1">
        <f t="array" ref="F7">"Throws: " &amp; _xlfn.IFS(RIGHT(VLOOKUP(F2,Table1[#All],5,FALSE),1)="R","Right",RIGHT(VLOOKUP(F2,Table1[#All],5,FALSE),1)="L","Left")</f>
        <v>Throws: Right</v>
      </c>
      <c r="G7" s="9"/>
      <c r="H7" s="9"/>
      <c r="I7" s="9"/>
      <c r="J7" s="9"/>
      <c r="K7" s="9"/>
      <c r="L7" s="9"/>
      <c r="M7" s="9"/>
      <c r="P7" s="6"/>
      <c r="Q7" s="6"/>
    </row>
    <row r="8" spans="2:19" x14ac:dyDescent="0.25">
      <c r="B8" s="49"/>
      <c r="C8" s="49"/>
      <c r="D8" s="49"/>
      <c r="F8" s="9" t="str">
        <f>"Height: " &amp; VLOOKUP(F2,Table1[#All],6,FALSE)</f>
        <v>Height: 6'4"</v>
      </c>
      <c r="G8" s="9"/>
      <c r="H8" s="9"/>
      <c r="I8" s="9"/>
      <c r="J8" s="9"/>
      <c r="K8" s="9"/>
      <c r="L8" s="9"/>
      <c r="M8" s="9"/>
      <c r="P8" s="6"/>
      <c r="Q8" s="6"/>
    </row>
    <row r="9" spans="2:19" x14ac:dyDescent="0.25">
      <c r="B9" s="49"/>
      <c r="C9" s="49"/>
      <c r="D9" s="49"/>
      <c r="F9" s="9" t="str">
        <f>"Weight: " &amp; VLOOKUP(F2,Table1[#All],7,FALSE)</f>
        <v>Weight: 230</v>
      </c>
      <c r="P9" s="6"/>
      <c r="Q9" s="6"/>
    </row>
    <row r="10" spans="2:19" ht="15" customHeight="1" x14ac:dyDescent="0.25">
      <c r="B10" s="49"/>
      <c r="C10" s="49"/>
      <c r="D10" s="49"/>
      <c r="F10" s="28" t="str">
        <f>"Born: " &amp; VLOOKUP(F2, Table1[#All],8,FALSE) &amp; " (" &amp; VLOOKUP(F2,Table1[#All],11,FALSE) &amp; ")"</f>
        <v>Born: December 3, 2001 (Freshman)</v>
      </c>
      <c r="Q10" s="11"/>
      <c r="R10" s="11"/>
      <c r="S10" s="11"/>
    </row>
    <row r="11" spans="2:19" x14ac:dyDescent="0.25">
      <c r="B11" s="49"/>
      <c r="C11" s="49"/>
      <c r="D11" s="49"/>
      <c r="F11" s="22" t="str">
        <f>"Hometown: " &amp; VLOOKUP(F2,Table1[#All],12,FALSE)</f>
        <v>Hometown: Camp Hill, PA</v>
      </c>
      <c r="G11" s="22"/>
      <c r="H11" s="22"/>
      <c r="I11" s="22"/>
      <c r="J11" s="22"/>
      <c r="K11" s="22"/>
      <c r="L11" s="22"/>
      <c r="M11" s="22"/>
      <c r="P11" s="11"/>
      <c r="Q11" s="11"/>
      <c r="R11" s="11"/>
      <c r="S11" s="11"/>
    </row>
    <row r="12" spans="2:19" x14ac:dyDescent="0.25">
      <c r="B12" s="49"/>
      <c r="C12" s="49"/>
      <c r="D12" s="49"/>
      <c r="F12" s="22"/>
      <c r="G12" s="22"/>
      <c r="H12" s="22"/>
      <c r="I12" s="22"/>
      <c r="J12" s="22"/>
      <c r="K12" s="22"/>
      <c r="L12" s="22"/>
      <c r="M12" s="22"/>
      <c r="N12" s="22"/>
      <c r="P12" s="11"/>
      <c r="Q12" s="11"/>
      <c r="R12" s="11"/>
      <c r="S12" s="11"/>
    </row>
    <row r="13" spans="2:19" x14ac:dyDescent="0.25">
      <c r="B13" s="49"/>
      <c r="C13" s="49"/>
      <c r="D13" s="49"/>
      <c r="F13" s="43" t="str">
        <f>"School: " &amp; VLOOKUP(F2,Table1[#All],9,FALSE)</f>
        <v>School: Green River College</v>
      </c>
      <c r="G13" s="43"/>
      <c r="H13" s="43"/>
      <c r="I13" s="43"/>
      <c r="J13" s="43"/>
      <c r="K13" s="43"/>
      <c r="L13" s="43"/>
      <c r="M13" s="43"/>
      <c r="N13" s="43"/>
      <c r="O13" s="43"/>
      <c r="P13" s="11"/>
      <c r="Q13" s="11"/>
      <c r="R13" s="11"/>
      <c r="S13" s="11"/>
    </row>
    <row r="14" spans="2:19" x14ac:dyDescent="0.25">
      <c r="B14" s="49"/>
      <c r="C14" s="49"/>
      <c r="D14" s="49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11"/>
      <c r="Q14" s="11"/>
      <c r="R14" s="11"/>
      <c r="S14" s="11"/>
    </row>
    <row r="16" spans="2:19" x14ac:dyDescent="0.25">
      <c r="B16" s="44" t="s">
        <v>135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2:19" x14ac:dyDescent="0.25">
      <c r="B17" s="13" t="s">
        <v>136</v>
      </c>
      <c r="C17" s="13" t="s">
        <v>174</v>
      </c>
      <c r="D17" s="13" t="s">
        <v>148</v>
      </c>
      <c r="E17" s="13" t="s">
        <v>149</v>
      </c>
      <c r="F17" s="13" t="s">
        <v>143</v>
      </c>
      <c r="G17" s="13" t="s">
        <v>144</v>
      </c>
      <c r="H17" s="13" t="s">
        <v>153</v>
      </c>
      <c r="I17" s="13" t="s">
        <v>154</v>
      </c>
      <c r="J17" s="13" t="s">
        <v>155</v>
      </c>
      <c r="K17" s="13" t="s">
        <v>156</v>
      </c>
      <c r="L17" s="13" t="s">
        <v>157</v>
      </c>
      <c r="M17" s="13" t="s">
        <v>158</v>
      </c>
      <c r="N17" s="13" t="s">
        <v>159</v>
      </c>
      <c r="O17" s="13" t="s">
        <v>161</v>
      </c>
      <c r="P17" s="13" t="s">
        <v>146</v>
      </c>
      <c r="Q17" s="13" t="s">
        <v>166</v>
      </c>
      <c r="R17" s="13" t="s">
        <v>185</v>
      </c>
      <c r="S17" s="2"/>
    </row>
    <row r="18" spans="2:19" x14ac:dyDescent="0.25">
      <c r="B18" s="13">
        <v>2022</v>
      </c>
      <c r="C18" s="13" t="str">
        <f>VLOOKUP(F2,Table1[#All],9,FALSE)</f>
        <v>Green River College</v>
      </c>
      <c r="D18" s="14" cm="1">
        <f t="array" ref="D18">_xlfn.IFS(VLOOKUP(F2,Table1[#All],14,FALSE)="NAIA Presto", VLOOKUP(F2,Table2[#All],4,FALSE),VLOOKUP(F2,Table1[#All],14,FALSE)="BR",VLOOKUP(F2,Table2[#All],14,FALSE))</f>
        <v>11</v>
      </c>
      <c r="E18" s="14" cm="1">
        <f t="array" ref="E18">_xlfn.IFS(VLOOKUP(F2,Table1[#All],14,FALSE)="NAIA Presto", VLOOKUP(F2,Table2[#All],5,FALSE),VLOOKUP(F2,Table1[#All],14,FALSE)="BR", VLOOKUP(F2,Table2[#All],15,FALSE))</f>
        <v>3</v>
      </c>
      <c r="F18" s="14" cm="1">
        <f t="array" ref="F18">_xlfn.IFS(VLOOKUP(F2,Table1[#All],14,FALSE)="NAIA Presto", VLOOKUP(F2,Table2[#All],6,FALSE),VLOOKUP(F2,Table1[#All],14,FALSE)="BR", VLOOKUP(F2,Table2[#All],9,FALSE))</f>
        <v>0</v>
      </c>
      <c r="G18" s="14" cm="1">
        <f t="array" ref="G18">_xlfn.IFS(VLOOKUP(F2,Table1[#All],14,FALSE)="NAIA Presto", VLOOKUP(F2,Table2[#All],7,FALSE),VLOOKUP(F2,Table1[#All],14,FALSE)="BR", VLOOKUP(F2,Table2[#All],10,FALSE))</f>
        <v>3</v>
      </c>
      <c r="H18" s="14" cm="1">
        <f t="array" ref="H18">_xlfn.IFS(VLOOKUP(F2,Table1[#All],14,FALSE)="NAIA Presto", VLOOKUP(F2,Table2[#All],8,FALSE),VLOOKUP(F2,Table1[#All],14,FALSE)="BR", VLOOKUP(F2,Table2[#All],19,FALSE))</f>
        <v>0</v>
      </c>
      <c r="I18" s="14" cm="1">
        <f t="array" ref="I18">_xlfn.IFS(VLOOKUP(F2,Table1[#All],14,FALSE)="NAIA Presto", VLOOKUP(F2,Table2[#All],10,FALSE),VLOOKUP(F2,Table1[#All],14,FALSE)="BR", VLOOKUP(F2,Table2[#All],20,FALSE))</f>
        <v>21</v>
      </c>
      <c r="J18" s="14" cm="1">
        <f t="array" ref="J18">_xlfn.IFS(VLOOKUP(F2,Table1[#All],14,FALSE)="NAIA Presto", VLOOKUP(F2,Table2[#All],11,FALSE),VLOOKUP(F2,Table1[#All],14,FALSE)="BR", VLOOKUP(F2,Table2[#All],21,FALSE))</f>
        <v>12</v>
      </c>
      <c r="K18" s="14" cm="1">
        <f t="array" ref="K18">_xlfn.IFS(VLOOKUP(F2,Table1[#All],14,FALSE)="NAIA Presto", VLOOKUP(F2,Table2[#All],12,FALSE),VLOOKUP(F2,Table1[#All],14,FALSE)="BR", VLOOKUP(F2,Table2[#All],22,FALSE))</f>
        <v>22</v>
      </c>
      <c r="L18" s="14" cm="1">
        <f t="array" ref="L18">_xlfn.IFS(VLOOKUP(F2,Table1[#All],14,FALSE)="NAIA Presto", VLOOKUP(F2,Table2[#All],13,FALSE),VLOOKUP(F2,Table1[#All],14,FALSE)="BR", VLOOKUP(F2,Table2[#All],23,FALSE))</f>
        <v>17</v>
      </c>
      <c r="M18" s="14" cm="1">
        <f t="array" ref="M18">_xlfn.IFS(VLOOKUP(F2,Table1[#All],14,FALSE)="NAIA Presto", VLOOKUP(F2,Table2[#All],17,FALSE),VLOOKUP(F2,Table1[#All],14,FALSE)="BR", VLOOKUP(F2,Table2[#All],24,FALSE))</f>
        <v>0</v>
      </c>
      <c r="N18" s="14" cm="1">
        <f t="array" ref="N18">_xlfn.IFS(VLOOKUP(F2,Table1[#All],14,FALSE)="NAIA Presto", VLOOKUP(F2,Table2[#All],14,FALSE),VLOOKUP(F2,Table1[#All],14,FALSE)="BR", VLOOKUP(F2,Table2[#All],25,FALSE))</f>
        <v>30</v>
      </c>
      <c r="O18" s="14" cm="1">
        <f t="array" ref="O18">_xlfn.IFS(VLOOKUP(F2,Table1[#All],14,FALSE)="NAIA Presto", VLOOKUP(F2,Table2[#All],15,FALSE),VLOOKUP(F2,Table1[#All],14,FALSE)="BR", VLOOKUP(F2,Table2[#All],27,FALSE))</f>
        <v>16</v>
      </c>
      <c r="P18" s="14" cm="1">
        <f t="array" ref="P18">_xlfn.IFS(VLOOKUP(F2,Table1[#All],14,FALSE)="NAIA Presto", VLOOKUP(F2,Table2[#All],18,FALSE),VLOOKUP(F2,Table1[#All],14,FALSE)="BR", VLOOKUP(F2,Table2[#All],12,FALSE))</f>
        <v>7.29</v>
      </c>
      <c r="Q18" s="19">
        <v>2</v>
      </c>
      <c r="R18" s="14" cm="1">
        <f t="array" ref="R18">_xlfn.IFS(VLOOKUP(F2,Table1[#All],14,FALSE)="NAIA Presto", VLOOKUP(F2,Table2[#All],16,FALSE),VLOOKUP(F2,Table1[#All],14,FALSE)="BR", VLOOKUP(F2,Table2[#All],36,FALSE))</f>
        <v>6.86</v>
      </c>
      <c r="S18" s="2"/>
    </row>
    <row r="19" spans="2:19" x14ac:dyDescent="0.25">
      <c r="B19" s="2"/>
      <c r="C19" s="2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2"/>
    </row>
  </sheetData>
  <mergeCells count="6">
    <mergeCell ref="B16:S16"/>
    <mergeCell ref="F13:O14"/>
    <mergeCell ref="B2:D14"/>
    <mergeCell ref="F2:M3"/>
    <mergeCell ref="N2:O3"/>
    <mergeCell ref="P2:S5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4602-9A42-4AA7-97D1-48A593D264EB}">
  <dimension ref="A1:AK36"/>
  <sheetViews>
    <sheetView topLeftCell="A16" workbookViewId="0">
      <selection activeCell="G32" sqref="G32"/>
    </sheetView>
  </sheetViews>
  <sheetFormatPr defaultRowHeight="15" x14ac:dyDescent="0.25"/>
  <cols>
    <col min="1" max="1" width="11" customWidth="1"/>
    <col min="2" max="2" width="4.28515625" bestFit="1" customWidth="1"/>
    <col min="3" max="4" width="4.5703125" bestFit="1" customWidth="1"/>
    <col min="5" max="9" width="4.28515625" bestFit="1" customWidth="1"/>
    <col min="10" max="18" width="5.28515625" bestFit="1" customWidth="1"/>
  </cols>
  <sheetData>
    <row r="1" spans="1:37" x14ac:dyDescent="0.25">
      <c r="A1" t="s">
        <v>194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269</v>
      </c>
      <c r="T1" t="s">
        <v>270</v>
      </c>
      <c r="U1" t="s">
        <v>271</v>
      </c>
      <c r="V1" t="s">
        <v>272</v>
      </c>
      <c r="W1" t="s">
        <v>273</v>
      </c>
      <c r="X1" t="s">
        <v>274</v>
      </c>
      <c r="Y1" t="s">
        <v>275</v>
      </c>
      <c r="Z1" t="s">
        <v>276</v>
      </c>
      <c r="AA1" t="s">
        <v>277</v>
      </c>
      <c r="AB1" t="s">
        <v>278</v>
      </c>
      <c r="AC1" t="s">
        <v>279</v>
      </c>
      <c r="AD1" t="s">
        <v>280</v>
      </c>
      <c r="AE1" t="s">
        <v>281</v>
      </c>
      <c r="AF1" t="s">
        <v>282</v>
      </c>
      <c r="AG1" t="s">
        <v>283</v>
      </c>
      <c r="AH1" t="s">
        <v>284</v>
      </c>
      <c r="AI1" t="s">
        <v>285</v>
      </c>
      <c r="AJ1" t="s">
        <v>286</v>
      </c>
      <c r="AK1" t="s">
        <v>287</v>
      </c>
    </row>
    <row r="2" spans="1:37" x14ac:dyDescent="0.25">
      <c r="A2" t="s">
        <v>88</v>
      </c>
      <c r="B2" t="s">
        <v>83</v>
      </c>
      <c r="C2" t="s">
        <v>127</v>
      </c>
      <c r="D2">
        <v>14</v>
      </c>
      <c r="E2">
        <v>13</v>
      </c>
      <c r="F2">
        <v>10</v>
      </c>
      <c r="G2">
        <v>0</v>
      </c>
      <c r="H2">
        <v>0</v>
      </c>
      <c r="I2">
        <v>1</v>
      </c>
      <c r="J2">
        <v>83.2</v>
      </c>
      <c r="K2">
        <v>87</v>
      </c>
      <c r="L2">
        <v>31</v>
      </c>
      <c r="M2">
        <v>29</v>
      </c>
      <c r="N2">
        <v>14</v>
      </c>
      <c r="O2">
        <v>54</v>
      </c>
      <c r="P2">
        <v>5.81</v>
      </c>
      <c r="Q2">
        <v>6</v>
      </c>
      <c r="R2">
        <v>3.12</v>
      </c>
    </row>
    <row r="3" spans="1:37" x14ac:dyDescent="0.25">
      <c r="A3" t="s">
        <v>93</v>
      </c>
      <c r="D3">
        <v>10</v>
      </c>
      <c r="E3">
        <v>10</v>
      </c>
      <c r="F3">
        <v>3</v>
      </c>
      <c r="G3">
        <v>2</v>
      </c>
      <c r="H3">
        <v>0</v>
      </c>
      <c r="I3">
        <v>0</v>
      </c>
      <c r="J3">
        <v>42.1</v>
      </c>
      <c r="K3">
        <v>49</v>
      </c>
      <c r="L3">
        <v>34</v>
      </c>
      <c r="M3">
        <v>26</v>
      </c>
      <c r="N3">
        <v>22</v>
      </c>
      <c r="O3">
        <v>34</v>
      </c>
      <c r="P3">
        <v>7.23</v>
      </c>
      <c r="Q3">
        <v>3</v>
      </c>
      <c r="R3">
        <v>5.53</v>
      </c>
    </row>
    <row r="4" spans="1:37" x14ac:dyDescent="0.25">
      <c r="A4" t="s">
        <v>189</v>
      </c>
      <c r="B4" t="s">
        <v>190</v>
      </c>
      <c r="C4" t="s">
        <v>126</v>
      </c>
      <c r="D4" t="s">
        <v>191</v>
      </c>
      <c r="E4" t="s">
        <v>149</v>
      </c>
      <c r="F4" t="s">
        <v>143</v>
      </c>
      <c r="G4" t="s">
        <v>144</v>
      </c>
      <c r="H4" t="s">
        <v>153</v>
      </c>
      <c r="I4" t="s">
        <v>151</v>
      </c>
      <c r="J4" t="s">
        <v>154</v>
      </c>
      <c r="K4" t="s">
        <v>155</v>
      </c>
      <c r="L4" t="s">
        <v>156</v>
      </c>
      <c r="M4" t="s">
        <v>157</v>
      </c>
      <c r="N4" t="s">
        <v>159</v>
      </c>
      <c r="O4" t="s">
        <v>192</v>
      </c>
      <c r="P4" t="s">
        <v>193</v>
      </c>
      <c r="Q4" t="s">
        <v>158</v>
      </c>
      <c r="R4" t="s">
        <v>146</v>
      </c>
    </row>
    <row r="5" spans="1:37" x14ac:dyDescent="0.25">
      <c r="D5" t="s">
        <v>191</v>
      </c>
      <c r="E5" t="s">
        <v>149</v>
      </c>
      <c r="F5" t="s">
        <v>143</v>
      </c>
      <c r="G5" t="s">
        <v>144</v>
      </c>
      <c r="H5" t="s">
        <v>153</v>
      </c>
      <c r="I5" t="s">
        <v>151</v>
      </c>
      <c r="J5" t="s">
        <v>154</v>
      </c>
      <c r="K5" t="s">
        <v>155</v>
      </c>
      <c r="L5" t="s">
        <v>156</v>
      </c>
      <c r="M5" t="s">
        <v>157</v>
      </c>
      <c r="N5" t="s">
        <v>159</v>
      </c>
      <c r="O5" t="s">
        <v>192</v>
      </c>
      <c r="P5" t="s">
        <v>193</v>
      </c>
      <c r="Q5" t="s">
        <v>158</v>
      </c>
      <c r="R5" t="s">
        <v>146</v>
      </c>
    </row>
    <row r="6" spans="1:37" x14ac:dyDescent="0.25">
      <c r="C6" t="s">
        <v>234</v>
      </c>
      <c r="D6">
        <v>6</v>
      </c>
      <c r="E6">
        <v>6</v>
      </c>
      <c r="F6">
        <v>1</v>
      </c>
      <c r="G6">
        <v>1</v>
      </c>
      <c r="H6">
        <v>0</v>
      </c>
      <c r="I6" t="s">
        <v>217</v>
      </c>
      <c r="J6">
        <v>24</v>
      </c>
      <c r="K6">
        <v>17</v>
      </c>
      <c r="L6">
        <v>19</v>
      </c>
      <c r="M6">
        <v>12</v>
      </c>
      <c r="N6">
        <v>20</v>
      </c>
      <c r="O6">
        <v>25</v>
      </c>
      <c r="P6">
        <v>9.3800000000000008</v>
      </c>
      <c r="Q6" t="s">
        <v>217</v>
      </c>
      <c r="R6">
        <v>4.5</v>
      </c>
    </row>
    <row r="7" spans="1:37" x14ac:dyDescent="0.25">
      <c r="C7" t="s">
        <v>235</v>
      </c>
      <c r="D7">
        <v>13</v>
      </c>
      <c r="E7">
        <v>2</v>
      </c>
      <c r="F7">
        <v>5</v>
      </c>
      <c r="G7">
        <v>5</v>
      </c>
      <c r="H7">
        <v>1</v>
      </c>
      <c r="I7">
        <v>1</v>
      </c>
      <c r="J7">
        <v>57</v>
      </c>
      <c r="K7">
        <v>70</v>
      </c>
      <c r="L7">
        <v>51</v>
      </c>
      <c r="M7">
        <v>37</v>
      </c>
      <c r="N7">
        <v>24</v>
      </c>
      <c r="O7">
        <v>83</v>
      </c>
      <c r="P7">
        <v>13.11</v>
      </c>
      <c r="Q7">
        <v>5</v>
      </c>
      <c r="R7">
        <v>5.84</v>
      </c>
    </row>
    <row r="8" spans="1:37" x14ac:dyDescent="0.25">
      <c r="A8" t="s">
        <v>95</v>
      </c>
      <c r="C8" t="s">
        <v>216</v>
      </c>
      <c r="D8">
        <v>15</v>
      </c>
      <c r="E8">
        <v>6</v>
      </c>
      <c r="F8">
        <v>5</v>
      </c>
      <c r="G8">
        <v>3</v>
      </c>
      <c r="H8">
        <v>0</v>
      </c>
      <c r="I8">
        <v>4</v>
      </c>
      <c r="J8">
        <v>52</v>
      </c>
      <c r="K8">
        <v>37</v>
      </c>
      <c r="L8">
        <v>39</v>
      </c>
      <c r="M8">
        <v>35</v>
      </c>
      <c r="N8">
        <v>38</v>
      </c>
      <c r="O8">
        <v>75</v>
      </c>
      <c r="P8">
        <v>12.98</v>
      </c>
      <c r="Q8">
        <v>1</v>
      </c>
      <c r="R8">
        <v>6.06</v>
      </c>
    </row>
    <row r="9" spans="1:37" x14ac:dyDescent="0.25">
      <c r="D9" t="s">
        <v>191</v>
      </c>
      <c r="E9" t="s">
        <v>149</v>
      </c>
      <c r="F9" t="s">
        <v>143</v>
      </c>
      <c r="G9" t="s">
        <v>144</v>
      </c>
      <c r="H9" t="s">
        <v>153</v>
      </c>
      <c r="I9" t="s">
        <v>151</v>
      </c>
      <c r="J9" t="s">
        <v>154</v>
      </c>
      <c r="K9" t="s">
        <v>155</v>
      </c>
      <c r="L9" t="s">
        <v>156</v>
      </c>
      <c r="M9" t="s">
        <v>157</v>
      </c>
      <c r="N9" t="s">
        <v>159</v>
      </c>
      <c r="O9" t="s">
        <v>192</v>
      </c>
      <c r="P9" t="s">
        <v>193</v>
      </c>
      <c r="Q9" t="s">
        <v>158</v>
      </c>
      <c r="R9" t="s">
        <v>146</v>
      </c>
    </row>
    <row r="10" spans="1:37" x14ac:dyDescent="0.25">
      <c r="A10" t="s">
        <v>97</v>
      </c>
      <c r="C10" t="s">
        <v>216</v>
      </c>
      <c r="D10">
        <v>11</v>
      </c>
      <c r="E10">
        <v>7</v>
      </c>
      <c r="F10">
        <v>4</v>
      </c>
      <c r="G10">
        <v>1</v>
      </c>
      <c r="H10">
        <v>0</v>
      </c>
      <c r="I10">
        <v>0</v>
      </c>
      <c r="J10">
        <v>44</v>
      </c>
      <c r="K10">
        <v>58</v>
      </c>
      <c r="L10">
        <v>31</v>
      </c>
      <c r="M10">
        <v>29</v>
      </c>
      <c r="N10">
        <v>16</v>
      </c>
      <c r="O10">
        <v>35</v>
      </c>
      <c r="P10">
        <v>7.16</v>
      </c>
      <c r="Q10">
        <v>2</v>
      </c>
      <c r="R10">
        <v>5.93</v>
      </c>
    </row>
    <row r="11" spans="1:37" x14ac:dyDescent="0.25">
      <c r="A11" t="s">
        <v>99</v>
      </c>
      <c r="B11" t="s">
        <v>82</v>
      </c>
      <c r="C11" t="s">
        <v>245</v>
      </c>
      <c r="D11">
        <v>22</v>
      </c>
      <c r="E11">
        <v>0</v>
      </c>
      <c r="F11">
        <v>4</v>
      </c>
      <c r="G11">
        <v>0</v>
      </c>
      <c r="H11">
        <v>2</v>
      </c>
      <c r="I11">
        <v>0</v>
      </c>
      <c r="J11">
        <v>30</v>
      </c>
      <c r="K11">
        <v>29</v>
      </c>
      <c r="L11">
        <v>13</v>
      </c>
      <c r="M11">
        <v>12</v>
      </c>
      <c r="N11">
        <v>9</v>
      </c>
      <c r="O11">
        <v>35</v>
      </c>
      <c r="P11">
        <v>10.5</v>
      </c>
      <c r="Q11">
        <v>1</v>
      </c>
      <c r="R11">
        <v>3.6</v>
      </c>
    </row>
    <row r="12" spans="1:37" x14ac:dyDescent="0.25">
      <c r="A12" t="s">
        <v>100</v>
      </c>
      <c r="B12" t="s">
        <v>83</v>
      </c>
      <c r="C12" t="s">
        <v>246</v>
      </c>
      <c r="D12">
        <v>26</v>
      </c>
      <c r="E12">
        <v>0</v>
      </c>
      <c r="F12">
        <v>3</v>
      </c>
      <c r="G12">
        <v>4</v>
      </c>
      <c r="H12">
        <v>6</v>
      </c>
      <c r="I12">
        <v>0</v>
      </c>
      <c r="J12">
        <v>37.1</v>
      </c>
      <c r="K12">
        <v>50</v>
      </c>
      <c r="L12">
        <v>21</v>
      </c>
      <c r="M12">
        <v>21</v>
      </c>
      <c r="N12">
        <v>14</v>
      </c>
      <c r="O12">
        <v>39</v>
      </c>
      <c r="P12">
        <v>9.4</v>
      </c>
      <c r="Q12">
        <v>3</v>
      </c>
      <c r="R12">
        <v>5.0599999999999996</v>
      </c>
    </row>
    <row r="13" spans="1:37" x14ac:dyDescent="0.25">
      <c r="A13" t="s">
        <v>101</v>
      </c>
      <c r="B13" t="s">
        <v>82</v>
      </c>
      <c r="C13" t="s">
        <v>249</v>
      </c>
      <c r="D13">
        <v>20</v>
      </c>
      <c r="E13">
        <v>0</v>
      </c>
      <c r="F13">
        <v>3</v>
      </c>
      <c r="G13">
        <v>2</v>
      </c>
      <c r="H13">
        <v>3</v>
      </c>
      <c r="I13">
        <v>0</v>
      </c>
      <c r="J13">
        <v>28.1</v>
      </c>
      <c r="K13">
        <v>24</v>
      </c>
      <c r="L13">
        <v>17</v>
      </c>
      <c r="M13">
        <v>13</v>
      </c>
      <c r="N13">
        <v>23</v>
      </c>
      <c r="O13">
        <v>36</v>
      </c>
      <c r="P13">
        <v>11.44</v>
      </c>
      <c r="Q13">
        <v>2</v>
      </c>
      <c r="R13">
        <v>4.13</v>
      </c>
    </row>
    <row r="14" spans="1:37" x14ac:dyDescent="0.25">
      <c r="A14" t="s">
        <v>102</v>
      </c>
      <c r="B14" t="s">
        <v>84</v>
      </c>
      <c r="C14" t="s">
        <v>249</v>
      </c>
      <c r="D14">
        <v>15</v>
      </c>
      <c r="E14">
        <v>14</v>
      </c>
      <c r="F14">
        <v>7</v>
      </c>
      <c r="G14">
        <v>4</v>
      </c>
      <c r="H14">
        <v>0</v>
      </c>
      <c r="I14">
        <v>4</v>
      </c>
      <c r="J14">
        <v>87.1</v>
      </c>
      <c r="K14">
        <v>71</v>
      </c>
      <c r="L14">
        <v>31</v>
      </c>
      <c r="M14">
        <v>30</v>
      </c>
      <c r="N14">
        <v>27</v>
      </c>
      <c r="O14">
        <v>99</v>
      </c>
      <c r="P14">
        <v>10.199999999999999</v>
      </c>
      <c r="Q14">
        <v>5</v>
      </c>
      <c r="R14">
        <v>3.09</v>
      </c>
    </row>
    <row r="15" spans="1:37" x14ac:dyDescent="0.25">
      <c r="A15" t="s">
        <v>103</v>
      </c>
      <c r="B15" t="s">
        <v>83</v>
      </c>
      <c r="C15" t="s">
        <v>249</v>
      </c>
      <c r="D15">
        <v>5</v>
      </c>
      <c r="E15">
        <v>4</v>
      </c>
      <c r="F15">
        <v>2</v>
      </c>
      <c r="G15">
        <v>3</v>
      </c>
      <c r="H15">
        <v>0</v>
      </c>
      <c r="I15">
        <v>1</v>
      </c>
      <c r="J15">
        <v>23</v>
      </c>
      <c r="K15">
        <v>25</v>
      </c>
      <c r="L15">
        <v>22</v>
      </c>
      <c r="M15">
        <v>15</v>
      </c>
      <c r="N15">
        <v>11</v>
      </c>
      <c r="O15">
        <v>22</v>
      </c>
      <c r="P15">
        <v>8.61</v>
      </c>
      <c r="Q15">
        <v>4</v>
      </c>
      <c r="R15">
        <v>5.87</v>
      </c>
    </row>
    <row r="16" spans="1:37" x14ac:dyDescent="0.25">
      <c r="A16" t="s">
        <v>105</v>
      </c>
      <c r="B16" t="s">
        <v>262</v>
      </c>
      <c r="C16" t="s">
        <v>127</v>
      </c>
      <c r="D16">
        <v>13</v>
      </c>
      <c r="E16">
        <v>12</v>
      </c>
      <c r="F16">
        <v>4</v>
      </c>
      <c r="G16">
        <v>4</v>
      </c>
      <c r="H16">
        <v>0</v>
      </c>
      <c r="I16" t="s">
        <v>217</v>
      </c>
      <c r="J16">
        <v>59.2</v>
      </c>
      <c r="K16">
        <v>70</v>
      </c>
      <c r="L16">
        <v>37</v>
      </c>
      <c r="M16">
        <v>30</v>
      </c>
      <c r="N16">
        <v>32</v>
      </c>
      <c r="O16">
        <v>66</v>
      </c>
      <c r="P16">
        <v>9.9600000000000009</v>
      </c>
      <c r="Q16">
        <v>3</v>
      </c>
      <c r="R16">
        <v>4.53</v>
      </c>
    </row>
    <row r="17" spans="1:37" x14ac:dyDescent="0.25">
      <c r="A17" t="s">
        <v>109</v>
      </c>
      <c r="B17">
        <v>2022</v>
      </c>
      <c r="C17" t="s">
        <v>223</v>
      </c>
      <c r="E17" t="s">
        <v>266</v>
      </c>
      <c r="F17" t="s">
        <v>267</v>
      </c>
      <c r="G17" t="s">
        <v>268</v>
      </c>
      <c r="I17">
        <v>8</v>
      </c>
      <c r="J17">
        <v>1</v>
      </c>
      <c r="K17">
        <v>0.88900000000000001</v>
      </c>
      <c r="L17">
        <v>2.0099999999999998</v>
      </c>
      <c r="M17">
        <v>2.33</v>
      </c>
      <c r="N17">
        <v>11</v>
      </c>
      <c r="O17">
        <v>11</v>
      </c>
      <c r="R17">
        <v>1</v>
      </c>
      <c r="S17">
        <v>0</v>
      </c>
      <c r="T17">
        <v>85</v>
      </c>
      <c r="U17">
        <v>67</v>
      </c>
      <c r="V17">
        <v>22</v>
      </c>
      <c r="W17">
        <v>19</v>
      </c>
      <c r="X17">
        <v>2</v>
      </c>
      <c r="Y17">
        <v>10</v>
      </c>
      <c r="AA17">
        <v>84</v>
      </c>
      <c r="AB17">
        <v>9</v>
      </c>
      <c r="AC17">
        <v>1</v>
      </c>
      <c r="AD17">
        <v>0</v>
      </c>
      <c r="AE17">
        <v>343</v>
      </c>
      <c r="AF17">
        <v>0.90600000000000003</v>
      </c>
      <c r="AG17">
        <v>7.1</v>
      </c>
      <c r="AH17">
        <v>0.2</v>
      </c>
      <c r="AI17">
        <v>1.1000000000000001</v>
      </c>
      <c r="AJ17">
        <v>8.9</v>
      </c>
      <c r="AK17">
        <v>8.4</v>
      </c>
    </row>
    <row r="18" spans="1:37" x14ac:dyDescent="0.25">
      <c r="A18" t="s">
        <v>110</v>
      </c>
      <c r="B18">
        <v>2021</v>
      </c>
      <c r="C18" t="s">
        <v>223</v>
      </c>
      <c r="E18" t="s">
        <v>291</v>
      </c>
      <c r="F18" t="s">
        <v>292</v>
      </c>
      <c r="G18" t="s">
        <v>268</v>
      </c>
      <c r="I18">
        <v>5</v>
      </c>
      <c r="J18">
        <v>3</v>
      </c>
      <c r="K18">
        <v>0.625</v>
      </c>
      <c r="L18">
        <v>2.14</v>
      </c>
      <c r="M18">
        <v>2.59</v>
      </c>
      <c r="N18">
        <v>10</v>
      </c>
      <c r="O18">
        <v>10</v>
      </c>
      <c r="R18">
        <v>0</v>
      </c>
      <c r="S18">
        <v>0</v>
      </c>
      <c r="T18">
        <v>59</v>
      </c>
      <c r="U18">
        <v>39</v>
      </c>
      <c r="V18">
        <v>17</v>
      </c>
      <c r="W18">
        <v>14</v>
      </c>
      <c r="X18">
        <v>1</v>
      </c>
      <c r="Y18">
        <v>16</v>
      </c>
      <c r="AA18">
        <v>78</v>
      </c>
      <c r="AB18">
        <v>11</v>
      </c>
      <c r="AC18">
        <v>0</v>
      </c>
      <c r="AD18">
        <v>1</v>
      </c>
      <c r="AE18">
        <v>244</v>
      </c>
      <c r="AF18">
        <v>0.93200000000000005</v>
      </c>
      <c r="AG18">
        <v>5.9</v>
      </c>
      <c r="AH18">
        <v>0.2</v>
      </c>
      <c r="AI18">
        <v>2.4</v>
      </c>
      <c r="AJ18">
        <v>11.9</v>
      </c>
      <c r="AK18">
        <v>4.88</v>
      </c>
    </row>
    <row r="19" spans="1:37" x14ac:dyDescent="0.25">
      <c r="D19" t="s">
        <v>191</v>
      </c>
      <c r="E19" t="s">
        <v>149</v>
      </c>
      <c r="F19" t="s">
        <v>143</v>
      </c>
      <c r="G19" t="s">
        <v>144</v>
      </c>
      <c r="H19" t="s">
        <v>153</v>
      </c>
      <c r="I19" t="s">
        <v>151</v>
      </c>
      <c r="J19" t="s">
        <v>154</v>
      </c>
      <c r="K19" t="s">
        <v>155</v>
      </c>
      <c r="L19" t="s">
        <v>156</v>
      </c>
      <c r="M19" t="s">
        <v>157</v>
      </c>
      <c r="N19" t="s">
        <v>159</v>
      </c>
      <c r="O19" t="s">
        <v>192</v>
      </c>
      <c r="P19" t="s">
        <v>193</v>
      </c>
      <c r="Q19" t="s">
        <v>158</v>
      </c>
      <c r="R19" t="s">
        <v>146</v>
      </c>
    </row>
    <row r="20" spans="1:37" x14ac:dyDescent="0.25">
      <c r="A20" t="s">
        <v>111</v>
      </c>
      <c r="C20" t="s">
        <v>216</v>
      </c>
      <c r="D20">
        <v>11</v>
      </c>
      <c r="E20">
        <v>0</v>
      </c>
      <c r="F20">
        <v>1</v>
      </c>
      <c r="G20">
        <v>1</v>
      </c>
      <c r="H20">
        <v>1</v>
      </c>
      <c r="I20" t="s">
        <v>217</v>
      </c>
      <c r="J20">
        <v>17</v>
      </c>
      <c r="K20">
        <v>6</v>
      </c>
      <c r="L20">
        <v>10</v>
      </c>
      <c r="M20">
        <v>6</v>
      </c>
      <c r="N20">
        <v>20</v>
      </c>
      <c r="O20">
        <v>27</v>
      </c>
      <c r="P20">
        <v>14.29</v>
      </c>
      <c r="Q20" t="s">
        <v>217</v>
      </c>
      <c r="R20">
        <v>3.18</v>
      </c>
    </row>
    <row r="21" spans="1:37" x14ac:dyDescent="0.25">
      <c r="A21" t="s">
        <v>112</v>
      </c>
      <c r="B21">
        <v>2022</v>
      </c>
      <c r="C21" t="s">
        <v>223</v>
      </c>
      <c r="E21" t="s">
        <v>293</v>
      </c>
      <c r="F21" t="s">
        <v>294</v>
      </c>
      <c r="G21" t="s">
        <v>268</v>
      </c>
      <c r="I21">
        <v>0</v>
      </c>
      <c r="J21">
        <v>1</v>
      </c>
      <c r="K21">
        <v>0</v>
      </c>
      <c r="L21">
        <v>5.4</v>
      </c>
      <c r="M21">
        <v>7.2</v>
      </c>
      <c r="N21">
        <v>8</v>
      </c>
      <c r="O21">
        <v>1</v>
      </c>
      <c r="R21">
        <v>0</v>
      </c>
      <c r="S21">
        <v>0</v>
      </c>
      <c r="T21">
        <v>15</v>
      </c>
      <c r="U21">
        <v>14</v>
      </c>
      <c r="V21">
        <v>12</v>
      </c>
      <c r="W21">
        <v>9</v>
      </c>
      <c r="X21">
        <v>1</v>
      </c>
      <c r="Y21">
        <v>12</v>
      </c>
      <c r="AA21">
        <v>16</v>
      </c>
      <c r="AB21">
        <v>5</v>
      </c>
      <c r="AC21">
        <v>0</v>
      </c>
      <c r="AD21">
        <v>4</v>
      </c>
      <c r="AE21">
        <v>74</v>
      </c>
      <c r="AF21">
        <v>1.7330000000000001</v>
      </c>
      <c r="AG21">
        <v>8.4</v>
      </c>
      <c r="AH21">
        <v>0.6</v>
      </c>
      <c r="AI21">
        <v>7.2</v>
      </c>
      <c r="AJ21">
        <v>9.6</v>
      </c>
      <c r="AK21">
        <v>1.33</v>
      </c>
    </row>
    <row r="22" spans="1:37" x14ac:dyDescent="0.25">
      <c r="D22" t="s">
        <v>191</v>
      </c>
      <c r="E22" t="s">
        <v>149</v>
      </c>
      <c r="F22" t="s">
        <v>143</v>
      </c>
      <c r="G22" t="s">
        <v>144</v>
      </c>
      <c r="H22" t="s">
        <v>153</v>
      </c>
      <c r="I22" t="s">
        <v>151</v>
      </c>
      <c r="J22" t="s">
        <v>154</v>
      </c>
      <c r="K22" t="s">
        <v>155</v>
      </c>
      <c r="L22" t="s">
        <v>156</v>
      </c>
      <c r="M22" t="s">
        <v>157</v>
      </c>
      <c r="N22" t="s">
        <v>159</v>
      </c>
      <c r="O22" t="s">
        <v>192</v>
      </c>
      <c r="P22" t="s">
        <v>193</v>
      </c>
      <c r="Q22" t="s">
        <v>158</v>
      </c>
      <c r="R22" t="s">
        <v>146</v>
      </c>
    </row>
    <row r="23" spans="1:37" x14ac:dyDescent="0.25">
      <c r="A23" t="s">
        <v>113</v>
      </c>
      <c r="D23">
        <v>11</v>
      </c>
      <c r="E23">
        <v>3</v>
      </c>
      <c r="F23">
        <v>0</v>
      </c>
      <c r="G23">
        <v>3</v>
      </c>
      <c r="H23">
        <v>0</v>
      </c>
      <c r="I23">
        <v>0</v>
      </c>
      <c r="J23">
        <v>21</v>
      </c>
      <c r="K23">
        <v>12</v>
      </c>
      <c r="L23">
        <v>22</v>
      </c>
      <c r="M23">
        <v>17</v>
      </c>
      <c r="N23">
        <v>30</v>
      </c>
      <c r="O23">
        <v>16</v>
      </c>
      <c r="P23">
        <v>6.86</v>
      </c>
      <c r="Q23">
        <v>0</v>
      </c>
      <c r="R23">
        <v>7.29</v>
      </c>
    </row>
    <row r="24" spans="1:37" x14ac:dyDescent="0.25">
      <c r="A24" t="s">
        <v>348</v>
      </c>
      <c r="C24" t="s">
        <v>216</v>
      </c>
      <c r="D24">
        <v>13</v>
      </c>
      <c r="E24">
        <v>10</v>
      </c>
      <c r="F24">
        <v>5</v>
      </c>
      <c r="G24">
        <v>3</v>
      </c>
      <c r="H24">
        <v>0</v>
      </c>
      <c r="I24">
        <v>3</v>
      </c>
      <c r="J24">
        <v>52</v>
      </c>
      <c r="K24">
        <v>39</v>
      </c>
      <c r="L24">
        <v>33</v>
      </c>
      <c r="M24">
        <v>26</v>
      </c>
      <c r="N24">
        <v>28</v>
      </c>
      <c r="O24">
        <v>60</v>
      </c>
      <c r="P24">
        <v>10.38</v>
      </c>
      <c r="Q24">
        <v>5</v>
      </c>
      <c r="R24">
        <v>4.5</v>
      </c>
    </row>
    <row r="25" spans="1:37" x14ac:dyDescent="0.25">
      <c r="A25" t="s">
        <v>98</v>
      </c>
      <c r="C25" t="s">
        <v>216</v>
      </c>
      <c r="D25">
        <v>13</v>
      </c>
      <c r="E25">
        <v>10</v>
      </c>
      <c r="F25">
        <v>6</v>
      </c>
      <c r="G25">
        <v>2</v>
      </c>
      <c r="H25">
        <v>0</v>
      </c>
      <c r="I25" t="s">
        <v>217</v>
      </c>
      <c r="J25">
        <v>52</v>
      </c>
      <c r="K25">
        <v>34</v>
      </c>
      <c r="L25">
        <v>22</v>
      </c>
      <c r="M25">
        <v>14</v>
      </c>
      <c r="N25">
        <v>22</v>
      </c>
      <c r="O25">
        <v>58</v>
      </c>
      <c r="P25">
        <v>10.039999999999999</v>
      </c>
      <c r="Q25">
        <v>3</v>
      </c>
      <c r="R25">
        <v>2.42</v>
      </c>
    </row>
    <row r="26" spans="1:37" x14ac:dyDescent="0.25">
      <c r="A26" t="s">
        <v>108</v>
      </c>
      <c r="C26" t="s">
        <v>216</v>
      </c>
      <c r="D26">
        <v>21</v>
      </c>
      <c r="E26">
        <v>0</v>
      </c>
      <c r="F26">
        <v>3</v>
      </c>
      <c r="G26">
        <v>0</v>
      </c>
      <c r="H26">
        <v>7</v>
      </c>
      <c r="I26" t="s">
        <v>217</v>
      </c>
      <c r="J26">
        <v>38</v>
      </c>
      <c r="K26">
        <v>27</v>
      </c>
      <c r="L26">
        <v>15</v>
      </c>
      <c r="M26">
        <v>12</v>
      </c>
      <c r="N26">
        <v>17</v>
      </c>
      <c r="O26">
        <v>50</v>
      </c>
      <c r="P26">
        <v>11.84</v>
      </c>
      <c r="Q26">
        <v>3</v>
      </c>
      <c r="R26">
        <v>2.84</v>
      </c>
    </row>
    <row r="27" spans="1:37" x14ac:dyDescent="0.25">
      <c r="A27" t="s">
        <v>92</v>
      </c>
      <c r="B27">
        <v>2022</v>
      </c>
      <c r="C27">
        <v>20</v>
      </c>
      <c r="D27">
        <v>-1.9</v>
      </c>
      <c r="E27" t="s">
        <v>351</v>
      </c>
      <c r="F27" t="s">
        <v>352</v>
      </c>
      <c r="G27" t="s">
        <v>268</v>
      </c>
      <c r="I27">
        <v>0</v>
      </c>
      <c r="J27">
        <v>0</v>
      </c>
      <c r="L27">
        <v>2.84</v>
      </c>
      <c r="M27">
        <v>2.84</v>
      </c>
      <c r="N27">
        <v>6</v>
      </c>
      <c r="O27">
        <v>0</v>
      </c>
      <c r="R27">
        <v>0</v>
      </c>
      <c r="S27">
        <v>0</v>
      </c>
      <c r="T27">
        <v>6.1</v>
      </c>
      <c r="U27">
        <v>3</v>
      </c>
      <c r="V27">
        <v>2</v>
      </c>
      <c r="W27">
        <v>2</v>
      </c>
      <c r="X27">
        <v>0</v>
      </c>
      <c r="Y27">
        <v>8</v>
      </c>
      <c r="AA27">
        <v>3</v>
      </c>
      <c r="AB27">
        <v>1</v>
      </c>
      <c r="AC27">
        <v>0</v>
      </c>
      <c r="AD27">
        <v>2</v>
      </c>
      <c r="AE27">
        <v>32</v>
      </c>
      <c r="AF27">
        <v>1.7370000000000001</v>
      </c>
      <c r="AG27">
        <v>4.3</v>
      </c>
      <c r="AH27">
        <v>0</v>
      </c>
      <c r="AI27">
        <v>11.4</v>
      </c>
      <c r="AJ27">
        <v>4.3</v>
      </c>
      <c r="AK27">
        <v>0.38</v>
      </c>
    </row>
    <row r="28" spans="1:37" x14ac:dyDescent="0.25">
      <c r="A28" t="s">
        <v>415</v>
      </c>
      <c r="B28">
        <v>2022</v>
      </c>
      <c r="C28">
        <v>19</v>
      </c>
      <c r="D28">
        <v>-2.4</v>
      </c>
      <c r="E28" t="s">
        <v>354</v>
      </c>
      <c r="F28" t="s">
        <v>353</v>
      </c>
      <c r="G28" t="s">
        <v>268</v>
      </c>
      <c r="I28">
        <v>0</v>
      </c>
      <c r="J28">
        <v>0</v>
      </c>
      <c r="L28">
        <v>10.45</v>
      </c>
      <c r="M28">
        <v>10.45</v>
      </c>
      <c r="N28">
        <v>9</v>
      </c>
      <c r="O28">
        <v>0</v>
      </c>
      <c r="R28">
        <v>0</v>
      </c>
      <c r="S28">
        <v>0</v>
      </c>
      <c r="T28">
        <v>10.1</v>
      </c>
      <c r="U28">
        <v>16</v>
      </c>
      <c r="V28">
        <v>12</v>
      </c>
      <c r="W28">
        <v>12</v>
      </c>
      <c r="X28">
        <v>2</v>
      </c>
      <c r="Y28">
        <v>6</v>
      </c>
      <c r="AA28">
        <v>10</v>
      </c>
      <c r="AB28">
        <v>2</v>
      </c>
      <c r="AC28">
        <v>0</v>
      </c>
      <c r="AD28">
        <v>0</v>
      </c>
      <c r="AE28">
        <v>56</v>
      </c>
      <c r="AF28">
        <v>2.129</v>
      </c>
      <c r="AG28">
        <v>13.9</v>
      </c>
      <c r="AH28">
        <v>1.7</v>
      </c>
      <c r="AI28">
        <v>5.2</v>
      </c>
      <c r="AJ28">
        <v>8.6999999999999993</v>
      </c>
      <c r="AK28">
        <v>1.67</v>
      </c>
    </row>
    <row r="29" spans="1:37" x14ac:dyDescent="0.25">
      <c r="A29" t="s">
        <v>418</v>
      </c>
      <c r="B29" t="s">
        <v>84</v>
      </c>
      <c r="C29" t="s">
        <v>249</v>
      </c>
      <c r="D29">
        <v>17</v>
      </c>
      <c r="E29">
        <v>8</v>
      </c>
      <c r="F29">
        <v>3</v>
      </c>
      <c r="G29">
        <v>1</v>
      </c>
      <c r="H29">
        <v>0</v>
      </c>
      <c r="I29">
        <v>0</v>
      </c>
      <c r="J29">
        <v>42</v>
      </c>
      <c r="K29">
        <v>27</v>
      </c>
      <c r="L29">
        <v>19</v>
      </c>
      <c r="M29">
        <v>17</v>
      </c>
      <c r="N29">
        <v>17</v>
      </c>
      <c r="O29">
        <v>68</v>
      </c>
      <c r="P29">
        <v>14.57</v>
      </c>
      <c r="Q29">
        <v>4</v>
      </c>
      <c r="R29">
        <v>3.64</v>
      </c>
    </row>
    <row r="30" spans="1:37" x14ac:dyDescent="0.25">
      <c r="A30" t="s">
        <v>420</v>
      </c>
      <c r="B30">
        <v>2022</v>
      </c>
      <c r="C30">
        <v>19</v>
      </c>
      <c r="D30">
        <v>-2.9</v>
      </c>
      <c r="E30" t="s">
        <v>351</v>
      </c>
      <c r="F30" t="s">
        <v>352</v>
      </c>
      <c r="G30" t="s">
        <v>268</v>
      </c>
      <c r="I30">
        <v>0</v>
      </c>
      <c r="J30">
        <v>0</v>
      </c>
      <c r="L30">
        <v>13.5</v>
      </c>
      <c r="M30">
        <v>20.25</v>
      </c>
      <c r="N30">
        <v>3</v>
      </c>
      <c r="O30">
        <v>0</v>
      </c>
      <c r="R30">
        <v>0</v>
      </c>
      <c r="S30">
        <v>0</v>
      </c>
      <c r="T30">
        <v>1.1000000000000001</v>
      </c>
      <c r="U30">
        <v>0</v>
      </c>
      <c r="V30">
        <v>3</v>
      </c>
      <c r="W30">
        <v>2</v>
      </c>
      <c r="X30">
        <v>0</v>
      </c>
      <c r="Y30">
        <v>5</v>
      </c>
      <c r="AA30">
        <v>3</v>
      </c>
      <c r="AB30">
        <v>1</v>
      </c>
      <c r="AC30">
        <v>0</v>
      </c>
      <c r="AD30">
        <v>1</v>
      </c>
      <c r="AE30">
        <v>10</v>
      </c>
      <c r="AF30">
        <v>3.75</v>
      </c>
      <c r="AG30">
        <v>0</v>
      </c>
      <c r="AH30">
        <v>0</v>
      </c>
      <c r="AI30">
        <v>33.799999999999997</v>
      </c>
      <c r="AJ30">
        <v>20.3</v>
      </c>
      <c r="AK30">
        <v>0.6</v>
      </c>
    </row>
    <row r="31" spans="1:37" x14ac:dyDescent="0.25">
      <c r="A31" t="s">
        <v>107</v>
      </c>
      <c r="B31">
        <v>2022</v>
      </c>
      <c r="C31" t="s">
        <v>223</v>
      </c>
      <c r="E31" t="s">
        <v>463</v>
      </c>
      <c r="F31" t="s">
        <v>464</v>
      </c>
      <c r="G31" t="s">
        <v>268</v>
      </c>
      <c r="I31">
        <v>1</v>
      </c>
      <c r="J31">
        <v>0</v>
      </c>
      <c r="K31">
        <v>1</v>
      </c>
      <c r="L31">
        <v>3.52</v>
      </c>
      <c r="M31">
        <v>3.52</v>
      </c>
      <c r="N31">
        <v>4</v>
      </c>
      <c r="O31">
        <v>0</v>
      </c>
      <c r="R31">
        <v>0</v>
      </c>
      <c r="S31">
        <v>0</v>
      </c>
      <c r="T31">
        <v>7.2</v>
      </c>
      <c r="U31">
        <v>6</v>
      </c>
      <c r="V31">
        <v>3</v>
      </c>
      <c r="W31">
        <v>3</v>
      </c>
      <c r="X31">
        <v>0</v>
      </c>
      <c r="Y31">
        <v>4</v>
      </c>
      <c r="AA31">
        <v>11</v>
      </c>
      <c r="AB31">
        <v>3</v>
      </c>
      <c r="AC31">
        <v>0</v>
      </c>
      <c r="AD31">
        <v>0</v>
      </c>
      <c r="AE31">
        <v>35</v>
      </c>
      <c r="AF31">
        <v>1.304</v>
      </c>
      <c r="AG31">
        <v>7</v>
      </c>
      <c r="AH31">
        <v>0</v>
      </c>
      <c r="AI31">
        <v>4.7</v>
      </c>
      <c r="AJ31">
        <v>12.9</v>
      </c>
      <c r="AK31">
        <v>2.75</v>
      </c>
    </row>
    <row r="32" spans="1:37" x14ac:dyDescent="0.25">
      <c r="A32" t="s">
        <v>483</v>
      </c>
      <c r="B32">
        <v>2022</v>
      </c>
      <c r="C32" t="s">
        <v>223</v>
      </c>
      <c r="E32" t="s">
        <v>65</v>
      </c>
      <c r="F32" t="s">
        <v>484</v>
      </c>
      <c r="G32" t="s">
        <v>479</v>
      </c>
      <c r="I32">
        <v>10</v>
      </c>
      <c r="J32">
        <v>3</v>
      </c>
      <c r="K32">
        <v>0.76900000000000002</v>
      </c>
      <c r="L32">
        <v>3.28</v>
      </c>
      <c r="M32">
        <v>4.8099999999999996</v>
      </c>
      <c r="N32">
        <v>15</v>
      </c>
      <c r="O32">
        <v>13</v>
      </c>
      <c r="Q32">
        <v>2</v>
      </c>
      <c r="S32">
        <v>0</v>
      </c>
      <c r="T32">
        <v>82.1</v>
      </c>
      <c r="U32">
        <v>64</v>
      </c>
      <c r="V32">
        <v>44</v>
      </c>
      <c r="W32">
        <v>30</v>
      </c>
      <c r="X32">
        <v>5</v>
      </c>
      <c r="Y32">
        <v>32</v>
      </c>
      <c r="AA32">
        <v>108</v>
      </c>
      <c r="AF32">
        <v>1.1659999999999999</v>
      </c>
      <c r="AG32">
        <v>7</v>
      </c>
      <c r="AH32">
        <v>0.5</v>
      </c>
      <c r="AI32">
        <v>3.5</v>
      </c>
      <c r="AJ32">
        <v>11.8</v>
      </c>
      <c r="AK32">
        <v>3.38</v>
      </c>
    </row>
    <row r="33" spans="1:37" x14ac:dyDescent="0.25">
      <c r="A33" t="s">
        <v>503</v>
      </c>
      <c r="B33">
        <v>2022</v>
      </c>
      <c r="C33" t="s">
        <v>223</v>
      </c>
      <c r="E33" t="s">
        <v>504</v>
      </c>
      <c r="F33" t="s">
        <v>505</v>
      </c>
      <c r="G33" t="s">
        <v>479</v>
      </c>
      <c r="I33">
        <v>7</v>
      </c>
      <c r="J33">
        <v>1</v>
      </c>
      <c r="K33">
        <v>0.875</v>
      </c>
      <c r="L33">
        <v>4.13</v>
      </c>
      <c r="M33">
        <v>5.5</v>
      </c>
      <c r="N33">
        <v>13</v>
      </c>
      <c r="O33">
        <v>12</v>
      </c>
      <c r="Q33">
        <v>3</v>
      </c>
      <c r="S33">
        <v>0</v>
      </c>
      <c r="T33">
        <v>72</v>
      </c>
      <c r="U33">
        <v>74</v>
      </c>
      <c r="V33">
        <v>44</v>
      </c>
      <c r="W33">
        <v>33</v>
      </c>
      <c r="X33">
        <v>1</v>
      </c>
      <c r="Y33">
        <v>21</v>
      </c>
      <c r="AA33">
        <v>38</v>
      </c>
      <c r="AF33">
        <v>1.319</v>
      </c>
      <c r="AG33">
        <v>9.3000000000000007</v>
      </c>
      <c r="AH33">
        <v>0.1</v>
      </c>
      <c r="AI33">
        <v>2.6</v>
      </c>
      <c r="AJ33">
        <v>4.8</v>
      </c>
      <c r="AK33">
        <v>1.81</v>
      </c>
    </row>
    <row r="34" spans="1:37" x14ac:dyDescent="0.25">
      <c r="A34" t="s">
        <v>509</v>
      </c>
      <c r="B34">
        <v>2022</v>
      </c>
      <c r="C34" t="s">
        <v>223</v>
      </c>
      <c r="E34" t="s">
        <v>510</v>
      </c>
      <c r="F34" t="s">
        <v>511</v>
      </c>
      <c r="G34" t="s">
        <v>479</v>
      </c>
      <c r="I34">
        <v>4</v>
      </c>
      <c r="J34">
        <v>4</v>
      </c>
      <c r="K34">
        <v>0.5</v>
      </c>
      <c r="L34">
        <v>3.67</v>
      </c>
      <c r="M34">
        <v>4.8899999999999997</v>
      </c>
      <c r="N34">
        <v>14</v>
      </c>
      <c r="O34">
        <v>14</v>
      </c>
      <c r="Q34">
        <v>3</v>
      </c>
      <c r="S34">
        <v>0</v>
      </c>
      <c r="T34">
        <v>73.2</v>
      </c>
      <c r="U34">
        <v>70</v>
      </c>
      <c r="V34">
        <v>40</v>
      </c>
      <c r="W34">
        <v>30</v>
      </c>
      <c r="X34">
        <v>6</v>
      </c>
      <c r="Y34">
        <v>28</v>
      </c>
      <c r="AA34">
        <v>82</v>
      </c>
      <c r="AF34">
        <v>1.33</v>
      </c>
      <c r="AG34">
        <v>8.6</v>
      </c>
      <c r="AH34">
        <v>0.7</v>
      </c>
      <c r="AI34">
        <v>3.4</v>
      </c>
      <c r="AJ34">
        <v>10</v>
      </c>
      <c r="AK34">
        <v>2.93</v>
      </c>
    </row>
    <row r="35" spans="1:37" x14ac:dyDescent="0.25">
      <c r="A35" t="s">
        <v>521</v>
      </c>
      <c r="B35">
        <v>2022</v>
      </c>
      <c r="C35" t="s">
        <v>223</v>
      </c>
      <c r="E35" t="s">
        <v>524</v>
      </c>
      <c r="F35" t="s">
        <v>525</v>
      </c>
      <c r="G35" t="s">
        <v>479</v>
      </c>
      <c r="I35">
        <v>0</v>
      </c>
      <c r="J35">
        <v>1</v>
      </c>
      <c r="K35">
        <v>0</v>
      </c>
      <c r="L35">
        <v>6.46</v>
      </c>
      <c r="M35">
        <v>9.39</v>
      </c>
      <c r="N35">
        <v>8</v>
      </c>
      <c r="O35">
        <v>2</v>
      </c>
      <c r="Q35">
        <v>0</v>
      </c>
      <c r="S35">
        <v>2</v>
      </c>
      <c r="T35">
        <v>15.1</v>
      </c>
      <c r="U35">
        <v>17</v>
      </c>
      <c r="V35">
        <v>16</v>
      </c>
      <c r="W35">
        <v>11</v>
      </c>
      <c r="X35">
        <v>1</v>
      </c>
      <c r="Y35">
        <v>4</v>
      </c>
      <c r="AA35">
        <v>18</v>
      </c>
      <c r="AF35">
        <v>1.37</v>
      </c>
      <c r="AG35">
        <v>10</v>
      </c>
      <c r="AH35">
        <v>0.6</v>
      </c>
      <c r="AI35">
        <v>2.2999999999999998</v>
      </c>
      <c r="AJ35">
        <v>10.6</v>
      </c>
      <c r="AK35">
        <v>4.5</v>
      </c>
    </row>
    <row r="36" spans="1:37" x14ac:dyDescent="0.25">
      <c r="A36" t="s">
        <v>522</v>
      </c>
      <c r="B36">
        <v>2021</v>
      </c>
      <c r="C36">
        <v>20</v>
      </c>
      <c r="D36">
        <v>-1.3</v>
      </c>
      <c r="E36" t="s">
        <v>354</v>
      </c>
      <c r="F36" t="s">
        <v>353</v>
      </c>
      <c r="G36" t="s">
        <v>268</v>
      </c>
      <c r="I36">
        <v>1</v>
      </c>
      <c r="J36">
        <v>2</v>
      </c>
      <c r="K36">
        <v>0.33300000000000002</v>
      </c>
      <c r="L36">
        <v>8</v>
      </c>
      <c r="M36">
        <v>10</v>
      </c>
      <c r="N36">
        <v>13</v>
      </c>
      <c r="O36">
        <v>6</v>
      </c>
      <c r="R36">
        <v>0</v>
      </c>
      <c r="S36">
        <v>0</v>
      </c>
      <c r="T36">
        <v>27</v>
      </c>
      <c r="U36">
        <v>25</v>
      </c>
      <c r="V36">
        <v>30</v>
      </c>
      <c r="W36">
        <v>24</v>
      </c>
      <c r="X36">
        <v>4</v>
      </c>
      <c r="Y36">
        <v>22</v>
      </c>
      <c r="AA36">
        <v>13</v>
      </c>
      <c r="AB36">
        <v>6</v>
      </c>
      <c r="AC36">
        <v>3</v>
      </c>
      <c r="AD36">
        <v>2</v>
      </c>
      <c r="AE36">
        <v>135</v>
      </c>
      <c r="AF36">
        <v>1.7410000000000001</v>
      </c>
      <c r="AG36">
        <v>8.3000000000000007</v>
      </c>
      <c r="AH36">
        <v>1.3</v>
      </c>
      <c r="AI36">
        <v>7.3</v>
      </c>
      <c r="AJ36">
        <v>4.3</v>
      </c>
      <c r="AK36">
        <v>0.59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21F65-CB27-45BA-AC53-529D30547046}">
  <dimension ref="A1:AD24"/>
  <sheetViews>
    <sheetView topLeftCell="C1" workbookViewId="0">
      <selection sqref="A1:AD2"/>
    </sheetView>
  </sheetViews>
  <sheetFormatPr defaultRowHeight="15" x14ac:dyDescent="0.25"/>
  <cols>
    <col min="1" max="1" width="12.5703125" bestFit="1" customWidth="1"/>
    <col min="2" max="2" width="7.7109375" bestFit="1" customWidth="1"/>
    <col min="3" max="3" width="4.28515625" customWidth="1"/>
    <col min="4" max="10" width="4.28515625" bestFit="1" customWidth="1"/>
    <col min="11" max="15" width="5.28515625" bestFit="1" customWidth="1"/>
    <col min="16" max="18" width="6" bestFit="1" customWidth="1"/>
  </cols>
  <sheetData>
    <row r="1" spans="1:30" x14ac:dyDescent="0.25">
      <c r="A1" t="s">
        <v>194</v>
      </c>
      <c r="B1" t="s">
        <v>195</v>
      </c>
      <c r="C1" t="s">
        <v>211</v>
      </c>
      <c r="D1" t="s">
        <v>196</v>
      </c>
      <c r="E1" t="s">
        <v>197</v>
      </c>
      <c r="F1" t="s">
        <v>198</v>
      </c>
      <c r="G1" t="s">
        <v>199</v>
      </c>
      <c r="H1" t="s">
        <v>200</v>
      </c>
      <c r="I1" t="s">
        <v>201</v>
      </c>
      <c r="J1" t="s">
        <v>202</v>
      </c>
      <c r="K1" t="s">
        <v>203</v>
      </c>
      <c r="L1" t="s">
        <v>204</v>
      </c>
      <c r="M1" t="s">
        <v>205</v>
      </c>
      <c r="N1" t="s">
        <v>206</v>
      </c>
      <c r="O1" t="s">
        <v>207</v>
      </c>
      <c r="P1" t="s">
        <v>208</v>
      </c>
      <c r="Q1" t="s">
        <v>209</v>
      </c>
      <c r="R1" t="s">
        <v>210</v>
      </c>
      <c r="S1" t="s">
        <v>304</v>
      </c>
      <c r="T1" t="s">
        <v>305</v>
      </c>
      <c r="U1" t="s">
        <v>306</v>
      </c>
      <c r="V1" t="s">
        <v>307</v>
      </c>
      <c r="W1" t="s">
        <v>308</v>
      </c>
      <c r="X1" t="s">
        <v>309</v>
      </c>
      <c r="Y1" t="s">
        <v>310</v>
      </c>
      <c r="Z1" t="s">
        <v>311</v>
      </c>
      <c r="AA1" t="s">
        <v>312</v>
      </c>
      <c r="AB1" t="s">
        <v>313</v>
      </c>
      <c r="AC1" t="s">
        <v>314</v>
      </c>
      <c r="AD1" t="s">
        <v>315</v>
      </c>
    </row>
    <row r="2" spans="1:30" x14ac:dyDescent="0.25">
      <c r="A2" t="s">
        <v>114</v>
      </c>
      <c r="B2" t="s">
        <v>216</v>
      </c>
      <c r="D2">
        <v>49</v>
      </c>
      <c r="E2">
        <v>158</v>
      </c>
      <c r="F2">
        <v>23</v>
      </c>
      <c r="G2">
        <v>57</v>
      </c>
      <c r="H2">
        <v>8</v>
      </c>
      <c r="I2">
        <v>6</v>
      </c>
      <c r="J2">
        <v>15</v>
      </c>
      <c r="K2">
        <v>39</v>
      </c>
      <c r="L2">
        <v>25</v>
      </c>
      <c r="M2">
        <v>33</v>
      </c>
      <c r="N2">
        <v>1</v>
      </c>
      <c r="O2">
        <v>0</v>
      </c>
      <c r="P2">
        <v>0.36099999999999999</v>
      </c>
      <c r="Q2">
        <v>0.47699999999999998</v>
      </c>
      <c r="R2">
        <v>0.77200000000000002</v>
      </c>
    </row>
    <row r="3" spans="1:30" x14ac:dyDescent="0.25">
      <c r="A3" t="s">
        <v>247</v>
      </c>
      <c r="D3" t="s">
        <v>148</v>
      </c>
      <c r="E3" t="s">
        <v>175</v>
      </c>
      <c r="F3" t="s">
        <v>156</v>
      </c>
      <c r="G3" t="s">
        <v>155</v>
      </c>
      <c r="H3" t="s">
        <v>176</v>
      </c>
      <c r="I3" t="s">
        <v>177</v>
      </c>
      <c r="J3" t="s">
        <v>158</v>
      </c>
      <c r="K3" t="s">
        <v>178</v>
      </c>
      <c r="L3" t="s">
        <v>159</v>
      </c>
      <c r="M3" t="s">
        <v>192</v>
      </c>
      <c r="N3" t="s">
        <v>179</v>
      </c>
      <c r="O3" t="s">
        <v>180</v>
      </c>
      <c r="P3" t="s">
        <v>215</v>
      </c>
      <c r="Q3" t="s">
        <v>182</v>
      </c>
      <c r="R3" t="s">
        <v>183</v>
      </c>
    </row>
    <row r="4" spans="1:30" x14ac:dyDescent="0.25">
      <c r="A4" t="s">
        <v>100</v>
      </c>
      <c r="B4" t="s">
        <v>83</v>
      </c>
      <c r="C4" t="s">
        <v>246</v>
      </c>
      <c r="D4">
        <v>28</v>
      </c>
      <c r="E4">
        <v>3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0.33300000000000002</v>
      </c>
      <c r="Q4">
        <v>0.5</v>
      </c>
      <c r="R4">
        <v>0.33300000000000002</v>
      </c>
    </row>
    <row r="5" spans="1:30" x14ac:dyDescent="0.25">
      <c r="A5" t="s">
        <v>120</v>
      </c>
      <c r="B5" t="s">
        <v>82</v>
      </c>
      <c r="C5" t="s">
        <v>250</v>
      </c>
      <c r="D5">
        <v>58</v>
      </c>
      <c r="E5">
        <v>202</v>
      </c>
      <c r="F5">
        <v>54</v>
      </c>
      <c r="G5">
        <v>80</v>
      </c>
      <c r="H5">
        <v>14</v>
      </c>
      <c r="I5">
        <v>0</v>
      </c>
      <c r="J5">
        <v>18</v>
      </c>
      <c r="K5">
        <v>66</v>
      </c>
      <c r="L5">
        <v>34</v>
      </c>
      <c r="M5">
        <v>42</v>
      </c>
      <c r="N5">
        <v>2</v>
      </c>
      <c r="O5">
        <v>0</v>
      </c>
      <c r="P5">
        <v>0.39600000000000002</v>
      </c>
      <c r="Q5">
        <v>0.48</v>
      </c>
      <c r="R5">
        <v>0.73299999999999998</v>
      </c>
    </row>
    <row r="6" spans="1:30" x14ac:dyDescent="0.25">
      <c r="A6" t="s">
        <v>106</v>
      </c>
      <c r="B6" t="s">
        <v>82</v>
      </c>
      <c r="C6" t="s">
        <v>251</v>
      </c>
      <c r="D6">
        <v>58</v>
      </c>
      <c r="E6">
        <v>173</v>
      </c>
      <c r="F6">
        <v>59</v>
      </c>
      <c r="G6">
        <v>59</v>
      </c>
      <c r="H6">
        <v>10</v>
      </c>
      <c r="I6">
        <v>1</v>
      </c>
      <c r="J6">
        <v>19</v>
      </c>
      <c r="K6">
        <v>58</v>
      </c>
      <c r="L6">
        <v>35</v>
      </c>
      <c r="M6">
        <v>48</v>
      </c>
      <c r="N6">
        <v>3</v>
      </c>
      <c r="O6">
        <v>1</v>
      </c>
      <c r="P6">
        <v>0.34100000000000003</v>
      </c>
      <c r="Q6">
        <v>0.50600000000000001</v>
      </c>
      <c r="R6">
        <v>0.74</v>
      </c>
    </row>
    <row r="7" spans="1:30" x14ac:dyDescent="0.25">
      <c r="A7" t="s">
        <v>333</v>
      </c>
      <c r="B7" t="s">
        <v>83</v>
      </c>
      <c r="C7" t="s">
        <v>250</v>
      </c>
      <c r="D7">
        <v>51</v>
      </c>
      <c r="E7">
        <v>196</v>
      </c>
      <c r="F7">
        <v>53</v>
      </c>
      <c r="G7">
        <v>61</v>
      </c>
      <c r="H7">
        <v>10</v>
      </c>
      <c r="I7">
        <v>1</v>
      </c>
      <c r="J7">
        <v>7</v>
      </c>
      <c r="K7">
        <v>35</v>
      </c>
      <c r="L7">
        <v>12</v>
      </c>
      <c r="M7">
        <v>45</v>
      </c>
      <c r="N7">
        <v>26</v>
      </c>
      <c r="O7">
        <v>1</v>
      </c>
      <c r="P7">
        <v>0.311</v>
      </c>
      <c r="Q7">
        <v>0.378</v>
      </c>
      <c r="R7">
        <v>0.48</v>
      </c>
    </row>
    <row r="8" spans="1:30" x14ac:dyDescent="0.25">
      <c r="A8" t="s">
        <v>115</v>
      </c>
      <c r="B8" t="s">
        <v>82</v>
      </c>
      <c r="C8" t="s">
        <v>254</v>
      </c>
      <c r="D8">
        <v>44</v>
      </c>
      <c r="E8">
        <v>141</v>
      </c>
      <c r="F8">
        <v>8</v>
      </c>
      <c r="G8">
        <v>38</v>
      </c>
      <c r="H8">
        <v>10</v>
      </c>
      <c r="I8">
        <v>0</v>
      </c>
      <c r="J8">
        <v>3</v>
      </c>
      <c r="K8">
        <v>32</v>
      </c>
      <c r="L8">
        <v>32</v>
      </c>
      <c r="M8">
        <v>32</v>
      </c>
      <c r="N8">
        <v>0</v>
      </c>
      <c r="O8">
        <v>0</v>
      </c>
      <c r="P8">
        <v>0.27</v>
      </c>
      <c r="Q8">
        <v>0.40899999999999997</v>
      </c>
      <c r="R8">
        <v>0.40400000000000003</v>
      </c>
    </row>
    <row r="9" spans="1:30" x14ac:dyDescent="0.25">
      <c r="A9" t="s">
        <v>116</v>
      </c>
      <c r="B9" t="s">
        <v>84</v>
      </c>
      <c r="C9" t="s">
        <v>296</v>
      </c>
      <c r="D9">
        <v>51</v>
      </c>
      <c r="E9">
        <v>194</v>
      </c>
      <c r="F9">
        <v>38</v>
      </c>
      <c r="G9">
        <v>67</v>
      </c>
      <c r="H9">
        <v>12</v>
      </c>
      <c r="I9">
        <v>2</v>
      </c>
      <c r="J9">
        <v>15</v>
      </c>
      <c r="K9">
        <v>53</v>
      </c>
      <c r="L9">
        <v>19</v>
      </c>
      <c r="M9">
        <v>27</v>
      </c>
      <c r="N9">
        <v>0</v>
      </c>
      <c r="O9">
        <v>1</v>
      </c>
      <c r="P9">
        <v>0.34499999999999997</v>
      </c>
      <c r="Q9">
        <v>0.41399999999999998</v>
      </c>
      <c r="R9">
        <v>0.66</v>
      </c>
    </row>
    <row r="10" spans="1:30" x14ac:dyDescent="0.25">
      <c r="A10" t="s">
        <v>297</v>
      </c>
      <c r="B10" t="s">
        <v>83</v>
      </c>
      <c r="C10" t="s">
        <v>298</v>
      </c>
      <c r="D10">
        <v>34</v>
      </c>
      <c r="E10">
        <v>98</v>
      </c>
      <c r="F10">
        <v>22</v>
      </c>
      <c r="G10">
        <v>28</v>
      </c>
      <c r="H10">
        <v>1</v>
      </c>
      <c r="I10">
        <v>1</v>
      </c>
      <c r="J10">
        <v>3</v>
      </c>
      <c r="K10">
        <v>25</v>
      </c>
      <c r="L10">
        <v>8</v>
      </c>
      <c r="M10">
        <v>18</v>
      </c>
      <c r="N10">
        <v>9</v>
      </c>
      <c r="O10">
        <v>0</v>
      </c>
      <c r="P10">
        <v>0.28599999999999998</v>
      </c>
      <c r="Q10">
        <v>0.35399999999999998</v>
      </c>
      <c r="R10">
        <v>0.40799999999999997</v>
      </c>
    </row>
    <row r="11" spans="1:30" x14ac:dyDescent="0.25">
      <c r="A11" t="s">
        <v>118</v>
      </c>
      <c r="B11">
        <v>2022</v>
      </c>
      <c r="C11" t="s">
        <v>223</v>
      </c>
      <c r="E11" t="s">
        <v>78</v>
      </c>
      <c r="F11" t="s">
        <v>303</v>
      </c>
      <c r="G11" t="s">
        <v>268</v>
      </c>
      <c r="I11">
        <v>43</v>
      </c>
      <c r="J11">
        <v>184</v>
      </c>
      <c r="K11">
        <v>150</v>
      </c>
      <c r="L11">
        <v>26</v>
      </c>
      <c r="M11">
        <v>34</v>
      </c>
      <c r="N11">
        <v>9</v>
      </c>
      <c r="O11">
        <v>1</v>
      </c>
      <c r="P11">
        <v>1</v>
      </c>
      <c r="Q11">
        <v>21</v>
      </c>
      <c r="R11">
        <v>6</v>
      </c>
      <c r="S11">
        <v>2</v>
      </c>
      <c r="T11">
        <v>26</v>
      </c>
      <c r="U11">
        <v>35</v>
      </c>
      <c r="V11">
        <v>0.22700000000000001</v>
      </c>
      <c r="W11">
        <v>0.34300000000000003</v>
      </c>
      <c r="X11">
        <v>0.32</v>
      </c>
      <c r="Y11">
        <v>0.66300000000000003</v>
      </c>
      <c r="Z11">
        <v>48</v>
      </c>
      <c r="AB11">
        <v>2</v>
      </c>
      <c r="AC11">
        <v>3</v>
      </c>
      <c r="AD11">
        <v>3</v>
      </c>
    </row>
    <row r="12" spans="1:30" x14ac:dyDescent="0.25">
      <c r="A12" t="s">
        <v>325</v>
      </c>
      <c r="B12" t="s">
        <v>83</v>
      </c>
      <c r="C12" t="s">
        <v>250</v>
      </c>
      <c r="D12">
        <v>48</v>
      </c>
      <c r="E12">
        <v>174</v>
      </c>
      <c r="F12">
        <v>51</v>
      </c>
      <c r="G12">
        <v>65</v>
      </c>
      <c r="H12">
        <v>16</v>
      </c>
      <c r="I12">
        <v>4</v>
      </c>
      <c r="J12">
        <v>15</v>
      </c>
      <c r="K12">
        <v>44</v>
      </c>
      <c r="L12">
        <v>23</v>
      </c>
      <c r="M12">
        <v>26</v>
      </c>
      <c r="N12">
        <v>4</v>
      </c>
      <c r="O12">
        <v>2</v>
      </c>
      <c r="P12">
        <v>0.374</v>
      </c>
      <c r="Q12">
        <v>0.45300000000000001</v>
      </c>
      <c r="R12">
        <v>0.77</v>
      </c>
    </row>
    <row r="13" spans="1:30" x14ac:dyDescent="0.25">
      <c r="A13" t="s">
        <v>124</v>
      </c>
      <c r="B13" t="s">
        <v>83</v>
      </c>
      <c r="C13" t="s">
        <v>250</v>
      </c>
      <c r="D13">
        <v>45</v>
      </c>
      <c r="E13">
        <v>148</v>
      </c>
      <c r="F13">
        <v>45</v>
      </c>
      <c r="G13">
        <v>51</v>
      </c>
      <c r="H13">
        <v>13</v>
      </c>
      <c r="I13">
        <v>2</v>
      </c>
      <c r="J13">
        <v>10</v>
      </c>
      <c r="K13">
        <v>43</v>
      </c>
      <c r="L13">
        <v>30</v>
      </c>
      <c r="M13">
        <v>30</v>
      </c>
      <c r="N13">
        <v>6</v>
      </c>
      <c r="O13">
        <v>3</v>
      </c>
      <c r="P13">
        <v>0.34499999999999997</v>
      </c>
      <c r="Q13">
        <v>0.49</v>
      </c>
      <c r="R13">
        <v>0.66200000000000003</v>
      </c>
    </row>
    <row r="14" spans="1:30" x14ac:dyDescent="0.25">
      <c r="A14" t="s">
        <v>348</v>
      </c>
      <c r="C14" t="s">
        <v>216</v>
      </c>
      <c r="D14">
        <v>19</v>
      </c>
      <c r="E14">
        <v>16</v>
      </c>
      <c r="F14">
        <v>1</v>
      </c>
      <c r="G14">
        <v>2</v>
      </c>
      <c r="H14">
        <v>1</v>
      </c>
      <c r="I14">
        <v>0</v>
      </c>
      <c r="J14">
        <v>0</v>
      </c>
      <c r="K14">
        <v>1</v>
      </c>
      <c r="L14">
        <v>2</v>
      </c>
      <c r="M14">
        <v>9</v>
      </c>
      <c r="N14">
        <v>0</v>
      </c>
      <c r="O14">
        <v>0</v>
      </c>
      <c r="P14">
        <v>0.125</v>
      </c>
      <c r="Q14">
        <v>0.222</v>
      </c>
      <c r="R14">
        <v>0.188</v>
      </c>
    </row>
    <row r="15" spans="1:30" x14ac:dyDescent="0.25">
      <c r="A15" t="s">
        <v>125</v>
      </c>
      <c r="C15" t="s">
        <v>216</v>
      </c>
      <c r="D15">
        <v>51</v>
      </c>
      <c r="E15">
        <v>170</v>
      </c>
      <c r="F15">
        <v>36</v>
      </c>
      <c r="G15">
        <v>68</v>
      </c>
      <c r="H15">
        <v>8</v>
      </c>
      <c r="I15">
        <v>2</v>
      </c>
      <c r="J15">
        <v>1</v>
      </c>
      <c r="K15">
        <v>46</v>
      </c>
      <c r="L15">
        <v>23</v>
      </c>
      <c r="M15">
        <v>23</v>
      </c>
      <c r="N15">
        <v>17</v>
      </c>
      <c r="O15">
        <v>4</v>
      </c>
      <c r="P15">
        <v>0.4</v>
      </c>
      <c r="Q15">
        <v>0.49</v>
      </c>
      <c r="R15">
        <v>0.48799999999999999</v>
      </c>
    </row>
    <row r="16" spans="1:30" x14ac:dyDescent="0.25">
      <c r="A16" t="s">
        <v>121</v>
      </c>
      <c r="B16">
        <v>2022</v>
      </c>
      <c r="C16" t="s">
        <v>223</v>
      </c>
      <c r="E16" t="s">
        <v>81</v>
      </c>
      <c r="F16" t="s">
        <v>353</v>
      </c>
      <c r="G16" t="s">
        <v>268</v>
      </c>
      <c r="I16">
        <v>44</v>
      </c>
      <c r="J16">
        <v>152</v>
      </c>
      <c r="K16">
        <v>124</v>
      </c>
      <c r="L16">
        <v>18</v>
      </c>
      <c r="M16">
        <v>26</v>
      </c>
      <c r="N16">
        <v>6</v>
      </c>
      <c r="O16">
        <v>2</v>
      </c>
      <c r="P16">
        <v>1</v>
      </c>
      <c r="Q16">
        <v>21</v>
      </c>
      <c r="R16">
        <v>6</v>
      </c>
      <c r="S16">
        <v>2</v>
      </c>
      <c r="T16">
        <v>13</v>
      </c>
      <c r="U16">
        <v>27</v>
      </c>
      <c r="V16">
        <v>0.21</v>
      </c>
      <c r="W16">
        <v>0.32200000000000001</v>
      </c>
      <c r="X16">
        <v>0.315</v>
      </c>
      <c r="Y16">
        <v>0.63600000000000001</v>
      </c>
      <c r="Z16">
        <v>39</v>
      </c>
      <c r="AB16">
        <v>8</v>
      </c>
      <c r="AC16">
        <v>6</v>
      </c>
      <c r="AD16">
        <v>1</v>
      </c>
    </row>
    <row r="17" spans="1:30" x14ac:dyDescent="0.25">
      <c r="A17" t="s">
        <v>122</v>
      </c>
      <c r="B17">
        <v>2022</v>
      </c>
      <c r="C17">
        <v>21</v>
      </c>
      <c r="D17">
        <v>-0.6</v>
      </c>
      <c r="E17" t="s">
        <v>354</v>
      </c>
      <c r="F17" t="s">
        <v>353</v>
      </c>
      <c r="G17" t="s">
        <v>268</v>
      </c>
      <c r="I17">
        <v>46</v>
      </c>
      <c r="J17">
        <v>180</v>
      </c>
      <c r="K17">
        <v>163</v>
      </c>
      <c r="L17">
        <v>21</v>
      </c>
      <c r="M17">
        <v>38</v>
      </c>
      <c r="N17">
        <v>3</v>
      </c>
      <c r="O17">
        <v>0</v>
      </c>
      <c r="P17">
        <v>3</v>
      </c>
      <c r="Q17">
        <v>14</v>
      </c>
      <c r="R17">
        <v>2</v>
      </c>
      <c r="S17">
        <v>0</v>
      </c>
      <c r="T17">
        <v>12</v>
      </c>
      <c r="U17">
        <v>34</v>
      </c>
      <c r="V17">
        <v>0.23300000000000001</v>
      </c>
      <c r="W17">
        <v>0.28999999999999998</v>
      </c>
      <c r="X17">
        <v>0.307</v>
      </c>
      <c r="Y17">
        <v>0.59699999999999998</v>
      </c>
      <c r="Z17">
        <v>50</v>
      </c>
      <c r="AB17">
        <v>1</v>
      </c>
      <c r="AC17">
        <v>4</v>
      </c>
      <c r="AD17">
        <v>0</v>
      </c>
    </row>
    <row r="18" spans="1:30" x14ac:dyDescent="0.25">
      <c r="A18" t="s">
        <v>123</v>
      </c>
      <c r="B18">
        <v>2021</v>
      </c>
      <c r="C18">
        <v>19</v>
      </c>
      <c r="D18">
        <v>-2.4</v>
      </c>
      <c r="E18" t="s">
        <v>355</v>
      </c>
      <c r="F18" t="s">
        <v>356</v>
      </c>
      <c r="G18" t="s">
        <v>268</v>
      </c>
      <c r="I18">
        <v>19</v>
      </c>
      <c r="J18">
        <v>63</v>
      </c>
      <c r="K18">
        <v>50</v>
      </c>
      <c r="L18">
        <v>8</v>
      </c>
      <c r="M18">
        <v>12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8</v>
      </c>
      <c r="U18">
        <v>10</v>
      </c>
      <c r="V18">
        <v>0.24</v>
      </c>
      <c r="W18">
        <v>0.39700000000000002</v>
      </c>
      <c r="X18">
        <v>0.28000000000000003</v>
      </c>
      <c r="Y18">
        <v>0.67700000000000005</v>
      </c>
      <c r="Z18">
        <v>14</v>
      </c>
      <c r="AB18">
        <v>5</v>
      </c>
      <c r="AC18">
        <v>0</v>
      </c>
      <c r="AD18">
        <v>0</v>
      </c>
    </row>
    <row r="19" spans="1:30" x14ac:dyDescent="0.25">
      <c r="A19" t="s">
        <v>366</v>
      </c>
      <c r="C19" t="s">
        <v>216</v>
      </c>
      <c r="D19">
        <v>57</v>
      </c>
      <c r="E19">
        <v>171</v>
      </c>
      <c r="F19">
        <v>67</v>
      </c>
      <c r="G19">
        <v>76</v>
      </c>
      <c r="H19">
        <v>11</v>
      </c>
      <c r="I19">
        <v>4</v>
      </c>
      <c r="J19">
        <v>24</v>
      </c>
      <c r="K19">
        <v>86</v>
      </c>
      <c r="L19">
        <v>46</v>
      </c>
      <c r="M19">
        <v>36</v>
      </c>
      <c r="N19">
        <v>10</v>
      </c>
      <c r="O19">
        <v>3</v>
      </c>
      <c r="P19">
        <v>0.44400000000000001</v>
      </c>
      <c r="Q19">
        <v>0.56699999999999995</v>
      </c>
      <c r="R19">
        <v>0.97699999999999998</v>
      </c>
    </row>
    <row r="20" spans="1:30" x14ac:dyDescent="0.25">
      <c r="A20" t="s">
        <v>96</v>
      </c>
      <c r="B20">
        <v>2022</v>
      </c>
      <c r="C20">
        <v>21</v>
      </c>
      <c r="D20">
        <v>-0.8</v>
      </c>
      <c r="E20" t="s">
        <v>403</v>
      </c>
      <c r="F20" t="s">
        <v>404</v>
      </c>
      <c r="G20" t="s">
        <v>268</v>
      </c>
      <c r="I20">
        <v>49</v>
      </c>
      <c r="J20">
        <v>188</v>
      </c>
      <c r="K20">
        <v>154</v>
      </c>
      <c r="L20">
        <v>30</v>
      </c>
      <c r="M20">
        <v>53</v>
      </c>
      <c r="N20">
        <v>12</v>
      </c>
      <c r="O20">
        <v>3</v>
      </c>
      <c r="P20">
        <v>7</v>
      </c>
      <c r="Q20">
        <v>27</v>
      </c>
      <c r="R20">
        <v>0</v>
      </c>
      <c r="S20">
        <v>2</v>
      </c>
      <c r="T20">
        <v>26</v>
      </c>
      <c r="U20">
        <v>33</v>
      </c>
      <c r="V20">
        <v>0.34399999999999997</v>
      </c>
      <c r="W20">
        <v>0.44600000000000001</v>
      </c>
      <c r="X20">
        <v>0.59699999999999998</v>
      </c>
      <c r="Y20">
        <v>1.044</v>
      </c>
      <c r="Z20">
        <v>92</v>
      </c>
      <c r="AB20">
        <v>4</v>
      </c>
      <c r="AC20">
        <v>2</v>
      </c>
      <c r="AD20">
        <v>2</v>
      </c>
    </row>
    <row r="21" spans="1:30" x14ac:dyDescent="0.25">
      <c r="A21" t="s">
        <v>418</v>
      </c>
      <c r="B21" t="s">
        <v>84</v>
      </c>
      <c r="C21" t="s">
        <v>249</v>
      </c>
      <c r="D21">
        <v>35</v>
      </c>
      <c r="E21">
        <v>15</v>
      </c>
      <c r="F21">
        <v>7</v>
      </c>
      <c r="G21">
        <v>5</v>
      </c>
      <c r="H21">
        <v>0</v>
      </c>
      <c r="I21">
        <v>0</v>
      </c>
      <c r="J21">
        <v>1</v>
      </c>
      <c r="K21">
        <v>7</v>
      </c>
      <c r="L21">
        <v>1</v>
      </c>
      <c r="M21">
        <v>8</v>
      </c>
      <c r="N21">
        <v>2</v>
      </c>
      <c r="O21">
        <v>1</v>
      </c>
      <c r="P21">
        <v>0.33300000000000002</v>
      </c>
      <c r="Q21">
        <v>0.41199999999999998</v>
      </c>
      <c r="R21">
        <v>0.53300000000000003</v>
      </c>
    </row>
    <row r="22" spans="1:30" x14ac:dyDescent="0.25">
      <c r="A22" t="s">
        <v>476</v>
      </c>
      <c r="B22">
        <v>2022</v>
      </c>
      <c r="C22" t="s">
        <v>223</v>
      </c>
      <c r="E22" t="s">
        <v>477</v>
      </c>
      <c r="F22" t="s">
        <v>478</v>
      </c>
      <c r="G22" t="s">
        <v>479</v>
      </c>
      <c r="I22">
        <v>38</v>
      </c>
      <c r="J22">
        <v>164</v>
      </c>
      <c r="K22">
        <v>129</v>
      </c>
      <c r="L22">
        <v>50</v>
      </c>
      <c r="M22">
        <v>54</v>
      </c>
      <c r="N22">
        <v>11</v>
      </c>
      <c r="O22">
        <v>2</v>
      </c>
      <c r="P22">
        <v>13</v>
      </c>
      <c r="Q22">
        <v>55</v>
      </c>
      <c r="R22">
        <v>5</v>
      </c>
      <c r="S22">
        <v>3</v>
      </c>
      <c r="T22">
        <v>28</v>
      </c>
      <c r="U22">
        <v>23</v>
      </c>
      <c r="V22">
        <v>0.41899999999999998</v>
      </c>
      <c r="W22">
        <v>0.53100000000000003</v>
      </c>
      <c r="X22">
        <v>0.83699999999999997</v>
      </c>
      <c r="Y22">
        <v>1.3680000000000001</v>
      </c>
      <c r="Z22">
        <v>108</v>
      </c>
      <c r="AB22">
        <v>5</v>
      </c>
      <c r="AC22">
        <v>0</v>
      </c>
      <c r="AD22">
        <v>2</v>
      </c>
    </row>
    <row r="23" spans="1:30" x14ac:dyDescent="0.25">
      <c r="A23" t="s">
        <v>497</v>
      </c>
      <c r="B23">
        <v>2022</v>
      </c>
      <c r="C23" t="s">
        <v>223</v>
      </c>
      <c r="E23" t="s">
        <v>498</v>
      </c>
      <c r="F23" t="s">
        <v>499</v>
      </c>
      <c r="G23" t="s">
        <v>479</v>
      </c>
      <c r="I23">
        <v>57</v>
      </c>
      <c r="J23">
        <v>249</v>
      </c>
      <c r="K23">
        <v>202</v>
      </c>
      <c r="L23">
        <v>69</v>
      </c>
      <c r="M23">
        <v>70</v>
      </c>
      <c r="N23">
        <v>11</v>
      </c>
      <c r="O23">
        <v>3</v>
      </c>
      <c r="P23">
        <v>2</v>
      </c>
      <c r="Q23">
        <v>27</v>
      </c>
      <c r="R23">
        <v>57</v>
      </c>
      <c r="S23">
        <v>2</v>
      </c>
      <c r="T23">
        <v>36</v>
      </c>
      <c r="U23">
        <v>35</v>
      </c>
      <c r="V23">
        <v>0.34699999999999998</v>
      </c>
      <c r="W23">
        <v>0.45500000000000002</v>
      </c>
      <c r="X23">
        <v>0.46</v>
      </c>
      <c r="Y23">
        <v>0.91500000000000004</v>
      </c>
      <c r="Z23">
        <v>93</v>
      </c>
      <c r="AB23">
        <v>5</v>
      </c>
      <c r="AC23">
        <v>5</v>
      </c>
      <c r="AD23">
        <v>1</v>
      </c>
    </row>
    <row r="24" spans="1:30" x14ac:dyDescent="0.25">
      <c r="A24" t="s">
        <v>500</v>
      </c>
      <c r="B24">
        <v>2021</v>
      </c>
      <c r="C24">
        <v>20</v>
      </c>
      <c r="D24">
        <v>-1.3</v>
      </c>
      <c r="E24" t="s">
        <v>354</v>
      </c>
      <c r="F24" t="s">
        <v>353</v>
      </c>
      <c r="G24" t="s">
        <v>268</v>
      </c>
      <c r="I24">
        <v>28</v>
      </c>
      <c r="J24">
        <v>96</v>
      </c>
      <c r="K24">
        <v>81</v>
      </c>
      <c r="L24">
        <v>12</v>
      </c>
      <c r="M24">
        <v>22</v>
      </c>
      <c r="N24">
        <v>5</v>
      </c>
      <c r="O24">
        <v>0</v>
      </c>
      <c r="P24">
        <v>0</v>
      </c>
      <c r="Q24">
        <v>12</v>
      </c>
      <c r="R24">
        <v>5</v>
      </c>
      <c r="S24">
        <v>1</v>
      </c>
      <c r="T24">
        <v>7</v>
      </c>
      <c r="U24">
        <v>25</v>
      </c>
      <c r="V24">
        <v>0.27200000000000002</v>
      </c>
      <c r="W24">
        <v>0.36799999999999999</v>
      </c>
      <c r="X24">
        <v>0.33300000000000002</v>
      </c>
      <c r="Y24">
        <v>0.70199999999999996</v>
      </c>
      <c r="Z24">
        <v>27</v>
      </c>
      <c r="AB24">
        <v>6</v>
      </c>
      <c r="AC24">
        <v>1</v>
      </c>
      <c r="AD24">
        <v>1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1B2C8-06B8-441D-B206-45E95161EA76}">
  <dimension ref="A1:AK18"/>
  <sheetViews>
    <sheetView workbookViewId="0">
      <selection activeCell="B18" sqref="B18:AK18"/>
    </sheetView>
  </sheetViews>
  <sheetFormatPr defaultRowHeight="15" x14ac:dyDescent="0.25"/>
  <cols>
    <col min="1" max="1" width="11" bestFit="1" customWidth="1"/>
    <col min="2" max="2" width="7.28515625" bestFit="1" customWidth="1"/>
    <col min="3" max="3" width="13" customWidth="1"/>
    <col min="4" max="4" width="13.140625" customWidth="1"/>
    <col min="5" max="5" width="11.85546875" bestFit="1" customWidth="1"/>
    <col min="6" max="6" width="6.5703125" bestFit="1" customWidth="1"/>
    <col min="7" max="7" width="6.28515625" bestFit="1" customWidth="1"/>
    <col min="8" max="8" width="2.140625" customWidth="1"/>
    <col min="9" max="9" width="5.28515625" bestFit="1" customWidth="1"/>
    <col min="10" max="10" width="4.140625" bestFit="1" customWidth="1"/>
    <col min="11" max="11" width="5.28515625" customWidth="1"/>
    <col min="12" max="13" width="6.7109375" bestFit="1" customWidth="1"/>
    <col min="14" max="14" width="4.7109375" bestFit="1" customWidth="1"/>
    <col min="15" max="15" width="5.7109375" bestFit="1" customWidth="1"/>
    <col min="16" max="16" width="2.28515625" customWidth="1"/>
    <col min="17" max="17" width="2.42578125" customWidth="1"/>
    <col min="18" max="18" width="7" bestFit="1" customWidth="1"/>
    <col min="19" max="19" width="5.5703125" bestFit="1" customWidth="1"/>
    <col min="20" max="20" width="5" bestFit="1" customWidth="1"/>
    <col min="21" max="21" width="4.5703125" bestFit="1" customWidth="1"/>
    <col min="22" max="22" width="4.42578125" bestFit="1" customWidth="1"/>
    <col min="23" max="23" width="5.42578125" bestFit="1" customWidth="1"/>
    <col min="24" max="24" width="5.7109375" bestFit="1" customWidth="1"/>
    <col min="25" max="25" width="5.5703125" bestFit="1" customWidth="1"/>
    <col min="26" max="26" width="6.140625" bestFit="1" customWidth="1"/>
    <col min="27" max="27" width="5.7109375" bestFit="1" customWidth="1"/>
    <col min="28" max="28" width="6.85546875" bestFit="1" customWidth="1"/>
    <col min="29" max="29" width="5.5703125" bestFit="1" customWidth="1"/>
    <col min="30" max="30" width="6.42578125" bestFit="1" customWidth="1"/>
    <col min="31" max="31" width="5.42578125" bestFit="1" customWidth="1"/>
    <col min="32" max="32" width="8.28515625" bestFit="1" customWidth="1"/>
    <col min="33" max="33" width="5.5703125" bestFit="1" customWidth="1"/>
    <col min="34" max="34" width="6.7109375" bestFit="1" customWidth="1"/>
    <col min="35" max="35" width="6.5703125" bestFit="1" customWidth="1"/>
    <col min="36" max="36" width="6.7109375" bestFit="1" customWidth="1"/>
    <col min="37" max="37" width="8.5703125" bestFit="1" customWidth="1"/>
  </cols>
  <sheetData>
    <row r="1" spans="1:37" s="8" customFormat="1" x14ac:dyDescent="0.25">
      <c r="A1" s="8" t="s">
        <v>213</v>
      </c>
      <c r="B1" s="8" t="s">
        <v>136</v>
      </c>
      <c r="C1" s="8" t="s">
        <v>137</v>
      </c>
      <c r="D1" s="8" t="s">
        <v>138</v>
      </c>
      <c r="E1" s="8" t="s">
        <v>139</v>
      </c>
      <c r="F1" s="8" t="s">
        <v>140</v>
      </c>
      <c r="G1" s="8" t="s">
        <v>141</v>
      </c>
      <c r="H1" s="8" t="s">
        <v>142</v>
      </c>
      <c r="I1" s="8" t="s">
        <v>143</v>
      </c>
      <c r="J1" s="8" t="s">
        <v>144</v>
      </c>
      <c r="K1" s="8" t="s">
        <v>145</v>
      </c>
      <c r="L1" s="8" t="s">
        <v>146</v>
      </c>
      <c r="M1" s="8" t="s">
        <v>147</v>
      </c>
      <c r="N1" s="8" t="s">
        <v>148</v>
      </c>
      <c r="O1" s="8" t="s">
        <v>149</v>
      </c>
      <c r="P1" s="8" t="s">
        <v>150</v>
      </c>
      <c r="Q1" s="8" t="s">
        <v>151</v>
      </c>
      <c r="R1" s="8" t="s">
        <v>152</v>
      </c>
      <c r="S1" s="8" t="s">
        <v>153</v>
      </c>
      <c r="T1" s="8" t="s">
        <v>154</v>
      </c>
      <c r="U1" s="8" t="s">
        <v>155</v>
      </c>
      <c r="V1" s="8" t="s">
        <v>156</v>
      </c>
      <c r="W1" s="8" t="s">
        <v>157</v>
      </c>
      <c r="X1" s="8" t="s">
        <v>158</v>
      </c>
      <c r="Y1" s="8" t="s">
        <v>159</v>
      </c>
      <c r="Z1" s="8" t="s">
        <v>160</v>
      </c>
      <c r="AA1" s="8" t="s">
        <v>161</v>
      </c>
      <c r="AB1" s="8" t="s">
        <v>162</v>
      </c>
      <c r="AC1" s="8" t="s">
        <v>163</v>
      </c>
      <c r="AD1" s="8" t="s">
        <v>164</v>
      </c>
      <c r="AE1" s="8" t="s">
        <v>165</v>
      </c>
      <c r="AF1" s="8" t="s">
        <v>166</v>
      </c>
      <c r="AG1" s="8" t="s">
        <v>167</v>
      </c>
      <c r="AH1" s="8" t="s">
        <v>168</v>
      </c>
      <c r="AI1" s="8" t="s">
        <v>169</v>
      </c>
      <c r="AJ1" s="8" t="s">
        <v>170</v>
      </c>
      <c r="AK1" s="8" t="s">
        <v>171</v>
      </c>
    </row>
    <row r="2" spans="1:37" x14ac:dyDescent="0.25">
      <c r="A2" t="s">
        <v>88</v>
      </c>
      <c r="B2">
        <v>2021</v>
      </c>
      <c r="C2">
        <v>20</v>
      </c>
      <c r="D2">
        <v>-0.6</v>
      </c>
      <c r="E2" t="s">
        <v>345</v>
      </c>
      <c r="F2" t="s">
        <v>172</v>
      </c>
      <c r="G2" t="s">
        <v>173</v>
      </c>
      <c r="I2">
        <v>2</v>
      </c>
      <c r="J2">
        <v>0</v>
      </c>
      <c r="K2">
        <v>1</v>
      </c>
      <c r="L2">
        <v>2.6</v>
      </c>
      <c r="M2">
        <v>2.6</v>
      </c>
      <c r="N2">
        <v>4</v>
      </c>
      <c r="O2">
        <v>1</v>
      </c>
      <c r="Q2">
        <v>0</v>
      </c>
      <c r="R2">
        <v>0</v>
      </c>
      <c r="S2">
        <v>0</v>
      </c>
      <c r="T2">
        <v>17.100000000000001</v>
      </c>
      <c r="U2">
        <v>17</v>
      </c>
      <c r="V2">
        <v>5</v>
      </c>
      <c r="W2">
        <v>5</v>
      </c>
      <c r="X2">
        <v>2</v>
      </c>
      <c r="Y2">
        <v>3</v>
      </c>
      <c r="Z2">
        <v>0</v>
      </c>
      <c r="AA2">
        <v>12</v>
      </c>
      <c r="AB2">
        <v>2</v>
      </c>
      <c r="AC2">
        <v>0</v>
      </c>
      <c r="AD2">
        <v>0</v>
      </c>
      <c r="AE2">
        <v>73</v>
      </c>
      <c r="AF2">
        <v>1.1539999999999999</v>
      </c>
      <c r="AG2">
        <v>8.8000000000000007</v>
      </c>
      <c r="AH2">
        <v>1</v>
      </c>
      <c r="AI2">
        <v>1.6</v>
      </c>
      <c r="AJ2">
        <v>6.2</v>
      </c>
      <c r="AK2">
        <v>4</v>
      </c>
    </row>
    <row r="3" spans="1:37" x14ac:dyDescent="0.25">
      <c r="B3" t="s">
        <v>136</v>
      </c>
      <c r="C3" t="s">
        <v>137</v>
      </c>
      <c r="D3" t="s">
        <v>138</v>
      </c>
      <c r="E3" t="s">
        <v>139</v>
      </c>
      <c r="F3" t="s">
        <v>140</v>
      </c>
      <c r="G3" t="s">
        <v>141</v>
      </c>
      <c r="H3" t="s">
        <v>142</v>
      </c>
      <c r="I3" t="s">
        <v>143</v>
      </c>
      <c r="J3" t="s">
        <v>144</v>
      </c>
      <c r="K3" t="s">
        <v>145</v>
      </c>
      <c r="L3" t="s">
        <v>146</v>
      </c>
      <c r="M3" t="s">
        <v>147</v>
      </c>
      <c r="N3" t="s">
        <v>148</v>
      </c>
      <c r="O3" t="s">
        <v>149</v>
      </c>
      <c r="P3" t="s">
        <v>150</v>
      </c>
      <c r="Q3" t="s">
        <v>151</v>
      </c>
      <c r="R3" t="s">
        <v>152</v>
      </c>
      <c r="S3" t="s">
        <v>153</v>
      </c>
      <c r="T3" t="s">
        <v>154</v>
      </c>
      <c r="U3" t="s">
        <v>155</v>
      </c>
      <c r="V3" t="s">
        <v>156</v>
      </c>
      <c r="W3" t="s">
        <v>157</v>
      </c>
      <c r="X3" t="s">
        <v>158</v>
      </c>
      <c r="Y3" t="s">
        <v>159</v>
      </c>
      <c r="Z3" t="s">
        <v>160</v>
      </c>
      <c r="AA3" t="s">
        <v>161</v>
      </c>
      <c r="AB3" t="s">
        <v>162</v>
      </c>
      <c r="AC3" t="s">
        <v>163</v>
      </c>
      <c r="AD3" t="s">
        <v>164</v>
      </c>
      <c r="AE3" t="s">
        <v>165</v>
      </c>
      <c r="AF3" t="s">
        <v>166</v>
      </c>
      <c r="AG3" t="s">
        <v>167</v>
      </c>
      <c r="AH3" t="s">
        <v>168</v>
      </c>
      <c r="AI3" t="s">
        <v>169</v>
      </c>
      <c r="AJ3" t="s">
        <v>170</v>
      </c>
      <c r="AK3" t="s">
        <v>171</v>
      </c>
    </row>
    <row r="4" spans="1:37" x14ac:dyDescent="0.25">
      <c r="A4" t="s">
        <v>92</v>
      </c>
      <c r="B4">
        <v>2021</v>
      </c>
      <c r="C4">
        <v>19</v>
      </c>
      <c r="D4">
        <v>-1.4</v>
      </c>
      <c r="E4" t="s">
        <v>227</v>
      </c>
      <c r="F4" t="s">
        <v>226</v>
      </c>
      <c r="G4" t="s">
        <v>173</v>
      </c>
      <c r="I4">
        <v>1</v>
      </c>
      <c r="J4">
        <v>1</v>
      </c>
      <c r="K4">
        <v>0.5</v>
      </c>
      <c r="L4">
        <v>9.33</v>
      </c>
      <c r="M4">
        <v>10.67</v>
      </c>
      <c r="N4">
        <v>18</v>
      </c>
      <c r="O4">
        <v>2</v>
      </c>
      <c r="P4">
        <v>8</v>
      </c>
      <c r="Q4">
        <v>0</v>
      </c>
      <c r="R4">
        <v>0</v>
      </c>
      <c r="S4">
        <v>3</v>
      </c>
      <c r="T4">
        <v>27</v>
      </c>
      <c r="U4">
        <v>33</v>
      </c>
      <c r="V4">
        <v>32</v>
      </c>
      <c r="W4">
        <v>28</v>
      </c>
      <c r="X4">
        <v>5</v>
      </c>
      <c r="Y4">
        <v>20</v>
      </c>
      <c r="Z4">
        <v>0</v>
      </c>
      <c r="AA4">
        <v>20</v>
      </c>
      <c r="AB4">
        <v>3</v>
      </c>
      <c r="AC4">
        <v>1</v>
      </c>
      <c r="AD4">
        <v>3</v>
      </c>
      <c r="AE4">
        <v>138</v>
      </c>
      <c r="AF4">
        <v>1.9630000000000001</v>
      </c>
      <c r="AG4">
        <v>11</v>
      </c>
      <c r="AH4">
        <v>1.7</v>
      </c>
      <c r="AI4">
        <v>6.7</v>
      </c>
      <c r="AJ4">
        <v>6.7</v>
      </c>
      <c r="AK4">
        <v>1</v>
      </c>
    </row>
    <row r="5" spans="1:37" x14ac:dyDescent="0.25">
      <c r="B5" t="s">
        <v>228</v>
      </c>
      <c r="C5" t="s">
        <v>187</v>
      </c>
      <c r="D5" t="s">
        <v>143</v>
      </c>
      <c r="E5" t="s">
        <v>144</v>
      </c>
      <c r="F5" t="s">
        <v>146</v>
      </c>
      <c r="G5" t="s">
        <v>148</v>
      </c>
      <c r="H5" t="s">
        <v>149</v>
      </c>
      <c r="I5" t="s">
        <v>152</v>
      </c>
      <c r="J5" t="s">
        <v>153</v>
      </c>
      <c r="K5" t="s">
        <v>154</v>
      </c>
      <c r="L5" t="s">
        <v>161</v>
      </c>
      <c r="M5" t="s">
        <v>159</v>
      </c>
      <c r="N5" t="s">
        <v>155</v>
      </c>
    </row>
    <row r="6" spans="1:37" x14ac:dyDescent="0.25">
      <c r="A6" t="s">
        <v>94</v>
      </c>
      <c r="B6">
        <v>2021</v>
      </c>
      <c r="C6" t="s">
        <v>229</v>
      </c>
      <c r="D6">
        <v>1</v>
      </c>
      <c r="E6">
        <v>3</v>
      </c>
      <c r="F6">
        <v>4.67</v>
      </c>
      <c r="G6">
        <v>10</v>
      </c>
      <c r="H6">
        <v>1</v>
      </c>
      <c r="I6">
        <v>0</v>
      </c>
      <c r="J6">
        <v>0</v>
      </c>
      <c r="K6">
        <v>17.100000000000001</v>
      </c>
      <c r="L6">
        <v>24</v>
      </c>
      <c r="M6">
        <v>21</v>
      </c>
      <c r="N6">
        <v>17</v>
      </c>
    </row>
    <row r="7" spans="1:37" x14ac:dyDescent="0.25">
      <c r="B7" t="s">
        <v>136</v>
      </c>
      <c r="C7" t="s">
        <v>137</v>
      </c>
      <c r="D7" t="s">
        <v>138</v>
      </c>
      <c r="E7" t="s">
        <v>139</v>
      </c>
      <c r="F7" t="s">
        <v>140</v>
      </c>
      <c r="G7" t="s">
        <v>141</v>
      </c>
      <c r="H7" t="s">
        <v>142</v>
      </c>
      <c r="I7" t="s">
        <v>143</v>
      </c>
      <c r="J7" t="s">
        <v>144</v>
      </c>
      <c r="K7" t="s">
        <v>145</v>
      </c>
      <c r="L7" t="s">
        <v>146</v>
      </c>
      <c r="M7" t="s">
        <v>147</v>
      </c>
      <c r="N7" t="s">
        <v>148</v>
      </c>
      <c r="O7" t="s">
        <v>149</v>
      </c>
      <c r="P7" t="s">
        <v>150</v>
      </c>
      <c r="Q7" t="s">
        <v>151</v>
      </c>
      <c r="R7" t="s">
        <v>152</v>
      </c>
      <c r="S7" t="s">
        <v>153</v>
      </c>
      <c r="T7" t="s">
        <v>154</v>
      </c>
      <c r="U7" t="s">
        <v>155</v>
      </c>
      <c r="V7" t="s">
        <v>156</v>
      </c>
      <c r="W7" t="s">
        <v>157</v>
      </c>
      <c r="X7" t="s">
        <v>158</v>
      </c>
      <c r="Y7" t="s">
        <v>159</v>
      </c>
      <c r="Z7" t="s">
        <v>160</v>
      </c>
      <c r="AA7" t="s">
        <v>161</v>
      </c>
      <c r="AB7" t="s">
        <v>162</v>
      </c>
      <c r="AC7" t="s">
        <v>163</v>
      </c>
      <c r="AD7" t="s">
        <v>164</v>
      </c>
      <c r="AE7" t="s">
        <v>165</v>
      </c>
      <c r="AF7" t="s">
        <v>166</v>
      </c>
      <c r="AG7" t="s">
        <v>167</v>
      </c>
      <c r="AH7" t="s">
        <v>168</v>
      </c>
      <c r="AI7" t="s">
        <v>169</v>
      </c>
      <c r="AJ7" t="s">
        <v>170</v>
      </c>
      <c r="AK7" t="s">
        <v>171</v>
      </c>
    </row>
    <row r="8" spans="1:37" x14ac:dyDescent="0.25">
      <c r="A8" t="s">
        <v>95</v>
      </c>
      <c r="B8">
        <v>2021</v>
      </c>
      <c r="C8" t="s">
        <v>223</v>
      </c>
      <c r="E8" t="s">
        <v>237</v>
      </c>
      <c r="F8" t="s">
        <v>236</v>
      </c>
      <c r="G8" t="s">
        <v>173</v>
      </c>
      <c r="I8">
        <v>1</v>
      </c>
      <c r="J8">
        <v>3</v>
      </c>
      <c r="K8">
        <v>0.25</v>
      </c>
      <c r="L8">
        <v>6.67</v>
      </c>
      <c r="M8">
        <v>8.33</v>
      </c>
      <c r="N8">
        <v>8</v>
      </c>
      <c r="O8">
        <v>8</v>
      </c>
      <c r="P8">
        <v>0</v>
      </c>
      <c r="Q8">
        <v>0</v>
      </c>
      <c r="R8">
        <v>0</v>
      </c>
      <c r="S8">
        <v>0</v>
      </c>
      <c r="T8">
        <v>27</v>
      </c>
      <c r="U8">
        <v>38</v>
      </c>
      <c r="V8">
        <v>25</v>
      </c>
      <c r="W8">
        <v>20</v>
      </c>
      <c r="X8">
        <v>2</v>
      </c>
      <c r="Y8">
        <v>17</v>
      </c>
      <c r="Z8">
        <v>0</v>
      </c>
      <c r="AA8">
        <v>31</v>
      </c>
      <c r="AB8">
        <v>4</v>
      </c>
      <c r="AC8">
        <v>2</v>
      </c>
      <c r="AD8">
        <v>6</v>
      </c>
      <c r="AE8">
        <v>140</v>
      </c>
      <c r="AF8">
        <v>2.0369999999999999</v>
      </c>
      <c r="AG8">
        <v>12.7</v>
      </c>
      <c r="AH8">
        <v>0.7</v>
      </c>
      <c r="AI8">
        <v>5.7</v>
      </c>
      <c r="AJ8">
        <v>10.3</v>
      </c>
      <c r="AK8">
        <v>1.82</v>
      </c>
    </row>
    <row r="9" spans="1:37" x14ac:dyDescent="0.25">
      <c r="A9" t="s">
        <v>102</v>
      </c>
      <c r="B9">
        <v>2020</v>
      </c>
      <c r="C9">
        <v>21</v>
      </c>
      <c r="D9">
        <v>0.6</v>
      </c>
      <c r="E9" t="s">
        <v>255</v>
      </c>
      <c r="F9" t="s">
        <v>172</v>
      </c>
      <c r="G9" t="s">
        <v>173</v>
      </c>
      <c r="I9">
        <v>2</v>
      </c>
      <c r="J9">
        <v>1</v>
      </c>
      <c r="K9">
        <v>0.66700000000000004</v>
      </c>
      <c r="L9">
        <v>3.42</v>
      </c>
      <c r="M9">
        <v>3.8</v>
      </c>
      <c r="N9">
        <v>6</v>
      </c>
      <c r="O9">
        <v>6</v>
      </c>
      <c r="Q9">
        <v>0</v>
      </c>
      <c r="R9">
        <v>0</v>
      </c>
      <c r="S9">
        <v>0</v>
      </c>
      <c r="T9">
        <v>23.2</v>
      </c>
      <c r="U9">
        <v>17</v>
      </c>
      <c r="V9">
        <v>10</v>
      </c>
      <c r="W9">
        <v>9</v>
      </c>
      <c r="X9">
        <v>1</v>
      </c>
      <c r="Y9">
        <v>14</v>
      </c>
      <c r="AA9">
        <v>28</v>
      </c>
      <c r="AB9">
        <v>2</v>
      </c>
      <c r="AD9">
        <v>1</v>
      </c>
      <c r="AE9">
        <v>101</v>
      </c>
      <c r="AF9">
        <v>1.31</v>
      </c>
      <c r="AG9">
        <v>6.5</v>
      </c>
      <c r="AH9">
        <v>0.4</v>
      </c>
      <c r="AI9">
        <v>5.3</v>
      </c>
      <c r="AJ9">
        <v>10.6</v>
      </c>
      <c r="AK9">
        <v>2</v>
      </c>
    </row>
    <row r="10" spans="1:37" x14ac:dyDescent="0.25">
      <c r="A10" t="s">
        <v>103</v>
      </c>
      <c r="B10">
        <v>2021</v>
      </c>
      <c r="C10">
        <v>22</v>
      </c>
      <c r="D10">
        <v>-3.1</v>
      </c>
      <c r="E10" t="s">
        <v>257</v>
      </c>
      <c r="F10" t="s">
        <v>258</v>
      </c>
      <c r="G10" t="s">
        <v>259</v>
      </c>
      <c r="I10">
        <v>0</v>
      </c>
      <c r="J10">
        <v>0</v>
      </c>
      <c r="L10">
        <v>4.76</v>
      </c>
      <c r="M10">
        <v>4.76</v>
      </c>
      <c r="N10">
        <v>3</v>
      </c>
      <c r="O10">
        <v>0</v>
      </c>
      <c r="Q10">
        <v>0</v>
      </c>
      <c r="R10">
        <v>0</v>
      </c>
      <c r="S10">
        <v>0</v>
      </c>
      <c r="T10">
        <v>5.2</v>
      </c>
      <c r="U10">
        <v>5</v>
      </c>
      <c r="V10">
        <v>3</v>
      </c>
      <c r="W10">
        <v>3</v>
      </c>
      <c r="X10">
        <v>0</v>
      </c>
      <c r="Y10">
        <v>9</v>
      </c>
      <c r="Z10">
        <v>0</v>
      </c>
      <c r="AA10">
        <v>7</v>
      </c>
      <c r="AB10">
        <v>2</v>
      </c>
      <c r="AC10">
        <v>0</v>
      </c>
      <c r="AD10">
        <v>1</v>
      </c>
      <c r="AE10">
        <v>32</v>
      </c>
      <c r="AF10">
        <v>2.4710000000000001</v>
      </c>
      <c r="AG10">
        <v>7.9</v>
      </c>
      <c r="AH10">
        <v>0</v>
      </c>
      <c r="AI10">
        <v>14.3</v>
      </c>
      <c r="AJ10">
        <v>11.1</v>
      </c>
      <c r="AK10">
        <v>0.78</v>
      </c>
    </row>
    <row r="11" spans="1:37" x14ac:dyDescent="0.25">
      <c r="A11" t="s">
        <v>105</v>
      </c>
      <c r="B11">
        <v>2019</v>
      </c>
      <c r="C11">
        <v>18</v>
      </c>
      <c r="D11">
        <v>-2.1</v>
      </c>
      <c r="E11" t="s">
        <v>263</v>
      </c>
      <c r="F11" t="s">
        <v>226</v>
      </c>
      <c r="G11" t="s">
        <v>173</v>
      </c>
      <c r="I11">
        <v>1</v>
      </c>
      <c r="J11">
        <v>1</v>
      </c>
      <c r="K11">
        <v>0.5</v>
      </c>
      <c r="L11">
        <v>7.52</v>
      </c>
      <c r="M11">
        <v>8.1999999999999993</v>
      </c>
      <c r="N11">
        <v>11</v>
      </c>
      <c r="O11">
        <v>4</v>
      </c>
      <c r="P11">
        <v>3</v>
      </c>
      <c r="Q11">
        <v>0</v>
      </c>
      <c r="R11">
        <v>0</v>
      </c>
      <c r="S11">
        <v>0</v>
      </c>
      <c r="T11">
        <v>26.1</v>
      </c>
      <c r="U11">
        <v>30</v>
      </c>
      <c r="V11">
        <v>24</v>
      </c>
      <c r="W11">
        <v>22</v>
      </c>
      <c r="X11">
        <v>4</v>
      </c>
      <c r="Y11">
        <v>12</v>
      </c>
      <c r="Z11">
        <v>0</v>
      </c>
      <c r="AA11">
        <v>18</v>
      </c>
      <c r="AB11">
        <v>3</v>
      </c>
      <c r="AC11">
        <v>0</v>
      </c>
      <c r="AD11">
        <v>1</v>
      </c>
      <c r="AE11">
        <v>123</v>
      </c>
      <c r="AF11">
        <v>1.595</v>
      </c>
      <c r="AG11">
        <v>10.3</v>
      </c>
      <c r="AH11">
        <v>1.4</v>
      </c>
      <c r="AI11">
        <v>4.0999999999999996</v>
      </c>
      <c r="AJ11">
        <v>6.2</v>
      </c>
      <c r="AK11">
        <v>1.5</v>
      </c>
    </row>
    <row r="12" spans="1:37" x14ac:dyDescent="0.25">
      <c r="A12" t="s">
        <v>110</v>
      </c>
      <c r="B12">
        <v>2021</v>
      </c>
      <c r="C12" t="s">
        <v>223</v>
      </c>
      <c r="E12" t="s">
        <v>290</v>
      </c>
      <c r="F12" t="s">
        <v>224</v>
      </c>
      <c r="G12" t="s">
        <v>173</v>
      </c>
      <c r="I12">
        <v>2</v>
      </c>
      <c r="J12">
        <v>2</v>
      </c>
      <c r="K12">
        <v>0.5</v>
      </c>
      <c r="L12">
        <v>4.68</v>
      </c>
      <c r="M12">
        <v>6.84</v>
      </c>
      <c r="N12">
        <v>6</v>
      </c>
      <c r="O12">
        <v>6</v>
      </c>
      <c r="P12">
        <v>0</v>
      </c>
      <c r="Q12">
        <v>0</v>
      </c>
      <c r="R12">
        <v>0</v>
      </c>
      <c r="S12">
        <v>0</v>
      </c>
      <c r="T12">
        <v>25</v>
      </c>
      <c r="U12">
        <v>25</v>
      </c>
      <c r="V12">
        <v>19</v>
      </c>
      <c r="W12">
        <v>13</v>
      </c>
      <c r="X12">
        <v>2</v>
      </c>
      <c r="Y12">
        <v>22</v>
      </c>
      <c r="Z12">
        <v>0</v>
      </c>
      <c r="AA12">
        <v>28</v>
      </c>
      <c r="AB12">
        <v>7</v>
      </c>
      <c r="AC12">
        <v>1</v>
      </c>
      <c r="AD12">
        <v>4</v>
      </c>
      <c r="AE12">
        <v>128</v>
      </c>
      <c r="AF12">
        <v>1.88</v>
      </c>
      <c r="AG12">
        <v>9</v>
      </c>
      <c r="AH12">
        <v>0.7</v>
      </c>
      <c r="AI12">
        <v>7.9</v>
      </c>
      <c r="AJ12">
        <v>10.1</v>
      </c>
      <c r="AK12">
        <v>1.27</v>
      </c>
    </row>
    <row r="13" spans="1:37" x14ac:dyDescent="0.25">
      <c r="A13" t="s">
        <v>100</v>
      </c>
      <c r="B13">
        <v>2021</v>
      </c>
      <c r="C13" t="s">
        <v>343</v>
      </c>
      <c r="D13">
        <v>7</v>
      </c>
      <c r="E13">
        <v>0</v>
      </c>
      <c r="F13">
        <v>1.52</v>
      </c>
      <c r="G13">
        <v>8</v>
      </c>
      <c r="H13">
        <v>8</v>
      </c>
      <c r="I13">
        <v>2</v>
      </c>
      <c r="J13">
        <v>0</v>
      </c>
      <c r="K13">
        <v>53</v>
      </c>
      <c r="L13">
        <v>61</v>
      </c>
      <c r="M13">
        <v>7</v>
      </c>
      <c r="N13">
        <v>50</v>
      </c>
    </row>
    <row r="14" spans="1:37" x14ac:dyDescent="0.25">
      <c r="A14" t="s">
        <v>348</v>
      </c>
      <c r="B14">
        <v>2021</v>
      </c>
      <c r="C14">
        <v>19</v>
      </c>
      <c r="D14">
        <v>-2.6</v>
      </c>
      <c r="E14" t="s">
        <v>350</v>
      </c>
      <c r="F14" t="s">
        <v>349</v>
      </c>
      <c r="G14" t="s">
        <v>173</v>
      </c>
      <c r="I14">
        <v>0</v>
      </c>
      <c r="J14">
        <v>0</v>
      </c>
      <c r="L14">
        <v>11</v>
      </c>
      <c r="M14">
        <v>11</v>
      </c>
      <c r="N14">
        <v>9</v>
      </c>
      <c r="O14">
        <v>0</v>
      </c>
      <c r="S14">
        <v>0</v>
      </c>
      <c r="T14">
        <v>9</v>
      </c>
      <c r="U14">
        <v>13</v>
      </c>
      <c r="V14">
        <v>11</v>
      </c>
      <c r="W14">
        <v>11</v>
      </c>
      <c r="X14">
        <v>1</v>
      </c>
      <c r="Y14">
        <v>11</v>
      </c>
      <c r="AA14">
        <v>2</v>
      </c>
      <c r="AB14">
        <v>1</v>
      </c>
      <c r="AF14">
        <v>2.6669999999999998</v>
      </c>
      <c r="AG14">
        <v>13</v>
      </c>
      <c r="AH14">
        <v>1</v>
      </c>
      <c r="AI14">
        <v>11</v>
      </c>
      <c r="AJ14">
        <v>2</v>
      </c>
      <c r="AK14">
        <v>0.18</v>
      </c>
    </row>
    <row r="15" spans="1:37" x14ac:dyDescent="0.25">
      <c r="A15" t="s">
        <v>122</v>
      </c>
      <c r="B15">
        <v>2021</v>
      </c>
      <c r="C15">
        <v>20</v>
      </c>
      <c r="D15">
        <v>-0.5</v>
      </c>
      <c r="E15" t="s">
        <v>324</v>
      </c>
      <c r="F15" t="s">
        <v>323</v>
      </c>
      <c r="G15" t="s">
        <v>173</v>
      </c>
      <c r="I15">
        <v>0</v>
      </c>
      <c r="J15">
        <v>1</v>
      </c>
      <c r="K15">
        <v>0</v>
      </c>
      <c r="L15">
        <v>8.1</v>
      </c>
      <c r="M15">
        <v>8.1</v>
      </c>
      <c r="N15">
        <v>3</v>
      </c>
      <c r="O15">
        <v>0</v>
      </c>
      <c r="P15">
        <v>1</v>
      </c>
      <c r="Q15">
        <v>0</v>
      </c>
      <c r="R15">
        <v>0</v>
      </c>
      <c r="S15">
        <v>1</v>
      </c>
      <c r="T15">
        <v>6.2</v>
      </c>
      <c r="U15">
        <v>8</v>
      </c>
      <c r="V15">
        <v>6</v>
      </c>
      <c r="W15">
        <v>6</v>
      </c>
      <c r="X15">
        <v>0</v>
      </c>
      <c r="Y15">
        <v>3</v>
      </c>
      <c r="Z15">
        <v>0</v>
      </c>
      <c r="AA15">
        <v>7</v>
      </c>
      <c r="AB15">
        <v>0</v>
      </c>
      <c r="AC15">
        <v>0</v>
      </c>
      <c r="AD15">
        <v>0</v>
      </c>
      <c r="AE15">
        <v>31</v>
      </c>
      <c r="AF15">
        <v>1.65</v>
      </c>
      <c r="AG15">
        <v>10.8</v>
      </c>
      <c r="AH15">
        <v>0</v>
      </c>
      <c r="AI15">
        <v>4.0999999999999996</v>
      </c>
      <c r="AJ15">
        <v>9.5</v>
      </c>
      <c r="AK15">
        <v>2.33</v>
      </c>
    </row>
    <row r="16" spans="1:37" x14ac:dyDescent="0.25">
      <c r="A16" t="s">
        <v>415</v>
      </c>
      <c r="B16">
        <v>2021</v>
      </c>
      <c r="C16">
        <v>18</v>
      </c>
      <c r="D16">
        <v>-2.6</v>
      </c>
      <c r="E16" t="s">
        <v>416</v>
      </c>
      <c r="F16" t="s">
        <v>172</v>
      </c>
      <c r="G16" t="s">
        <v>173</v>
      </c>
      <c r="I16">
        <v>4</v>
      </c>
      <c r="J16">
        <v>1</v>
      </c>
      <c r="K16">
        <v>0.8</v>
      </c>
      <c r="L16">
        <v>5.92</v>
      </c>
      <c r="M16">
        <v>7.34</v>
      </c>
      <c r="N16">
        <v>11</v>
      </c>
      <c r="O16">
        <v>8</v>
      </c>
      <c r="Q16">
        <v>0</v>
      </c>
      <c r="R16">
        <v>0</v>
      </c>
      <c r="S16">
        <v>0</v>
      </c>
      <c r="T16">
        <v>38</v>
      </c>
      <c r="U16">
        <v>34</v>
      </c>
      <c r="V16">
        <v>31</v>
      </c>
      <c r="W16">
        <v>25</v>
      </c>
      <c r="X16">
        <v>4</v>
      </c>
      <c r="Y16">
        <v>29</v>
      </c>
      <c r="Z16">
        <v>0</v>
      </c>
      <c r="AA16">
        <v>28</v>
      </c>
      <c r="AB16">
        <v>6</v>
      </c>
      <c r="AC16">
        <v>1</v>
      </c>
      <c r="AD16">
        <v>10</v>
      </c>
      <c r="AE16">
        <v>185</v>
      </c>
      <c r="AF16">
        <v>1.6579999999999999</v>
      </c>
      <c r="AG16">
        <v>8.1</v>
      </c>
      <c r="AH16">
        <v>0.9</v>
      </c>
      <c r="AI16">
        <v>6.9</v>
      </c>
      <c r="AJ16">
        <v>6.6</v>
      </c>
      <c r="AK16">
        <v>0.97</v>
      </c>
    </row>
    <row r="17" spans="1:37" x14ac:dyDescent="0.25">
      <c r="A17" t="s">
        <v>420</v>
      </c>
      <c r="B17">
        <v>2021</v>
      </c>
      <c r="C17">
        <v>18</v>
      </c>
      <c r="D17">
        <v>-2.6</v>
      </c>
      <c r="E17" t="s">
        <v>255</v>
      </c>
      <c r="F17" t="s">
        <v>172</v>
      </c>
      <c r="G17" t="s">
        <v>173</v>
      </c>
      <c r="I17">
        <v>0</v>
      </c>
      <c r="J17">
        <v>1</v>
      </c>
      <c r="K17">
        <v>0</v>
      </c>
      <c r="L17">
        <v>3</v>
      </c>
      <c r="M17">
        <v>7.5</v>
      </c>
      <c r="N17">
        <v>3</v>
      </c>
      <c r="O17">
        <v>0</v>
      </c>
      <c r="Q17">
        <v>0</v>
      </c>
      <c r="R17">
        <v>0</v>
      </c>
      <c r="S17">
        <v>0</v>
      </c>
      <c r="T17">
        <v>6</v>
      </c>
      <c r="U17">
        <v>5</v>
      </c>
      <c r="V17">
        <v>5</v>
      </c>
      <c r="W17">
        <v>2</v>
      </c>
      <c r="X17">
        <v>0</v>
      </c>
      <c r="Y17">
        <v>11</v>
      </c>
      <c r="Z17">
        <v>0</v>
      </c>
      <c r="AA17">
        <v>5</v>
      </c>
      <c r="AB17">
        <v>0</v>
      </c>
      <c r="AC17">
        <v>0</v>
      </c>
      <c r="AD17">
        <v>1</v>
      </c>
      <c r="AE17">
        <v>34</v>
      </c>
      <c r="AF17">
        <v>2.6669999999999998</v>
      </c>
      <c r="AG17">
        <v>7.5</v>
      </c>
      <c r="AH17">
        <v>0</v>
      </c>
      <c r="AI17">
        <v>16.5</v>
      </c>
      <c r="AJ17">
        <v>7.5</v>
      </c>
      <c r="AK17">
        <v>0.45</v>
      </c>
    </row>
    <row r="18" spans="1:37" x14ac:dyDescent="0.25">
      <c r="A18" t="s">
        <v>522</v>
      </c>
      <c r="B18">
        <v>2021</v>
      </c>
      <c r="C18">
        <v>20</v>
      </c>
      <c r="D18">
        <v>-0.5</v>
      </c>
      <c r="E18" t="s">
        <v>523</v>
      </c>
      <c r="F18" t="s">
        <v>323</v>
      </c>
      <c r="G18" t="s">
        <v>173</v>
      </c>
      <c r="I18">
        <v>2</v>
      </c>
      <c r="J18">
        <v>1</v>
      </c>
      <c r="K18">
        <v>0.66700000000000004</v>
      </c>
      <c r="L18">
        <v>3.46</v>
      </c>
      <c r="M18">
        <v>4.38</v>
      </c>
      <c r="N18">
        <v>7</v>
      </c>
      <c r="O18">
        <v>6</v>
      </c>
      <c r="P18">
        <v>1</v>
      </c>
      <c r="Q18">
        <v>1</v>
      </c>
      <c r="R18">
        <v>0</v>
      </c>
      <c r="S18">
        <v>0</v>
      </c>
      <c r="T18">
        <v>39</v>
      </c>
      <c r="U18">
        <v>31</v>
      </c>
      <c r="V18">
        <v>19</v>
      </c>
      <c r="W18">
        <v>15</v>
      </c>
      <c r="X18">
        <v>2</v>
      </c>
      <c r="Y18">
        <v>12</v>
      </c>
      <c r="Z18">
        <v>0</v>
      </c>
      <c r="AA18">
        <v>47</v>
      </c>
      <c r="AB18">
        <v>5</v>
      </c>
      <c r="AC18">
        <v>0</v>
      </c>
      <c r="AD18">
        <v>8</v>
      </c>
      <c r="AE18">
        <v>164</v>
      </c>
      <c r="AF18">
        <v>1.103</v>
      </c>
      <c r="AG18">
        <v>7.2</v>
      </c>
      <c r="AH18">
        <v>0.5</v>
      </c>
      <c r="AI18">
        <v>2.8</v>
      </c>
      <c r="AJ18">
        <v>10.8</v>
      </c>
      <c r="AK18">
        <v>3.92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C49B1-B36E-41B0-879C-79D00E199211}">
  <dimension ref="A1:AE15"/>
  <sheetViews>
    <sheetView workbookViewId="0">
      <selection activeCell="A16" sqref="A16"/>
    </sheetView>
  </sheetViews>
  <sheetFormatPr defaultRowHeight="15" x14ac:dyDescent="0.25"/>
  <cols>
    <col min="1" max="1" width="12.5703125" bestFit="1" customWidth="1"/>
    <col min="2" max="2" width="7.28515625" bestFit="1" customWidth="1"/>
    <col min="3" max="3" width="13.5703125" customWidth="1"/>
    <col min="4" max="4" width="4.140625" customWidth="1"/>
    <col min="5" max="5" width="12.5703125" bestFit="1" customWidth="1"/>
    <col min="6" max="6" width="5.5703125" bestFit="1" customWidth="1"/>
    <col min="7" max="7" width="6.28515625" bestFit="1" customWidth="1"/>
    <col min="8" max="8" width="3.85546875" customWidth="1"/>
    <col min="9" max="9" width="4.7109375" bestFit="1" customWidth="1"/>
    <col min="10" max="11" width="5.7109375" bestFit="1" customWidth="1"/>
    <col min="12" max="12" width="4.42578125" bestFit="1" customWidth="1"/>
    <col min="13" max="13" width="4.5703125" bestFit="1" customWidth="1"/>
    <col min="14" max="15" width="5.42578125" bestFit="1" customWidth="1"/>
    <col min="16" max="16" width="5.7109375" bestFit="1" customWidth="1"/>
    <col min="17" max="17" width="6.140625" bestFit="1" customWidth="1"/>
    <col min="18" max="19" width="5.42578125" bestFit="1" customWidth="1"/>
    <col min="20" max="20" width="5.5703125" bestFit="1" customWidth="1"/>
    <col min="21" max="21" width="5.7109375" bestFit="1" customWidth="1"/>
    <col min="22" max="22" width="6" bestFit="1" customWidth="1"/>
    <col min="23" max="23" width="7" bestFit="1" customWidth="1"/>
    <col min="24" max="24" width="6.5703125" bestFit="1" customWidth="1"/>
    <col min="25" max="25" width="6.85546875" bestFit="1" customWidth="1"/>
    <col min="26" max="26" width="5.42578125" bestFit="1" customWidth="1"/>
    <col min="27" max="27" width="7.140625" bestFit="1" customWidth="1"/>
    <col min="28" max="28" width="6.85546875" bestFit="1" customWidth="1"/>
    <col min="29" max="29" width="5.5703125" bestFit="1" customWidth="1"/>
    <col min="30" max="30" width="5.28515625" bestFit="1" customWidth="1"/>
    <col min="31" max="31" width="6.140625" bestFit="1" customWidth="1"/>
  </cols>
  <sheetData>
    <row r="1" spans="1:31" x14ac:dyDescent="0.25">
      <c r="A1" t="s">
        <v>213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148</v>
      </c>
      <c r="J1" t="s">
        <v>218</v>
      </c>
      <c r="K1" t="s">
        <v>175</v>
      </c>
      <c r="L1" t="s">
        <v>156</v>
      </c>
      <c r="M1" t="s">
        <v>155</v>
      </c>
      <c r="N1" t="s">
        <v>176</v>
      </c>
      <c r="O1" t="s">
        <v>177</v>
      </c>
      <c r="P1" t="s">
        <v>158</v>
      </c>
      <c r="Q1" t="s">
        <v>178</v>
      </c>
      <c r="R1" t="s">
        <v>179</v>
      </c>
      <c r="S1" t="s">
        <v>180</v>
      </c>
      <c r="T1" t="s">
        <v>159</v>
      </c>
      <c r="U1" t="s">
        <v>161</v>
      </c>
      <c r="V1" t="s">
        <v>181</v>
      </c>
      <c r="W1" t="s">
        <v>182</v>
      </c>
      <c r="X1" t="s">
        <v>183</v>
      </c>
      <c r="Y1" t="s">
        <v>184</v>
      </c>
      <c r="Z1" t="s">
        <v>219</v>
      </c>
      <c r="AA1" t="s">
        <v>220</v>
      </c>
      <c r="AB1" t="s">
        <v>162</v>
      </c>
      <c r="AC1" t="s">
        <v>221</v>
      </c>
      <c r="AD1" t="s">
        <v>222</v>
      </c>
      <c r="AE1" t="s">
        <v>160</v>
      </c>
    </row>
    <row r="2" spans="1:31" x14ac:dyDescent="0.25">
      <c r="A2" t="s">
        <v>114</v>
      </c>
      <c r="B2">
        <v>2020</v>
      </c>
      <c r="C2" t="s">
        <v>223</v>
      </c>
      <c r="E2" t="s">
        <v>225</v>
      </c>
      <c r="F2" t="s">
        <v>224</v>
      </c>
      <c r="G2" t="s">
        <v>173</v>
      </c>
      <c r="I2">
        <v>14</v>
      </c>
      <c r="J2">
        <v>51</v>
      </c>
      <c r="K2">
        <v>45</v>
      </c>
      <c r="L2">
        <v>7</v>
      </c>
      <c r="M2">
        <v>10</v>
      </c>
      <c r="N2">
        <v>2</v>
      </c>
      <c r="O2">
        <v>0</v>
      </c>
      <c r="P2">
        <v>1</v>
      </c>
      <c r="Q2">
        <v>8</v>
      </c>
      <c r="R2">
        <v>0</v>
      </c>
      <c r="S2">
        <v>0</v>
      </c>
      <c r="T2">
        <v>5</v>
      </c>
      <c r="U2">
        <v>13</v>
      </c>
      <c r="V2">
        <v>0.222</v>
      </c>
      <c r="W2">
        <v>0.314</v>
      </c>
      <c r="X2">
        <v>0.33300000000000002</v>
      </c>
      <c r="Y2">
        <v>0.64700000000000002</v>
      </c>
      <c r="Z2">
        <v>15</v>
      </c>
      <c r="AA2">
        <v>1</v>
      </c>
      <c r="AB2">
        <v>1</v>
      </c>
      <c r="AC2">
        <v>0</v>
      </c>
      <c r="AD2">
        <v>0</v>
      </c>
    </row>
    <row r="3" spans="1:31" x14ac:dyDescent="0.25">
      <c r="A3" t="s">
        <v>96</v>
      </c>
      <c r="B3">
        <v>2021</v>
      </c>
      <c r="C3">
        <v>20</v>
      </c>
      <c r="D3">
        <v>0</v>
      </c>
      <c r="E3" t="s">
        <v>240</v>
      </c>
      <c r="F3" t="s">
        <v>239</v>
      </c>
      <c r="G3" t="s">
        <v>173</v>
      </c>
      <c r="I3">
        <v>25</v>
      </c>
      <c r="J3">
        <v>100</v>
      </c>
      <c r="K3">
        <v>81</v>
      </c>
      <c r="L3">
        <v>10</v>
      </c>
      <c r="M3">
        <v>21</v>
      </c>
      <c r="N3">
        <v>6</v>
      </c>
      <c r="O3">
        <v>1</v>
      </c>
      <c r="P3">
        <v>1</v>
      </c>
      <c r="Q3">
        <v>12</v>
      </c>
      <c r="R3">
        <v>0</v>
      </c>
      <c r="S3">
        <v>2</v>
      </c>
      <c r="T3">
        <v>17</v>
      </c>
      <c r="U3">
        <v>32</v>
      </c>
      <c r="V3">
        <v>0.25900000000000001</v>
      </c>
      <c r="W3">
        <v>0.4</v>
      </c>
      <c r="X3">
        <v>0.39500000000000002</v>
      </c>
      <c r="Y3">
        <v>0.79500000000000004</v>
      </c>
      <c r="Z3">
        <v>32</v>
      </c>
      <c r="AA3">
        <v>0</v>
      </c>
      <c r="AB3">
        <v>2</v>
      </c>
      <c r="AC3">
        <v>0</v>
      </c>
      <c r="AD3">
        <v>0</v>
      </c>
    </row>
    <row r="4" spans="1:31" x14ac:dyDescent="0.25">
      <c r="A4" t="s">
        <v>117</v>
      </c>
      <c r="B4">
        <v>2021</v>
      </c>
      <c r="C4">
        <v>22</v>
      </c>
      <c r="D4">
        <v>1.5</v>
      </c>
      <c r="E4" t="s">
        <v>300</v>
      </c>
      <c r="F4" t="s">
        <v>226</v>
      </c>
      <c r="G4" t="s">
        <v>173</v>
      </c>
      <c r="I4">
        <v>41</v>
      </c>
      <c r="J4">
        <v>194</v>
      </c>
      <c r="K4">
        <v>172</v>
      </c>
      <c r="L4">
        <v>41</v>
      </c>
      <c r="M4">
        <v>50</v>
      </c>
      <c r="N4">
        <v>7</v>
      </c>
      <c r="O4">
        <v>1</v>
      </c>
      <c r="P4">
        <v>3</v>
      </c>
      <c r="Q4">
        <v>22</v>
      </c>
      <c r="R4">
        <v>19</v>
      </c>
      <c r="S4">
        <v>2</v>
      </c>
      <c r="T4">
        <v>19</v>
      </c>
      <c r="U4">
        <v>17</v>
      </c>
      <c r="V4">
        <v>0.29099999999999998</v>
      </c>
      <c r="W4">
        <v>0.36599999999999999</v>
      </c>
      <c r="X4">
        <v>0.39500000000000002</v>
      </c>
      <c r="Y4">
        <v>0.76100000000000001</v>
      </c>
      <c r="Z4">
        <v>68</v>
      </c>
      <c r="AB4">
        <v>2</v>
      </c>
      <c r="AC4">
        <v>0</v>
      </c>
      <c r="AD4">
        <v>1</v>
      </c>
      <c r="AE4">
        <v>0</v>
      </c>
    </row>
    <row r="5" spans="1:31" x14ac:dyDescent="0.25">
      <c r="A5" t="s">
        <v>120</v>
      </c>
      <c r="B5">
        <v>2021</v>
      </c>
      <c r="C5" t="s">
        <v>223</v>
      </c>
      <c r="E5" t="s">
        <v>319</v>
      </c>
      <c r="F5" t="s">
        <v>236</v>
      </c>
      <c r="G5" t="s">
        <v>173</v>
      </c>
      <c r="I5">
        <v>48</v>
      </c>
      <c r="J5">
        <v>212</v>
      </c>
      <c r="K5">
        <v>171</v>
      </c>
      <c r="L5">
        <v>40</v>
      </c>
      <c r="M5">
        <v>48</v>
      </c>
      <c r="N5">
        <v>12</v>
      </c>
      <c r="O5">
        <v>1</v>
      </c>
      <c r="P5">
        <v>9</v>
      </c>
      <c r="Q5">
        <v>47</v>
      </c>
      <c r="R5">
        <v>3</v>
      </c>
      <c r="S5">
        <v>2</v>
      </c>
      <c r="T5">
        <v>32</v>
      </c>
      <c r="U5">
        <v>50</v>
      </c>
      <c r="V5">
        <v>0.28100000000000003</v>
      </c>
      <c r="W5">
        <v>0.40500000000000003</v>
      </c>
      <c r="X5">
        <v>0.52100000000000002</v>
      </c>
      <c r="Y5">
        <v>0.92500000000000004</v>
      </c>
      <c r="Z5">
        <v>89</v>
      </c>
      <c r="AB5">
        <v>5</v>
      </c>
      <c r="AC5">
        <v>2</v>
      </c>
      <c r="AD5">
        <v>2</v>
      </c>
      <c r="AE5">
        <v>0</v>
      </c>
    </row>
    <row r="6" spans="1:31" x14ac:dyDescent="0.25">
      <c r="A6" t="s">
        <v>122</v>
      </c>
      <c r="B6">
        <v>2021</v>
      </c>
      <c r="C6">
        <v>20</v>
      </c>
      <c r="D6">
        <v>-0.3</v>
      </c>
      <c r="E6" t="s">
        <v>324</v>
      </c>
      <c r="F6" t="s">
        <v>323</v>
      </c>
      <c r="G6" t="s">
        <v>173</v>
      </c>
      <c r="I6">
        <v>35</v>
      </c>
      <c r="J6">
        <v>139</v>
      </c>
      <c r="K6">
        <v>123</v>
      </c>
      <c r="L6">
        <v>14</v>
      </c>
      <c r="M6">
        <v>26</v>
      </c>
      <c r="N6">
        <v>6</v>
      </c>
      <c r="O6">
        <v>0</v>
      </c>
      <c r="P6">
        <v>0</v>
      </c>
      <c r="Q6">
        <v>18</v>
      </c>
      <c r="R6">
        <v>1</v>
      </c>
      <c r="S6">
        <v>0</v>
      </c>
      <c r="T6">
        <v>14</v>
      </c>
      <c r="U6">
        <v>34</v>
      </c>
      <c r="V6">
        <v>0.21099999999999999</v>
      </c>
      <c r="W6">
        <v>0.30199999999999999</v>
      </c>
      <c r="X6">
        <v>0.26</v>
      </c>
      <c r="Y6">
        <v>0.56200000000000006</v>
      </c>
      <c r="Z6">
        <v>32</v>
      </c>
      <c r="AB6">
        <v>2</v>
      </c>
      <c r="AC6">
        <v>0</v>
      </c>
      <c r="AD6">
        <v>0</v>
      </c>
      <c r="AE6">
        <v>0</v>
      </c>
    </row>
    <row r="7" spans="1:31" x14ac:dyDescent="0.25">
      <c r="A7" t="s">
        <v>325</v>
      </c>
      <c r="B7">
        <v>2021</v>
      </c>
      <c r="C7">
        <v>21</v>
      </c>
      <c r="D7">
        <v>0.5</v>
      </c>
      <c r="E7" t="s">
        <v>326</v>
      </c>
      <c r="F7" t="s">
        <v>226</v>
      </c>
      <c r="G7" t="s">
        <v>173</v>
      </c>
      <c r="I7">
        <v>28</v>
      </c>
      <c r="J7">
        <v>121</v>
      </c>
      <c r="K7">
        <v>105</v>
      </c>
      <c r="L7">
        <v>24</v>
      </c>
      <c r="M7">
        <v>40</v>
      </c>
      <c r="N7">
        <v>4</v>
      </c>
      <c r="O7">
        <v>2</v>
      </c>
      <c r="P7">
        <v>11</v>
      </c>
      <c r="Q7">
        <v>44</v>
      </c>
      <c r="R7">
        <v>4</v>
      </c>
      <c r="S7">
        <v>0</v>
      </c>
      <c r="T7">
        <v>14</v>
      </c>
      <c r="U7">
        <v>29</v>
      </c>
      <c r="V7">
        <v>0.38100000000000001</v>
      </c>
      <c r="W7">
        <v>0.45</v>
      </c>
      <c r="X7">
        <v>0.77100000000000002</v>
      </c>
      <c r="Y7">
        <v>1.2210000000000001</v>
      </c>
      <c r="Z7">
        <v>81</v>
      </c>
      <c r="AB7">
        <v>0</v>
      </c>
      <c r="AC7">
        <v>1</v>
      </c>
      <c r="AD7">
        <v>1</v>
      </c>
      <c r="AE7">
        <v>1</v>
      </c>
    </row>
    <row r="8" spans="1:31" x14ac:dyDescent="0.25">
      <c r="A8" t="s">
        <v>123</v>
      </c>
      <c r="B8">
        <v>2021</v>
      </c>
      <c r="C8">
        <v>19</v>
      </c>
      <c r="D8">
        <v>-1</v>
      </c>
      <c r="E8" t="s">
        <v>330</v>
      </c>
      <c r="F8" t="s">
        <v>239</v>
      </c>
      <c r="G8" t="s">
        <v>173</v>
      </c>
      <c r="I8">
        <v>38</v>
      </c>
      <c r="J8">
        <v>153</v>
      </c>
      <c r="K8">
        <v>132</v>
      </c>
      <c r="L8">
        <v>20</v>
      </c>
      <c r="M8">
        <v>24</v>
      </c>
      <c r="N8">
        <v>4</v>
      </c>
      <c r="O8">
        <v>0</v>
      </c>
      <c r="P8">
        <v>4</v>
      </c>
      <c r="Q8">
        <v>19</v>
      </c>
      <c r="R8">
        <v>1</v>
      </c>
      <c r="S8">
        <v>1</v>
      </c>
      <c r="T8">
        <v>18</v>
      </c>
      <c r="U8">
        <v>35</v>
      </c>
      <c r="V8">
        <v>0.182</v>
      </c>
      <c r="W8">
        <v>0.28100000000000003</v>
      </c>
      <c r="X8">
        <v>0.30299999999999999</v>
      </c>
      <c r="Y8">
        <v>0.58399999999999996</v>
      </c>
      <c r="Z8">
        <v>40</v>
      </c>
      <c r="AA8">
        <v>2</v>
      </c>
      <c r="AB8">
        <v>1</v>
      </c>
      <c r="AC8">
        <v>0</v>
      </c>
      <c r="AD8">
        <v>2</v>
      </c>
    </row>
    <row r="9" spans="1:31" x14ac:dyDescent="0.25">
      <c r="A9" t="s">
        <v>124</v>
      </c>
      <c r="B9">
        <v>2021</v>
      </c>
      <c r="C9" t="s">
        <v>223</v>
      </c>
      <c r="E9" t="s">
        <v>331</v>
      </c>
      <c r="F9" t="s">
        <v>224</v>
      </c>
      <c r="G9" t="s">
        <v>173</v>
      </c>
      <c r="I9">
        <v>4</v>
      </c>
      <c r="J9">
        <v>13</v>
      </c>
      <c r="K9">
        <v>12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0.16700000000000001</v>
      </c>
      <c r="W9">
        <v>0.23100000000000001</v>
      </c>
      <c r="X9">
        <v>0.16700000000000001</v>
      </c>
      <c r="Y9">
        <v>0.39800000000000002</v>
      </c>
      <c r="Z9">
        <v>2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125</v>
      </c>
      <c r="B10">
        <v>2021</v>
      </c>
      <c r="C10">
        <v>20</v>
      </c>
      <c r="D10">
        <v>-0.5</v>
      </c>
      <c r="E10" t="s">
        <v>342</v>
      </c>
      <c r="F10" t="s">
        <v>341</v>
      </c>
      <c r="G10" t="s">
        <v>173</v>
      </c>
      <c r="I10">
        <v>2</v>
      </c>
      <c r="J10">
        <v>8</v>
      </c>
      <c r="K10">
        <v>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2</v>
      </c>
      <c r="V10">
        <v>0</v>
      </c>
      <c r="W10">
        <v>0</v>
      </c>
      <c r="X10">
        <v>0</v>
      </c>
      <c r="Y10">
        <v>0</v>
      </c>
      <c r="Z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s="21" t="s">
        <v>344</v>
      </c>
      <c r="B11" t="s">
        <v>228</v>
      </c>
      <c r="C11" t="s">
        <v>187</v>
      </c>
      <c r="D11" t="s">
        <v>148</v>
      </c>
      <c r="E11" t="s">
        <v>175</v>
      </c>
      <c r="F11" t="s">
        <v>156</v>
      </c>
      <c r="G11" t="s">
        <v>155</v>
      </c>
      <c r="H11" t="s">
        <v>176</v>
      </c>
      <c r="I11" t="s">
        <v>177</v>
      </c>
      <c r="J11" t="s">
        <v>158</v>
      </c>
      <c r="K11" t="s">
        <v>178</v>
      </c>
      <c r="L11" t="s">
        <v>159</v>
      </c>
      <c r="M11" t="s">
        <v>161</v>
      </c>
      <c r="N11" t="s">
        <v>179</v>
      </c>
      <c r="O11" t="s">
        <v>215</v>
      </c>
    </row>
    <row r="12" spans="1:31" x14ac:dyDescent="0.25">
      <c r="A12" t="s">
        <v>100</v>
      </c>
      <c r="B12">
        <v>2021</v>
      </c>
      <c r="C12" t="s">
        <v>343</v>
      </c>
      <c r="D12">
        <v>24</v>
      </c>
      <c r="E12">
        <v>54</v>
      </c>
      <c r="F12">
        <v>9</v>
      </c>
      <c r="G12">
        <v>9</v>
      </c>
      <c r="H12">
        <v>3</v>
      </c>
      <c r="I12">
        <v>0</v>
      </c>
      <c r="J12">
        <v>0</v>
      </c>
      <c r="K12">
        <v>9</v>
      </c>
      <c r="L12">
        <v>17</v>
      </c>
      <c r="M12">
        <v>26</v>
      </c>
      <c r="N12">
        <v>5</v>
      </c>
      <c r="O12">
        <v>0.16700000000000001</v>
      </c>
    </row>
    <row r="13" spans="1:31" x14ac:dyDescent="0.25">
      <c r="A13" t="s">
        <v>366</v>
      </c>
      <c r="B13">
        <v>2019</v>
      </c>
      <c r="C13" t="s">
        <v>223</v>
      </c>
      <c r="E13" t="s">
        <v>367</v>
      </c>
      <c r="F13" t="s">
        <v>236</v>
      </c>
      <c r="G13" t="s">
        <v>173</v>
      </c>
      <c r="I13">
        <v>40</v>
      </c>
      <c r="J13">
        <v>156</v>
      </c>
      <c r="K13">
        <v>129</v>
      </c>
      <c r="L13">
        <v>18</v>
      </c>
      <c r="M13">
        <v>23</v>
      </c>
      <c r="N13">
        <v>3</v>
      </c>
      <c r="O13">
        <v>3</v>
      </c>
      <c r="P13">
        <v>3</v>
      </c>
      <c r="Q13">
        <v>14</v>
      </c>
      <c r="R13">
        <v>5</v>
      </c>
      <c r="S13">
        <v>1</v>
      </c>
      <c r="T13">
        <v>17</v>
      </c>
      <c r="U13">
        <v>29</v>
      </c>
      <c r="V13">
        <v>0.17799999999999999</v>
      </c>
      <c r="W13">
        <v>0.30299999999999999</v>
      </c>
      <c r="X13">
        <v>0.318</v>
      </c>
      <c r="Y13">
        <v>0.621</v>
      </c>
      <c r="Z13">
        <v>41</v>
      </c>
      <c r="AB13">
        <v>7</v>
      </c>
      <c r="AC13">
        <v>1</v>
      </c>
      <c r="AD13">
        <v>2</v>
      </c>
      <c r="AE13">
        <v>0</v>
      </c>
    </row>
    <row r="14" spans="1:31" x14ac:dyDescent="0.25">
      <c r="A14" t="s">
        <v>418</v>
      </c>
      <c r="B14">
        <v>2018</v>
      </c>
      <c r="C14" t="s">
        <v>223</v>
      </c>
      <c r="E14" t="s">
        <v>419</v>
      </c>
      <c r="F14" t="s">
        <v>417</v>
      </c>
      <c r="G14" t="s">
        <v>173</v>
      </c>
      <c r="I14">
        <v>18</v>
      </c>
      <c r="J14">
        <v>48</v>
      </c>
      <c r="K14">
        <v>39</v>
      </c>
      <c r="L14">
        <v>6</v>
      </c>
      <c r="M14">
        <v>5</v>
      </c>
      <c r="N14">
        <v>0</v>
      </c>
      <c r="O14">
        <v>1</v>
      </c>
      <c r="P14">
        <v>1</v>
      </c>
      <c r="Q14">
        <v>5</v>
      </c>
      <c r="R14">
        <v>3</v>
      </c>
      <c r="S14">
        <v>1</v>
      </c>
      <c r="T14">
        <v>5</v>
      </c>
      <c r="U14">
        <v>13</v>
      </c>
      <c r="V14">
        <v>0.128</v>
      </c>
      <c r="W14">
        <v>0.25</v>
      </c>
      <c r="X14">
        <v>0.25600000000000001</v>
      </c>
      <c r="Y14">
        <v>0.50600000000000001</v>
      </c>
      <c r="Z14">
        <v>10</v>
      </c>
      <c r="AB14">
        <v>2</v>
      </c>
      <c r="AC14">
        <v>0</v>
      </c>
      <c r="AD14">
        <v>2</v>
      </c>
      <c r="AE14">
        <v>0</v>
      </c>
    </row>
    <row r="15" spans="1:31" x14ac:dyDescent="0.25">
      <c r="A15" t="s">
        <v>500</v>
      </c>
      <c r="B15">
        <v>2019</v>
      </c>
      <c r="C15">
        <v>18</v>
      </c>
      <c r="D15">
        <v>-2</v>
      </c>
      <c r="E15" t="s">
        <v>502</v>
      </c>
      <c r="F15" t="s">
        <v>501</v>
      </c>
      <c r="G15" t="s">
        <v>173</v>
      </c>
      <c r="I15">
        <v>6</v>
      </c>
      <c r="J15">
        <v>15</v>
      </c>
      <c r="K15">
        <v>14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4</v>
      </c>
      <c r="V15">
        <v>7.0999999999999994E-2</v>
      </c>
      <c r="W15">
        <v>0.13300000000000001</v>
      </c>
      <c r="X15">
        <v>7.0999999999999994E-2</v>
      </c>
      <c r="Y15">
        <v>0.20499999999999999</v>
      </c>
      <c r="Z15">
        <v>1</v>
      </c>
      <c r="AB15">
        <v>0</v>
      </c>
      <c r="AC15">
        <v>0</v>
      </c>
      <c r="AD15">
        <v>0</v>
      </c>
      <c r="AE15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Info</vt:lpstr>
      <vt:lpstr>TEMPLATE</vt:lpstr>
      <vt:lpstr>Altherr</vt:lpstr>
      <vt:lpstr>Batka</vt:lpstr>
      <vt:lpstr>Berghorst</vt:lpstr>
      <vt:lpstr>Bixby</vt:lpstr>
      <vt:lpstr>Braden</vt:lpstr>
      <vt:lpstr>Canar</vt:lpstr>
      <vt:lpstr>Conroy</vt:lpstr>
      <vt:lpstr>Cowan</vt:lpstr>
      <vt:lpstr>Davies</vt:lpstr>
      <vt:lpstr>De La Cruz</vt:lpstr>
      <vt:lpstr>DeCello</vt:lpstr>
      <vt:lpstr>Dolney</vt:lpstr>
      <vt:lpstr>Garcia</vt:lpstr>
      <vt:lpstr>Getz</vt:lpstr>
      <vt:lpstr>Gibbs</vt:lpstr>
      <vt:lpstr>Gomez Jr.</vt:lpstr>
      <vt:lpstr>Grabanski</vt:lpstr>
      <vt:lpstr>Graves</vt:lpstr>
      <vt:lpstr>Habelitz</vt:lpstr>
      <vt:lpstr>Hann</vt:lpstr>
      <vt:lpstr>Hancock</vt:lpstr>
      <vt:lpstr>Jackson</vt:lpstr>
      <vt:lpstr>Kark</vt:lpstr>
      <vt:lpstr>Knorr</vt:lpstr>
      <vt:lpstr>Knust</vt:lpstr>
      <vt:lpstr>Lanoux</vt:lpstr>
      <vt:lpstr>Lycan</vt:lpstr>
      <vt:lpstr>Martin</vt:lpstr>
      <vt:lpstr>Matkin</vt:lpstr>
      <vt:lpstr>Merced</vt:lpstr>
      <vt:lpstr>Meinderts</vt:lpstr>
      <vt:lpstr>Mills</vt:lpstr>
      <vt:lpstr>Newman</vt:lpstr>
      <vt:lpstr>Nichols</vt:lpstr>
      <vt:lpstr>Nies</vt:lpstr>
      <vt:lpstr>Peterson</vt:lpstr>
      <vt:lpstr>Pyatt</vt:lpstr>
      <vt:lpstr>Quinn</vt:lpstr>
      <vt:lpstr>Richardson</vt:lpstr>
      <vt:lpstr>Ross</vt:lpstr>
      <vt:lpstr>Sanchez</vt:lpstr>
      <vt:lpstr>Schaefer</vt:lpstr>
      <vt:lpstr>Sotres</vt:lpstr>
      <vt:lpstr>Stager</vt:lpstr>
      <vt:lpstr>Stich Jr.</vt:lpstr>
      <vt:lpstr>Tejeda</vt:lpstr>
      <vt:lpstr>Tukis</vt:lpstr>
      <vt:lpstr>Vargas</vt:lpstr>
      <vt:lpstr>Weiss</vt:lpstr>
      <vt:lpstr>Whelan</vt:lpstr>
      <vt:lpstr>CoPitchRAW</vt:lpstr>
      <vt:lpstr>CoBatRAW</vt:lpstr>
      <vt:lpstr>SuPitchRAW</vt:lpstr>
      <vt:lpstr>SuBatRAW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Banks</dc:creator>
  <cp:lastModifiedBy>Jack Banks</cp:lastModifiedBy>
  <cp:lastPrinted>2022-05-26T20:03:51Z</cp:lastPrinted>
  <dcterms:created xsi:type="dcterms:W3CDTF">2022-05-18T19:58:45Z</dcterms:created>
  <dcterms:modified xsi:type="dcterms:W3CDTF">2022-07-29T18:42:42Z</dcterms:modified>
</cp:coreProperties>
</file>