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ptop\OneDrive\Desktop\Battle Creek\Championship Odds\"/>
    </mc:Choice>
  </mc:AlternateContent>
  <xr:revisionPtr revIDLastSave="0" documentId="13_ncr:1_{4241AF6B-66D7-4B65-9A17-81FF57A8C1DA}" xr6:coauthVersionLast="47" xr6:coauthVersionMax="47" xr10:uidLastSave="{00000000-0000-0000-0000-000000000000}"/>
  <bookViews>
    <workbookView xWindow="-120" yWindow="-120" windowWidth="20730" windowHeight="11160" xr2:uid="{6DA56C30-253F-48F8-8D1B-FDB0CB89B653}"/>
  </bookViews>
  <sheets>
    <sheet name="Matchups" sheetId="1" r:id="rId1"/>
    <sheet name="Power Rankings" sheetId="12" r:id="rId2"/>
    <sheet name="Teams" sheetId="3" r:id="rId3"/>
    <sheet name="LineupPA" sheetId="11" r:id="rId4"/>
    <sheet name="TVC" sheetId="2" r:id="rId5"/>
    <sheet name="KZO" sheetId="4" r:id="rId6"/>
    <sheet name="WAU" sheetId="5" r:id="rId7"/>
    <sheet name="WIR" sheetId="6" r:id="rId8"/>
    <sheet name="EC" sheetId="7" r:id="rId9"/>
    <sheet name="DUL" sheetId="8" r:id="rId10"/>
    <sheet name="WIL" sheetId="9" r:id="rId11"/>
    <sheet name="STC" sheetId="10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5" l="1"/>
  <c r="B31" i="10"/>
  <c r="B31" i="9"/>
  <c r="B31" i="8"/>
  <c r="B31" i="7"/>
  <c r="B31" i="6"/>
  <c r="B31" i="4"/>
  <c r="B31" i="2"/>
  <c r="L45" i="5"/>
  <c r="L46" i="5"/>
  <c r="J43" i="10"/>
  <c r="L43" i="10" s="1"/>
  <c r="J44" i="10"/>
  <c r="L44" i="10" s="1"/>
  <c r="J45" i="10"/>
  <c r="L45" i="10" s="1"/>
  <c r="J46" i="10"/>
  <c r="L46" i="10" s="1"/>
  <c r="J47" i="10"/>
  <c r="L47" i="10" s="1"/>
  <c r="J43" i="9"/>
  <c r="L43" i="9" s="1"/>
  <c r="J44" i="9"/>
  <c r="L44" i="9"/>
  <c r="J45" i="9"/>
  <c r="L45" i="9" s="1"/>
  <c r="J43" i="8"/>
  <c r="L43" i="8" s="1"/>
  <c r="J44" i="8"/>
  <c r="L44" i="8" s="1"/>
  <c r="J45" i="8"/>
  <c r="L45" i="8" s="1"/>
  <c r="J42" i="4"/>
  <c r="L42" i="4" s="1"/>
  <c r="J43" i="4"/>
  <c r="L43" i="4"/>
  <c r="J44" i="4"/>
  <c r="L44" i="4" s="1"/>
  <c r="J45" i="4"/>
  <c r="L45" i="4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33" i="7"/>
  <c r="L33" i="7" s="1"/>
  <c r="J41" i="6"/>
  <c r="J42" i="6"/>
  <c r="J43" i="6"/>
  <c r="L34" i="6"/>
  <c r="L35" i="6"/>
  <c r="L36" i="6"/>
  <c r="L37" i="6"/>
  <c r="L38" i="6"/>
  <c r="L39" i="6"/>
  <c r="L40" i="6"/>
  <c r="L41" i="6"/>
  <c r="L42" i="6"/>
  <c r="L43" i="6"/>
  <c r="J41" i="5"/>
  <c r="L41" i="5" s="1"/>
  <c r="J42" i="5"/>
  <c r="L42" i="5" s="1"/>
  <c r="J43" i="5"/>
  <c r="L43" i="5" s="1"/>
  <c r="J44" i="5"/>
  <c r="L44" i="5" s="1"/>
  <c r="J33" i="5"/>
  <c r="J34" i="5"/>
  <c r="J35" i="5"/>
  <c r="J36" i="5"/>
  <c r="J37" i="5"/>
  <c r="J38" i="5"/>
  <c r="J39" i="5"/>
  <c r="J40" i="5"/>
  <c r="J42" i="10"/>
  <c r="J41" i="10"/>
  <c r="L41" i="10" s="1"/>
  <c r="J40" i="10"/>
  <c r="J39" i="10"/>
  <c r="L39" i="10" s="1"/>
  <c r="J38" i="10"/>
  <c r="J37" i="10"/>
  <c r="L37" i="10" s="1"/>
  <c r="J36" i="10"/>
  <c r="L36" i="10" s="1"/>
  <c r="J35" i="10"/>
  <c r="L35" i="10" s="1"/>
  <c r="J34" i="10"/>
  <c r="J33" i="10"/>
  <c r="L33" i="10" s="1"/>
  <c r="J19" i="10"/>
  <c r="J18" i="10"/>
  <c r="J17" i="10"/>
  <c r="M17" i="10" s="1"/>
  <c r="J16" i="10"/>
  <c r="M16" i="10" s="1"/>
  <c r="J15" i="10"/>
  <c r="M15" i="10" s="1"/>
  <c r="J14" i="10"/>
  <c r="J13" i="10"/>
  <c r="M13" i="10" s="1"/>
  <c r="J12" i="10"/>
  <c r="M12" i="10" s="1"/>
  <c r="J11" i="10"/>
  <c r="J10" i="10"/>
  <c r="J9" i="10"/>
  <c r="M9" i="10" s="1"/>
  <c r="J8" i="10"/>
  <c r="M8" i="10" s="1"/>
  <c r="J7" i="10"/>
  <c r="J6" i="10"/>
  <c r="L6" i="10" s="1"/>
  <c r="J5" i="10"/>
  <c r="M5" i="10" s="1"/>
  <c r="J4" i="10"/>
  <c r="M4" i="10" s="1"/>
  <c r="J3" i="10"/>
  <c r="M3" i="10" s="1"/>
  <c r="J2" i="10"/>
  <c r="M2" i="10" s="1"/>
  <c r="J42" i="9"/>
  <c r="L42" i="9" s="1"/>
  <c r="J41" i="9"/>
  <c r="J40" i="9"/>
  <c r="L40" i="9" s="1"/>
  <c r="J39" i="9"/>
  <c r="L39" i="9" s="1"/>
  <c r="J38" i="9"/>
  <c r="L38" i="9" s="1"/>
  <c r="J37" i="9"/>
  <c r="J36" i="9"/>
  <c r="J35" i="9"/>
  <c r="L35" i="9" s="1"/>
  <c r="J34" i="9"/>
  <c r="J33" i="9"/>
  <c r="L33" i="9" s="1"/>
  <c r="J15" i="9"/>
  <c r="M15" i="9" s="1"/>
  <c r="J14" i="9"/>
  <c r="L14" i="9" s="1"/>
  <c r="J13" i="9"/>
  <c r="J12" i="9"/>
  <c r="L12" i="9" s="1"/>
  <c r="J11" i="9"/>
  <c r="M11" i="9" s="1"/>
  <c r="J10" i="9"/>
  <c r="M10" i="9" s="1"/>
  <c r="J9" i="9"/>
  <c r="J8" i="9"/>
  <c r="L8" i="9" s="1"/>
  <c r="J7" i="9"/>
  <c r="M7" i="9" s="1"/>
  <c r="L6" i="9"/>
  <c r="J5" i="9"/>
  <c r="J4" i="9"/>
  <c r="J3" i="9"/>
  <c r="M3" i="9" s="1"/>
  <c r="J2" i="9"/>
  <c r="J42" i="8"/>
  <c r="L42" i="8" s="1"/>
  <c r="J41" i="8"/>
  <c r="J40" i="8"/>
  <c r="L40" i="8" s="1"/>
  <c r="J39" i="8"/>
  <c r="L39" i="8" s="1"/>
  <c r="J38" i="8"/>
  <c r="L38" i="8" s="1"/>
  <c r="J37" i="8"/>
  <c r="J36" i="8"/>
  <c r="J35" i="8"/>
  <c r="L35" i="8" s="1"/>
  <c r="J34" i="8"/>
  <c r="J33" i="8"/>
  <c r="L33" i="8" s="1"/>
  <c r="J17" i="8"/>
  <c r="J16" i="8"/>
  <c r="L16" i="8" s="1"/>
  <c r="J15" i="8"/>
  <c r="M15" i="8" s="1"/>
  <c r="J14" i="8"/>
  <c r="L14" i="8" s="1"/>
  <c r="J13" i="8"/>
  <c r="J12" i="8"/>
  <c r="L12" i="8" s="1"/>
  <c r="J11" i="8"/>
  <c r="M11" i="8" s="1"/>
  <c r="J10" i="8"/>
  <c r="M10" i="8" s="1"/>
  <c r="J9" i="8"/>
  <c r="J8" i="8"/>
  <c r="L8" i="8" s="1"/>
  <c r="J7" i="8"/>
  <c r="M7" i="8" s="1"/>
  <c r="J6" i="8"/>
  <c r="M6" i="8" s="1"/>
  <c r="J5" i="8"/>
  <c r="J4" i="8"/>
  <c r="J3" i="8"/>
  <c r="M3" i="8" s="1"/>
  <c r="J2" i="8"/>
  <c r="J16" i="7"/>
  <c r="L16" i="7" s="1"/>
  <c r="J15" i="7"/>
  <c r="M15" i="7" s="1"/>
  <c r="J14" i="7"/>
  <c r="M14" i="7" s="1"/>
  <c r="J13" i="7"/>
  <c r="J12" i="7"/>
  <c r="L12" i="7" s="1"/>
  <c r="J11" i="7"/>
  <c r="M11" i="7" s="1"/>
  <c r="J10" i="7"/>
  <c r="M10" i="7" s="1"/>
  <c r="J9" i="7"/>
  <c r="J8" i="7"/>
  <c r="L8" i="7" s="1"/>
  <c r="J7" i="7"/>
  <c r="M7" i="7" s="1"/>
  <c r="J6" i="7"/>
  <c r="L6" i="7" s="1"/>
  <c r="J5" i="7"/>
  <c r="J4" i="7"/>
  <c r="J3" i="7"/>
  <c r="M3" i="7" s="1"/>
  <c r="J2" i="7"/>
  <c r="J40" i="6"/>
  <c r="J39" i="6"/>
  <c r="J38" i="6"/>
  <c r="J37" i="6"/>
  <c r="J36" i="6"/>
  <c r="J35" i="6"/>
  <c r="J34" i="6"/>
  <c r="J33" i="6"/>
  <c r="L33" i="6" s="1"/>
  <c r="J16" i="6"/>
  <c r="L16" i="6" s="1"/>
  <c r="J15" i="6"/>
  <c r="M15" i="6" s="1"/>
  <c r="J14" i="6"/>
  <c r="M14" i="6" s="1"/>
  <c r="J13" i="6"/>
  <c r="J12" i="6"/>
  <c r="L12" i="6" s="1"/>
  <c r="J11" i="6"/>
  <c r="M11" i="6" s="1"/>
  <c r="J10" i="6"/>
  <c r="M10" i="6" s="1"/>
  <c r="J9" i="6"/>
  <c r="J8" i="6"/>
  <c r="L8" i="6" s="1"/>
  <c r="J7" i="6"/>
  <c r="M7" i="6" s="1"/>
  <c r="J6" i="6"/>
  <c r="M6" i="6" s="1"/>
  <c r="J5" i="6"/>
  <c r="J4" i="6"/>
  <c r="J3" i="6"/>
  <c r="M3" i="6" s="1"/>
  <c r="J2" i="6"/>
  <c r="L39" i="5"/>
  <c r="L36" i="5"/>
  <c r="L33" i="5"/>
  <c r="J19" i="5"/>
  <c r="J18" i="5"/>
  <c r="J17" i="5"/>
  <c r="M17" i="5" s="1"/>
  <c r="J16" i="5"/>
  <c r="L16" i="5" s="1"/>
  <c r="J15" i="5"/>
  <c r="M15" i="5" s="1"/>
  <c r="J14" i="5"/>
  <c r="J13" i="5"/>
  <c r="M13" i="5" s="1"/>
  <c r="J12" i="5"/>
  <c r="J11" i="5"/>
  <c r="M11" i="5" s="1"/>
  <c r="J10" i="5"/>
  <c r="J9" i="5"/>
  <c r="M9" i="5" s="1"/>
  <c r="J8" i="5"/>
  <c r="J7" i="5"/>
  <c r="M7" i="5" s="1"/>
  <c r="J6" i="5"/>
  <c r="M6" i="5" s="1"/>
  <c r="J5" i="5"/>
  <c r="J4" i="5"/>
  <c r="M4" i="5" s="1"/>
  <c r="J3" i="5"/>
  <c r="L3" i="5" s="1"/>
  <c r="J2" i="5"/>
  <c r="M2" i="5" s="1"/>
  <c r="J41" i="4"/>
  <c r="J40" i="4"/>
  <c r="J39" i="4"/>
  <c r="J38" i="4"/>
  <c r="J37" i="4"/>
  <c r="J36" i="4"/>
  <c r="J35" i="4"/>
  <c r="J34" i="4"/>
  <c r="J33" i="4"/>
  <c r="L33" i="4" s="1"/>
  <c r="J18" i="4"/>
  <c r="J17" i="4"/>
  <c r="J16" i="4"/>
  <c r="L16" i="4" s="1"/>
  <c r="J14" i="4"/>
  <c r="M14" i="4" s="1"/>
  <c r="J13" i="4"/>
  <c r="J12" i="4"/>
  <c r="L12" i="4" s="1"/>
  <c r="J11" i="4"/>
  <c r="L11" i="4" s="1"/>
  <c r="J10" i="4"/>
  <c r="L10" i="4" s="1"/>
  <c r="J9" i="4"/>
  <c r="J8" i="4"/>
  <c r="L8" i="4" s="1"/>
  <c r="J7" i="4"/>
  <c r="L7" i="4" s="1"/>
  <c r="J6" i="4"/>
  <c r="M6" i="4" s="1"/>
  <c r="J5" i="4"/>
  <c r="J4" i="4"/>
  <c r="J3" i="4"/>
  <c r="M3" i="4" s="1"/>
  <c r="J2" i="4"/>
  <c r="L38" i="2"/>
  <c r="J44" i="2"/>
  <c r="J43" i="2"/>
  <c r="J42" i="2"/>
  <c r="J41" i="2"/>
  <c r="J40" i="2"/>
  <c r="J39" i="2"/>
  <c r="J38" i="2"/>
  <c r="J37" i="2"/>
  <c r="J36" i="2"/>
  <c r="J35" i="2"/>
  <c r="L35" i="2" s="1"/>
  <c r="J34" i="2"/>
  <c r="L34" i="2" s="1"/>
  <c r="J33" i="2"/>
  <c r="L33" i="2" s="1"/>
  <c r="J19" i="2"/>
  <c r="L19" i="2" s="1"/>
  <c r="J18" i="2"/>
  <c r="L18" i="2" s="1"/>
  <c r="J17" i="2"/>
  <c r="L17" i="2" s="1"/>
  <c r="J16" i="2"/>
  <c r="M16" i="2" s="1"/>
  <c r="J15" i="2"/>
  <c r="L15" i="2" s="1"/>
  <c r="J14" i="2"/>
  <c r="L14" i="2" s="1"/>
  <c r="J13" i="2"/>
  <c r="J12" i="2"/>
  <c r="L12" i="2" s="1"/>
  <c r="J11" i="2"/>
  <c r="L11" i="2" s="1"/>
  <c r="J10" i="2"/>
  <c r="L10" i="2" s="1"/>
  <c r="J9" i="2"/>
  <c r="L9" i="2" s="1"/>
  <c r="J8" i="2"/>
  <c r="M8" i="2" s="1"/>
  <c r="J7" i="2"/>
  <c r="L7" i="2" s="1"/>
  <c r="J6" i="2"/>
  <c r="L6" i="2" s="1"/>
  <c r="J5" i="2"/>
  <c r="J4" i="2"/>
  <c r="L4" i="2" s="1"/>
  <c r="J3" i="2"/>
  <c r="L3" i="2" s="1"/>
  <c r="J2" i="2"/>
  <c r="L16" i="10" l="1"/>
  <c r="L12" i="10"/>
  <c r="L3" i="10"/>
  <c r="L8" i="10"/>
  <c r="L5" i="10"/>
  <c r="M6" i="9"/>
  <c r="M14" i="9"/>
  <c r="M8" i="9"/>
  <c r="L10" i="9"/>
  <c r="M12" i="9"/>
  <c r="L10" i="8"/>
  <c r="M14" i="8"/>
  <c r="M12" i="8"/>
  <c r="M8" i="8"/>
  <c r="L6" i="8"/>
  <c r="M16" i="8"/>
  <c r="M6" i="7"/>
  <c r="L14" i="7"/>
  <c r="L10" i="7"/>
  <c r="L10" i="6"/>
  <c r="L6" i="6"/>
  <c r="L14" i="6"/>
  <c r="L8" i="5"/>
  <c r="M3" i="5"/>
  <c r="M8" i="5"/>
  <c r="L12" i="5"/>
  <c r="M12" i="5"/>
  <c r="M16" i="5"/>
  <c r="L18" i="5"/>
  <c r="L38" i="4"/>
  <c r="L35" i="4"/>
  <c r="L40" i="4"/>
  <c r="L7" i="10"/>
  <c r="L11" i="10"/>
  <c r="L15" i="10"/>
  <c r="L19" i="10"/>
  <c r="M19" i="10"/>
  <c r="M6" i="10"/>
  <c r="L10" i="10"/>
  <c r="L14" i="10"/>
  <c r="L18" i="10"/>
  <c r="L38" i="10"/>
  <c r="M7" i="10"/>
  <c r="M11" i="10"/>
  <c r="M10" i="10"/>
  <c r="M14" i="10"/>
  <c r="M18" i="10"/>
  <c r="L2" i="10"/>
  <c r="L4" i="10"/>
  <c r="L9" i="10"/>
  <c r="L13" i="10"/>
  <c r="L17" i="10"/>
  <c r="L34" i="10"/>
  <c r="L40" i="10"/>
  <c r="L42" i="10"/>
  <c r="L7" i="9"/>
  <c r="L11" i="9"/>
  <c r="L15" i="9"/>
  <c r="L36" i="9"/>
  <c r="L41" i="9"/>
  <c r="L13" i="9"/>
  <c r="L34" i="9"/>
  <c r="L9" i="9"/>
  <c r="M2" i="9"/>
  <c r="L3" i="9"/>
  <c r="M4" i="9"/>
  <c r="M13" i="9"/>
  <c r="L37" i="9"/>
  <c r="L5" i="9"/>
  <c r="L2" i="9"/>
  <c r="L4" i="9"/>
  <c r="M5" i="9"/>
  <c r="M9" i="9"/>
  <c r="L7" i="8"/>
  <c r="L11" i="8"/>
  <c r="L15" i="8"/>
  <c r="L36" i="8"/>
  <c r="L41" i="8"/>
  <c r="L5" i="8"/>
  <c r="L13" i="8"/>
  <c r="L17" i="8"/>
  <c r="L34" i="8"/>
  <c r="L2" i="8"/>
  <c r="L4" i="8"/>
  <c r="M5" i="8"/>
  <c r="L9" i="8"/>
  <c r="M2" i="8"/>
  <c r="L3" i="8"/>
  <c r="M4" i="8"/>
  <c r="M13" i="8"/>
  <c r="L37" i="8"/>
  <c r="M9" i="8"/>
  <c r="M17" i="8"/>
  <c r="M8" i="7"/>
  <c r="M12" i="7"/>
  <c r="M16" i="7"/>
  <c r="L7" i="7"/>
  <c r="L11" i="7"/>
  <c r="L15" i="7"/>
  <c r="L5" i="7"/>
  <c r="L13" i="7"/>
  <c r="M2" i="7"/>
  <c r="L3" i="7"/>
  <c r="M4" i="7"/>
  <c r="L2" i="7"/>
  <c r="L4" i="7"/>
  <c r="M5" i="7"/>
  <c r="L9" i="7"/>
  <c r="M9" i="7"/>
  <c r="M13" i="7"/>
  <c r="L2" i="6"/>
  <c r="L4" i="6"/>
  <c r="M5" i="6"/>
  <c r="L9" i="6"/>
  <c r="L13" i="6"/>
  <c r="M2" i="6"/>
  <c r="M4" i="6"/>
  <c r="M9" i="6"/>
  <c r="M13" i="6"/>
  <c r="M8" i="6"/>
  <c r="M12" i="6"/>
  <c r="M16" i="6"/>
  <c r="L7" i="6"/>
  <c r="L11" i="6"/>
  <c r="L15" i="6"/>
  <c r="L3" i="6"/>
  <c r="L5" i="6"/>
  <c r="M19" i="5"/>
  <c r="L35" i="5"/>
  <c r="L19" i="5"/>
  <c r="L38" i="5"/>
  <c r="L11" i="5"/>
  <c r="L15" i="5"/>
  <c r="L5" i="5"/>
  <c r="M10" i="5"/>
  <c r="M14" i="5"/>
  <c r="M18" i="5"/>
  <c r="L7" i="5"/>
  <c r="L6" i="5"/>
  <c r="L10" i="5"/>
  <c r="L2" i="5"/>
  <c r="L4" i="5"/>
  <c r="M5" i="5"/>
  <c r="L9" i="5"/>
  <c r="L13" i="5"/>
  <c r="L17" i="5"/>
  <c r="L34" i="5"/>
  <c r="L40" i="5"/>
  <c r="L14" i="5"/>
  <c r="L37" i="5"/>
  <c r="M7" i="4"/>
  <c r="M11" i="4"/>
  <c r="L6" i="4"/>
  <c r="L14" i="4"/>
  <c r="L18" i="4"/>
  <c r="L5" i="4"/>
  <c r="M18" i="4"/>
  <c r="L13" i="4"/>
  <c r="L34" i="4"/>
  <c r="M13" i="4"/>
  <c r="M17" i="4"/>
  <c r="L37" i="4"/>
  <c r="M8" i="4"/>
  <c r="M12" i="4"/>
  <c r="M16" i="4"/>
  <c r="L39" i="4"/>
  <c r="L36" i="4"/>
  <c r="L41" i="4"/>
  <c r="M10" i="4"/>
  <c r="L2" i="4"/>
  <c r="L4" i="4"/>
  <c r="M5" i="4"/>
  <c r="L9" i="4"/>
  <c r="L17" i="4"/>
  <c r="M2" i="4"/>
  <c r="L3" i="4"/>
  <c r="M4" i="4"/>
  <c r="M9" i="4"/>
  <c r="M2" i="2"/>
  <c r="L16" i="2"/>
  <c r="M13" i="2"/>
  <c r="L8" i="2"/>
  <c r="M5" i="2"/>
  <c r="M18" i="2"/>
  <c r="L13" i="2"/>
  <c r="M10" i="2"/>
  <c r="L5" i="2"/>
  <c r="L2" i="2"/>
  <c r="M15" i="2"/>
  <c r="M7" i="2"/>
  <c r="M12" i="2"/>
  <c r="M4" i="2"/>
  <c r="M17" i="2"/>
  <c r="M9" i="2"/>
  <c r="M14" i="2"/>
  <c r="M6" i="2"/>
  <c r="M19" i="2"/>
  <c r="M11" i="2"/>
  <c r="M3" i="2"/>
  <c r="L37" i="2"/>
  <c r="L42" i="2"/>
  <c r="L41" i="2"/>
  <c r="L39" i="2"/>
  <c r="L43" i="2"/>
  <c r="L36" i="2"/>
  <c r="L40" i="2"/>
  <c r="L44" i="2"/>
  <c r="N19" i="2" l="1"/>
  <c r="D2" i="11" l="1"/>
  <c r="B6" i="11" s="1"/>
  <c r="B7" i="11"/>
  <c r="B8" i="11"/>
  <c r="B5" i="11" l="1"/>
  <c r="B9" i="11"/>
  <c r="B4" i="11"/>
  <c r="B3" i="11"/>
  <c r="B1" i="11"/>
  <c r="B2" i="11"/>
  <c r="D5" i="11"/>
  <c r="N8" i="5" l="1"/>
  <c r="N19" i="10"/>
  <c r="N17" i="5" l="1"/>
  <c r="N2" i="5"/>
  <c r="N10" i="2" l="1"/>
  <c r="N5" i="5"/>
  <c r="N16" i="5" l="1"/>
  <c r="N14" i="5" l="1"/>
  <c r="N9" i="6" l="1"/>
  <c r="N9" i="9"/>
  <c r="N9" i="2"/>
  <c r="N13" i="5"/>
  <c r="N18" i="5"/>
  <c r="N10" i="7"/>
  <c r="N18" i="4"/>
  <c r="N10" i="6"/>
  <c r="N6" i="4"/>
  <c r="N7" i="4"/>
  <c r="N12" i="4"/>
  <c r="N4" i="4"/>
  <c r="N10" i="10"/>
  <c r="N7" i="5"/>
  <c r="N13" i="4"/>
  <c r="N10" i="9"/>
  <c r="N4" i="5"/>
  <c r="N6" i="5"/>
  <c r="N10" i="5"/>
  <c r="N16" i="4"/>
  <c r="N14" i="4"/>
  <c r="N3" i="4"/>
  <c r="N9" i="7"/>
  <c r="N8" i="4"/>
  <c r="N3" i="5"/>
  <c r="N10" i="8"/>
  <c r="N2" i="4"/>
  <c r="N11" i="4"/>
  <c r="N9" i="10"/>
  <c r="N15" i="5"/>
  <c r="N10" i="4"/>
  <c r="N9" i="4"/>
  <c r="N5" i="4"/>
  <c r="N9" i="8"/>
  <c r="N3" i="8" l="1"/>
  <c r="N3" i="9"/>
  <c r="N3" i="10"/>
  <c r="N3" i="7"/>
  <c r="N3" i="2"/>
  <c r="N3" i="6"/>
  <c r="N19" i="5"/>
  <c r="N12" i="7"/>
  <c r="N12" i="10"/>
  <c r="N12" i="2"/>
  <c r="N12" i="8"/>
  <c r="N12" i="6"/>
  <c r="N12" i="9"/>
  <c r="N17" i="4"/>
  <c r="N6" i="9"/>
  <c r="N6" i="10"/>
  <c r="N6" i="6"/>
  <c r="N6" i="7"/>
  <c r="N6" i="8"/>
  <c r="N6" i="2"/>
  <c r="N15" i="9"/>
  <c r="N15" i="7"/>
  <c r="N15" i="6"/>
  <c r="N15" i="8"/>
  <c r="N15" i="2"/>
  <c r="N15" i="10"/>
  <c r="N8" i="2"/>
  <c r="N8" i="10"/>
  <c r="N8" i="8"/>
  <c r="N8" i="6"/>
  <c r="N8" i="9"/>
  <c r="N8" i="7"/>
  <c r="N14" i="8"/>
  <c r="N14" i="6"/>
  <c r="N14" i="7"/>
  <c r="N14" i="9"/>
  <c r="N14" i="2"/>
  <c r="N14" i="10"/>
  <c r="N17" i="10"/>
  <c r="N17" i="8"/>
  <c r="N17" i="2"/>
  <c r="N11" i="5"/>
  <c r="N13" i="10"/>
  <c r="N13" i="6"/>
  <c r="N13" i="8"/>
  <c r="N13" i="7"/>
  <c r="N13" i="9"/>
  <c r="N13" i="2"/>
  <c r="N11" i="8"/>
  <c r="N11" i="6"/>
  <c r="N11" i="7"/>
  <c r="N11" i="9"/>
  <c r="N11" i="2"/>
  <c r="N11" i="10"/>
  <c r="N16" i="7"/>
  <c r="N16" i="6"/>
  <c r="N16" i="8"/>
  <c r="N16" i="10"/>
  <c r="N16" i="2"/>
  <c r="N5" i="10"/>
  <c r="N5" i="9"/>
  <c r="N5" i="7"/>
  <c r="N5" i="6"/>
  <c r="N5" i="8"/>
  <c r="N5" i="2"/>
  <c r="N18" i="2"/>
  <c r="N18" i="10"/>
  <c r="N9" i="5"/>
  <c r="N4" i="10"/>
  <c r="N4" i="2"/>
  <c r="N4" i="9"/>
  <c r="N4" i="7"/>
  <c r="N4" i="6"/>
  <c r="N4" i="8"/>
  <c r="N12" i="5"/>
  <c r="N2" i="10"/>
  <c r="N2" i="8"/>
  <c r="N2" i="2"/>
  <c r="N2" i="7"/>
  <c r="N2" i="9"/>
  <c r="N2" i="6"/>
  <c r="N7" i="6"/>
  <c r="N7" i="8"/>
  <c r="N7" i="7"/>
  <c r="N7" i="9"/>
  <c r="N7" i="10"/>
  <c r="N7" i="2"/>
  <c r="O8" i="5" l="1"/>
  <c r="O2" i="5"/>
  <c r="P2" i="5" s="1"/>
  <c r="O17" i="5"/>
  <c r="P17" i="5" s="1"/>
  <c r="O5" i="5"/>
  <c r="O16" i="5"/>
  <c r="P16" i="5" s="1"/>
  <c r="O9" i="4"/>
  <c r="P9" i="4" s="1"/>
  <c r="O13" i="4"/>
  <c r="P13" i="4" s="1"/>
  <c r="O19" i="10" l="1"/>
  <c r="P19" i="10" s="1"/>
  <c r="O19" i="2"/>
  <c r="P19" i="2" s="1"/>
  <c r="P5" i="5"/>
  <c r="O10" i="2"/>
  <c r="P10" i="2" s="1"/>
  <c r="P8" i="5"/>
  <c r="M35" i="10" l="1"/>
  <c r="M34" i="7"/>
  <c r="N34" i="7" s="1"/>
  <c r="M47" i="7"/>
  <c r="N47" i="7" s="1"/>
  <c r="O47" i="7" s="1"/>
  <c r="M37" i="7"/>
  <c r="N37" i="7" s="1"/>
  <c r="O37" i="7" s="1"/>
  <c r="M46" i="10"/>
  <c r="N46" i="10" s="1"/>
  <c r="O46" i="10" s="1"/>
  <c r="M38" i="4"/>
  <c r="N35" i="10" l="1"/>
  <c r="O35" i="10"/>
  <c r="N38" i="4"/>
  <c r="O38" i="4"/>
  <c r="M44" i="2"/>
  <c r="O44" i="2" l="1"/>
  <c r="N44" i="2"/>
  <c r="O16" i="4" l="1"/>
  <c r="P16" i="4" s="1"/>
  <c r="M35" i="7"/>
  <c r="N35" i="7" s="1"/>
  <c r="O35" i="7" s="1"/>
  <c r="M45" i="9"/>
  <c r="N45" i="9" s="1"/>
  <c r="O45" i="9" s="1"/>
  <c r="M33" i="7"/>
  <c r="N33" i="7" s="1"/>
  <c r="M40" i="7"/>
  <c r="N40" i="7" s="1"/>
  <c r="O40" i="7" s="1"/>
  <c r="O6" i="4"/>
  <c r="P6" i="4" s="1"/>
  <c r="O10" i="6"/>
  <c r="P10" i="6" s="1"/>
  <c r="O15" i="5"/>
  <c r="P15" i="5" s="1"/>
  <c r="O10" i="7"/>
  <c r="O3" i="5"/>
  <c r="O12" i="5"/>
  <c r="S3" i="5" s="1"/>
  <c r="O10" i="8"/>
  <c r="P10" i="8" s="1"/>
  <c r="M43" i="10"/>
  <c r="M43" i="9"/>
  <c r="N43" i="9" s="1"/>
  <c r="O43" i="9" s="1"/>
  <c r="M34" i="6"/>
  <c r="N34" i="6" s="1"/>
  <c r="O34" i="6" s="1"/>
  <c r="M43" i="4"/>
  <c r="N43" i="4" s="1"/>
  <c r="O43" i="4" s="1"/>
  <c r="M40" i="6"/>
  <c r="N40" i="6" s="1"/>
  <c r="O40" i="6" s="1"/>
  <c r="M44" i="4"/>
  <c r="N44" i="4" s="1"/>
  <c r="O44" i="4" s="1"/>
  <c r="M41" i="5"/>
  <c r="M35" i="4"/>
  <c r="N35" i="4" s="1"/>
  <c r="O35" i="4" s="1"/>
  <c r="M46" i="7"/>
  <c r="N46" i="7" s="1"/>
  <c r="O46" i="7" s="1"/>
  <c r="M36" i="4"/>
  <c r="N36" i="4" s="1"/>
  <c r="O36" i="4" s="1"/>
  <c r="M41" i="6"/>
  <c r="N41" i="6" s="1"/>
  <c r="O41" i="6" s="1"/>
  <c r="M45" i="7"/>
  <c r="N45" i="7" s="1"/>
  <c r="O45" i="7" s="1"/>
  <c r="M38" i="7"/>
  <c r="N38" i="7" s="1"/>
  <c r="O38" i="7" s="1"/>
  <c r="M47" i="10"/>
  <c r="N47" i="10" s="1"/>
  <c r="O47" i="10" s="1"/>
  <c r="M39" i="6"/>
  <c r="M33" i="4"/>
  <c r="M37" i="6"/>
  <c r="N37" i="6" s="1"/>
  <c r="O37" i="6" s="1"/>
  <c r="M41" i="7"/>
  <c r="N41" i="7" s="1"/>
  <c r="O41" i="7" s="1"/>
  <c r="M42" i="7"/>
  <c r="N42" i="7" s="1"/>
  <c r="O42" i="7" s="1"/>
  <c r="M36" i="6"/>
  <c r="M44" i="5"/>
  <c r="N44" i="5" s="1"/>
  <c r="O44" i="5" s="1"/>
  <c r="M42" i="4"/>
  <c r="O9" i="5"/>
  <c r="P9" i="5" s="1"/>
  <c r="O14" i="5"/>
  <c r="P14" i="5" s="1"/>
  <c r="O14" i="4"/>
  <c r="P14" i="4" s="1"/>
  <c r="O10" i="5"/>
  <c r="P10" i="5" s="1"/>
  <c r="O8" i="4"/>
  <c r="P8" i="4" s="1"/>
  <c r="O10" i="10"/>
  <c r="M43" i="6"/>
  <c r="N43" i="6" s="1"/>
  <c r="O43" i="6" s="1"/>
  <c r="M34" i="4"/>
  <c r="N34" i="4" s="1"/>
  <c r="O34" i="4" s="1"/>
  <c r="O18" i="4"/>
  <c r="P18" i="4" s="1"/>
  <c r="M42" i="6"/>
  <c r="M45" i="5"/>
  <c r="N45" i="5" s="1"/>
  <c r="O45" i="5" s="1"/>
  <c r="M46" i="5"/>
  <c r="M37" i="4"/>
  <c r="M43" i="7"/>
  <c r="N43" i="7" s="1"/>
  <c r="O43" i="7" s="1"/>
  <c r="M43" i="5"/>
  <c r="N43" i="5" s="1"/>
  <c r="O43" i="5" s="1"/>
  <c r="M44" i="7"/>
  <c r="N44" i="7" s="1"/>
  <c r="O44" i="7" s="1"/>
  <c r="M42" i="10"/>
  <c r="M45" i="4"/>
  <c r="M44" i="10"/>
  <c r="M43" i="8"/>
  <c r="M39" i="4"/>
  <c r="O5" i="4"/>
  <c r="S2" i="4" s="1"/>
  <c r="M45" i="8"/>
  <c r="N45" i="8" s="1"/>
  <c r="O45" i="8" s="1"/>
  <c r="M38" i="6"/>
  <c r="M44" i="8"/>
  <c r="N44" i="8" s="1"/>
  <c r="O44" i="8" s="1"/>
  <c r="M45" i="10"/>
  <c r="N45" i="10" s="1"/>
  <c r="O45" i="10" s="1"/>
  <c r="O2" i="4"/>
  <c r="P2" i="4" s="1"/>
  <c r="O4" i="4"/>
  <c r="P4" i="4" s="1"/>
  <c r="O10" i="4"/>
  <c r="S3" i="4" s="1"/>
  <c r="O19" i="5"/>
  <c r="S4" i="5" s="1"/>
  <c r="O6" i="5"/>
  <c r="P6" i="5" s="1"/>
  <c r="O11" i="4"/>
  <c r="S4" i="4" s="1"/>
  <c r="O4" i="5"/>
  <c r="P4" i="5" s="1"/>
  <c r="O11" i="5"/>
  <c r="P11" i="5" s="1"/>
  <c r="O12" i="4"/>
  <c r="P12" i="4" s="1"/>
  <c r="O3" i="4"/>
  <c r="P3" i="4" s="1"/>
  <c r="O7" i="4"/>
  <c r="P7" i="4" s="1"/>
  <c r="O18" i="5"/>
  <c r="P18" i="5" s="1"/>
  <c r="O7" i="5"/>
  <c r="P7" i="5" s="1"/>
  <c r="O17" i="4"/>
  <c r="P17" i="4" s="1"/>
  <c r="M35" i="6"/>
  <c r="N35" i="6" s="1"/>
  <c r="O35" i="6" s="1"/>
  <c r="M42" i="9"/>
  <c r="N42" i="9" s="1"/>
  <c r="O42" i="9" s="1"/>
  <c r="O10" i="9"/>
  <c r="P10" i="9" s="1"/>
  <c r="O13" i="5"/>
  <c r="M41" i="4"/>
  <c r="M44" i="9"/>
  <c r="N44" i="9" s="1"/>
  <c r="O44" i="9" s="1"/>
  <c r="M39" i="7"/>
  <c r="N39" i="7" s="1"/>
  <c r="O39" i="7" s="1"/>
  <c r="M42" i="5"/>
  <c r="M36" i="7"/>
  <c r="N36" i="7" s="1"/>
  <c r="O36" i="7" s="1"/>
  <c r="M40" i="4"/>
  <c r="N40" i="4" s="1"/>
  <c r="O40" i="4" s="1"/>
  <c r="M42" i="8"/>
  <c r="N42" i="8" s="1"/>
  <c r="O42" i="8" s="1"/>
  <c r="T2" i="4" l="1"/>
  <c r="N43" i="8"/>
  <c r="O43" i="8"/>
  <c r="N42" i="6"/>
  <c r="O42" i="6"/>
  <c r="P10" i="10"/>
  <c r="S4" i="10"/>
  <c r="O33" i="7"/>
  <c r="R33" i="7" s="1"/>
  <c r="C6" i="3" s="1"/>
  <c r="Q33" i="7"/>
  <c r="B6" i="3" s="1"/>
  <c r="N39" i="4"/>
  <c r="O39" i="4"/>
  <c r="N45" i="4"/>
  <c r="O45" i="4"/>
  <c r="P13" i="5"/>
  <c r="S2" i="5"/>
  <c r="N37" i="4"/>
  <c r="O37" i="4"/>
  <c r="N42" i="5"/>
  <c r="O42" i="5"/>
  <c r="N36" i="6"/>
  <c r="O36" i="6"/>
  <c r="N43" i="10"/>
  <c r="O43" i="10"/>
  <c r="N46" i="5"/>
  <c r="O46" i="5"/>
  <c r="N42" i="10"/>
  <c r="O42" i="10"/>
  <c r="N33" i="4"/>
  <c r="O33" i="4"/>
  <c r="S3" i="7"/>
  <c r="P10" i="7"/>
  <c r="N42" i="4"/>
  <c r="O42" i="4"/>
  <c r="N39" i="6"/>
  <c r="O39" i="6"/>
  <c r="N41" i="4"/>
  <c r="O41" i="4"/>
  <c r="N38" i="6"/>
  <c r="O38" i="6"/>
  <c r="S6" i="4"/>
  <c r="N44" i="10"/>
  <c r="O44" i="10"/>
  <c r="N41" i="5"/>
  <c r="O41" i="5"/>
  <c r="P12" i="5"/>
  <c r="P19" i="5"/>
  <c r="M39" i="5"/>
  <c r="N39" i="5" s="1"/>
  <c r="O39" i="5" s="1"/>
  <c r="M39" i="9"/>
  <c r="N39" i="9" s="1"/>
  <c r="O39" i="9" s="1"/>
  <c r="M39" i="8"/>
  <c r="M41" i="2"/>
  <c r="N41" i="2" s="1"/>
  <c r="O41" i="2" s="1"/>
  <c r="M39" i="10"/>
  <c r="N39" i="10" s="1"/>
  <c r="O39" i="10" s="1"/>
  <c r="M37" i="2"/>
  <c r="P11" i="4"/>
  <c r="O4" i="10"/>
  <c r="P4" i="10" s="1"/>
  <c r="O4" i="8"/>
  <c r="P4" i="8" s="1"/>
  <c r="O4" i="7"/>
  <c r="P4" i="7" s="1"/>
  <c r="O4" i="9"/>
  <c r="P4" i="9" s="1"/>
  <c r="O4" i="2"/>
  <c r="P4" i="2" s="1"/>
  <c r="O4" i="6"/>
  <c r="S2" i="6" s="1"/>
  <c r="M36" i="10"/>
  <c r="M36" i="5"/>
  <c r="M36" i="2"/>
  <c r="M33" i="9"/>
  <c r="N33" i="9" s="1"/>
  <c r="M33" i="8"/>
  <c r="N33" i="8" s="1"/>
  <c r="M33" i="5"/>
  <c r="M33" i="10"/>
  <c r="M33" i="2"/>
  <c r="M33" i="6"/>
  <c r="M40" i="9"/>
  <c r="N40" i="9" s="1"/>
  <c r="O40" i="9" s="1"/>
  <c r="M40" i="8"/>
  <c r="N40" i="8" s="1"/>
  <c r="O40" i="8" s="1"/>
  <c r="M42" i="2"/>
  <c r="M40" i="10"/>
  <c r="N40" i="10" s="1"/>
  <c r="O40" i="10" s="1"/>
  <c r="M40" i="5"/>
  <c r="P3" i="5"/>
  <c r="T2" i="5" s="1"/>
  <c r="O16" i="10"/>
  <c r="P16" i="10" s="1"/>
  <c r="O16" i="2"/>
  <c r="P16" i="2" s="1"/>
  <c r="O16" i="8"/>
  <c r="P16" i="8" s="1"/>
  <c r="O16" i="7"/>
  <c r="S2" i="7" s="1"/>
  <c r="O16" i="6"/>
  <c r="P16" i="6" s="1"/>
  <c r="O6" i="9"/>
  <c r="P6" i="9" s="1"/>
  <c r="O6" i="6"/>
  <c r="P6" i="6" s="1"/>
  <c r="O6" i="8"/>
  <c r="P6" i="8" s="1"/>
  <c r="O6" i="7"/>
  <c r="P6" i="7" s="1"/>
  <c r="O6" i="10"/>
  <c r="P6" i="10" s="1"/>
  <c r="O6" i="2"/>
  <c r="P6" i="2" s="1"/>
  <c r="O3" i="10"/>
  <c r="O3" i="6"/>
  <c r="O3" i="2"/>
  <c r="S3" i="2" s="1"/>
  <c r="O3" i="8"/>
  <c r="O3" i="9"/>
  <c r="O3" i="7"/>
  <c r="M38" i="8"/>
  <c r="M38" i="9"/>
  <c r="N38" i="9" s="1"/>
  <c r="O38" i="9" s="1"/>
  <c r="M38" i="5"/>
  <c r="M38" i="10"/>
  <c r="N38" i="10" s="1"/>
  <c r="O38" i="10" s="1"/>
  <c r="M40" i="2"/>
  <c r="O18" i="10"/>
  <c r="P18" i="10" s="1"/>
  <c r="O18" i="2"/>
  <c r="P18" i="2" s="1"/>
  <c r="O8" i="10"/>
  <c r="O8" i="7"/>
  <c r="O8" i="6"/>
  <c r="O8" i="8"/>
  <c r="O8" i="2"/>
  <c r="S2" i="2" s="1"/>
  <c r="O8" i="9"/>
  <c r="S4" i="9" s="1"/>
  <c r="M37" i="10"/>
  <c r="N37" i="10" s="1"/>
  <c r="O37" i="10" s="1"/>
  <c r="M39" i="2"/>
  <c r="N39" i="2" s="1"/>
  <c r="O39" i="2" s="1"/>
  <c r="M37" i="8"/>
  <c r="M37" i="5"/>
  <c r="N37" i="5" s="1"/>
  <c r="O37" i="5" s="1"/>
  <c r="M37" i="9"/>
  <c r="N37" i="9" s="1"/>
  <c r="O37" i="9" s="1"/>
  <c r="O17" i="10"/>
  <c r="P17" i="10" s="1"/>
  <c r="O17" i="8"/>
  <c r="P17" i="8" s="1"/>
  <c r="O17" i="2"/>
  <c r="P17" i="2" s="1"/>
  <c r="O5" i="10"/>
  <c r="O5" i="7"/>
  <c r="O5" i="6"/>
  <c r="O5" i="9"/>
  <c r="O5" i="2"/>
  <c r="S4" i="2" s="1"/>
  <c r="O5" i="8"/>
  <c r="S3" i="8" s="1"/>
  <c r="O11" i="7"/>
  <c r="S4" i="7" s="1"/>
  <c r="O11" i="9"/>
  <c r="P11" i="9" s="1"/>
  <c r="O11" i="8"/>
  <c r="P11" i="8" s="1"/>
  <c r="O11" i="6"/>
  <c r="P11" i="6" s="1"/>
  <c r="O11" i="10"/>
  <c r="P11" i="10" s="1"/>
  <c r="O11" i="2"/>
  <c r="P11" i="2" s="1"/>
  <c r="O9" i="10"/>
  <c r="P9" i="10" s="1"/>
  <c r="O9" i="9"/>
  <c r="P9" i="9" s="1"/>
  <c r="O9" i="6"/>
  <c r="P9" i="6" s="1"/>
  <c r="O9" i="7"/>
  <c r="P9" i="7" s="1"/>
  <c r="O9" i="8"/>
  <c r="P9" i="8" s="1"/>
  <c r="O9" i="2"/>
  <c r="P9" i="2" s="1"/>
  <c r="O13" i="10"/>
  <c r="P13" i="10" s="1"/>
  <c r="O13" i="9"/>
  <c r="O13" i="6"/>
  <c r="P13" i="6" s="1"/>
  <c r="O13" i="8"/>
  <c r="P13" i="8" s="1"/>
  <c r="O13" i="2"/>
  <c r="P13" i="2" s="1"/>
  <c r="O13" i="7"/>
  <c r="P13" i="7" s="1"/>
  <c r="O15" i="8"/>
  <c r="P15" i="8" s="1"/>
  <c r="O15" i="6"/>
  <c r="S3" i="6" s="1"/>
  <c r="O15" i="7"/>
  <c r="P15" i="7" s="1"/>
  <c r="O15" i="9"/>
  <c r="P15" i="9" s="1"/>
  <c r="O15" i="2"/>
  <c r="P15" i="2" s="1"/>
  <c r="O15" i="10"/>
  <c r="P15" i="10" s="1"/>
  <c r="O7" i="6"/>
  <c r="P7" i="6" s="1"/>
  <c r="O7" i="7"/>
  <c r="P7" i="7" s="1"/>
  <c r="O7" i="8"/>
  <c r="O7" i="9"/>
  <c r="P7" i="9" s="1"/>
  <c r="O7" i="2"/>
  <c r="P7" i="2" s="1"/>
  <c r="O7" i="10"/>
  <c r="O14" i="6"/>
  <c r="P14" i="6" s="1"/>
  <c r="O14" i="7"/>
  <c r="P14" i="7" s="1"/>
  <c r="O14" i="8"/>
  <c r="O14" i="9"/>
  <c r="O14" i="2"/>
  <c r="P14" i="2" s="1"/>
  <c r="O14" i="10"/>
  <c r="P14" i="10" s="1"/>
  <c r="M36" i="9"/>
  <c r="N36" i="9" s="1"/>
  <c r="O36" i="9" s="1"/>
  <c r="M36" i="8"/>
  <c r="N36" i="8" s="1"/>
  <c r="O36" i="8" s="1"/>
  <c r="M38" i="2"/>
  <c r="N38" i="2" s="1"/>
  <c r="O38" i="2" s="1"/>
  <c r="M41" i="10"/>
  <c r="M41" i="8"/>
  <c r="M43" i="2"/>
  <c r="N43" i="2" s="1"/>
  <c r="O43" i="2" s="1"/>
  <c r="M41" i="9"/>
  <c r="N41" i="9" s="1"/>
  <c r="O41" i="9" s="1"/>
  <c r="M35" i="8"/>
  <c r="N35" i="8" s="1"/>
  <c r="O35" i="8" s="1"/>
  <c r="M35" i="9"/>
  <c r="N35" i="9" s="1"/>
  <c r="O35" i="9" s="1"/>
  <c r="M35" i="5"/>
  <c r="M35" i="2"/>
  <c r="N35" i="2" s="1"/>
  <c r="O35" i="2" s="1"/>
  <c r="O2" i="10"/>
  <c r="P2" i="10" s="1"/>
  <c r="O2" i="2"/>
  <c r="P2" i="2" s="1"/>
  <c r="O2" i="7"/>
  <c r="P2" i="7" s="1"/>
  <c r="O2" i="9"/>
  <c r="P2" i="9" s="1"/>
  <c r="O2" i="8"/>
  <c r="P2" i="8" s="1"/>
  <c r="O2" i="6"/>
  <c r="P2" i="6" s="1"/>
  <c r="P10" i="4"/>
  <c r="M34" i="8"/>
  <c r="M34" i="2"/>
  <c r="N34" i="2" s="1"/>
  <c r="O34" i="2" s="1"/>
  <c r="M34" i="10"/>
  <c r="M34" i="9"/>
  <c r="N34" i="9" s="1"/>
  <c r="O34" i="9" s="1"/>
  <c r="M34" i="5"/>
  <c r="N34" i="5" s="1"/>
  <c r="O34" i="5" s="1"/>
  <c r="P5" i="4"/>
  <c r="O12" i="10"/>
  <c r="O12" i="9"/>
  <c r="P12" i="9" s="1"/>
  <c r="O12" i="2"/>
  <c r="P12" i="2" s="1"/>
  <c r="O12" i="7"/>
  <c r="P12" i="7" s="1"/>
  <c r="O12" i="6"/>
  <c r="S4" i="6" s="1"/>
  <c r="O12" i="8"/>
  <c r="P12" i="8" s="1"/>
  <c r="T2" i="2" l="1"/>
  <c r="U2" i="2" s="1"/>
  <c r="D2" i="3" s="1"/>
  <c r="N41" i="8"/>
  <c r="O41" i="8"/>
  <c r="N34" i="8"/>
  <c r="O34" i="8"/>
  <c r="N38" i="8"/>
  <c r="O38" i="8"/>
  <c r="N37" i="8"/>
  <c r="O37" i="8"/>
  <c r="N39" i="8"/>
  <c r="O39" i="8"/>
  <c r="U2" i="4"/>
  <c r="D3" i="3" s="1"/>
  <c r="O33" i="8"/>
  <c r="N41" i="10"/>
  <c r="O41" i="10"/>
  <c r="N38" i="5"/>
  <c r="O38" i="5"/>
  <c r="S6" i="7"/>
  <c r="O42" i="2"/>
  <c r="N42" i="2"/>
  <c r="Q33" i="9"/>
  <c r="B8" i="3" s="1"/>
  <c r="O33" i="9"/>
  <c r="R33" i="9" s="1"/>
  <c r="C8" i="3" s="1"/>
  <c r="U5" i="4"/>
  <c r="E3" i="3" s="1"/>
  <c r="O36" i="2"/>
  <c r="N36" i="2"/>
  <c r="U2" i="5"/>
  <c r="D4" i="3" s="1"/>
  <c r="S6" i="5"/>
  <c r="U5" i="5" s="1"/>
  <c r="E4" i="3" s="1"/>
  <c r="N34" i="10"/>
  <c r="O34" i="10"/>
  <c r="N35" i="5"/>
  <c r="O35" i="5"/>
  <c r="P7" i="10"/>
  <c r="S2" i="10"/>
  <c r="P13" i="9"/>
  <c r="S3" i="9"/>
  <c r="N36" i="5"/>
  <c r="O36" i="5"/>
  <c r="P12" i="10"/>
  <c r="S3" i="10"/>
  <c r="N33" i="6"/>
  <c r="Q33" i="6" s="1"/>
  <c r="B5" i="3" s="1"/>
  <c r="O33" i="6"/>
  <c r="R33" i="6" s="1"/>
  <c r="C5" i="3" s="1"/>
  <c r="N36" i="10"/>
  <c r="O36" i="10"/>
  <c r="N37" i="2"/>
  <c r="O37" i="2"/>
  <c r="R33" i="4"/>
  <c r="C3" i="3" s="1"/>
  <c r="N33" i="2"/>
  <c r="O33" i="2"/>
  <c r="S6" i="6"/>
  <c r="Q33" i="4"/>
  <c r="B3" i="3" s="1"/>
  <c r="N33" i="10"/>
  <c r="O33" i="10"/>
  <c r="P14" i="9"/>
  <c r="S2" i="9"/>
  <c r="N40" i="2"/>
  <c r="O40" i="2"/>
  <c r="N40" i="5"/>
  <c r="O40" i="5"/>
  <c r="N33" i="5"/>
  <c r="O33" i="5"/>
  <c r="P7" i="8"/>
  <c r="S2" i="8"/>
  <c r="P14" i="8"/>
  <c r="S4" i="8"/>
  <c r="P16" i="7"/>
  <c r="P11" i="7"/>
  <c r="P12" i="6"/>
  <c r="P15" i="6"/>
  <c r="P4" i="6"/>
  <c r="P8" i="6"/>
  <c r="P3" i="7"/>
  <c r="P5" i="8"/>
  <c r="P8" i="10"/>
  <c r="P3" i="8"/>
  <c r="P5" i="2"/>
  <c r="P3" i="2"/>
  <c r="P5" i="9"/>
  <c r="P3" i="6"/>
  <c r="P8" i="7"/>
  <c r="P5" i="6"/>
  <c r="P8" i="9"/>
  <c r="P3" i="10"/>
  <c r="P5" i="7"/>
  <c r="P8" i="2"/>
  <c r="P3" i="9"/>
  <c r="P5" i="10"/>
  <c r="P8" i="8"/>
  <c r="T2" i="6" l="1"/>
  <c r="U5" i="6" s="1"/>
  <c r="E5" i="3" s="1"/>
  <c r="G5" i="3" s="1"/>
  <c r="S6" i="9"/>
  <c r="G3" i="3"/>
  <c r="T2" i="8"/>
  <c r="T2" i="9"/>
  <c r="T2" i="10"/>
  <c r="U5" i="10" s="1"/>
  <c r="E9" i="3" s="1"/>
  <c r="Q33" i="8"/>
  <c r="B7" i="3" s="1"/>
  <c r="T2" i="7"/>
  <c r="U5" i="7" s="1"/>
  <c r="E6" i="3" s="1"/>
  <c r="G6" i="3" s="1"/>
  <c r="S6" i="10"/>
  <c r="Q33" i="2"/>
  <c r="B2" i="3" s="1"/>
  <c r="R33" i="8"/>
  <c r="C7" i="3" s="1"/>
  <c r="R33" i="5"/>
  <c r="C4" i="3" s="1"/>
  <c r="G4" i="3" s="1"/>
  <c r="U2" i="9"/>
  <c r="D8" i="3" s="1"/>
  <c r="U2" i="6"/>
  <c r="D5" i="3" s="1"/>
  <c r="R33" i="2"/>
  <c r="C2" i="3" s="1"/>
  <c r="Q33" i="5"/>
  <c r="B4" i="3" s="1"/>
  <c r="F4" i="3" s="1"/>
  <c r="F2" i="3"/>
  <c r="R33" i="10"/>
  <c r="C9" i="3" s="1"/>
  <c r="Q33" i="10"/>
  <c r="B9" i="3" s="1"/>
  <c r="S6" i="8"/>
  <c r="U5" i="8" s="1"/>
  <c r="E7" i="3" s="1"/>
  <c r="G7" i="3" s="1"/>
  <c r="H7" i="3" s="1"/>
  <c r="U2" i="8"/>
  <c r="D7" i="3" s="1"/>
  <c r="S6" i="2"/>
  <c r="U5" i="2" s="1"/>
  <c r="E2" i="3" s="1"/>
  <c r="F3" i="3"/>
  <c r="U2" i="10" l="1"/>
  <c r="D9" i="3" s="1"/>
  <c r="U5" i="9"/>
  <c r="E8" i="3" s="1"/>
  <c r="G8" i="3" s="1"/>
  <c r="G18" i="3"/>
  <c r="F19" i="3" s="1"/>
  <c r="D18" i="3"/>
  <c r="F16" i="3" s="1"/>
  <c r="C18" i="3"/>
  <c r="F15" i="3" s="1"/>
  <c r="N7" i="3"/>
  <c r="N6" i="3" s="1"/>
  <c r="M6" i="3"/>
  <c r="M7" i="3" s="1"/>
  <c r="H6" i="3"/>
  <c r="D20" i="3"/>
  <c r="H16" i="3" s="1"/>
  <c r="F20" i="3"/>
  <c r="H18" i="3" s="1"/>
  <c r="C20" i="3"/>
  <c r="H15" i="3" s="1"/>
  <c r="G20" i="3"/>
  <c r="H19" i="3" s="1"/>
  <c r="H8" i="3"/>
  <c r="F17" i="3"/>
  <c r="E18" i="3" s="1"/>
  <c r="D17" i="3"/>
  <c r="E16" i="3" s="1"/>
  <c r="C17" i="3"/>
  <c r="E15" i="3" s="1"/>
  <c r="H5" i="3"/>
  <c r="H17" i="3"/>
  <c r="E20" i="3" s="1"/>
  <c r="G17" i="3"/>
  <c r="E19" i="3" s="1"/>
  <c r="U2" i="7"/>
  <c r="D6" i="3" s="1"/>
  <c r="H4" i="3"/>
  <c r="C16" i="3"/>
  <c r="D15" i="3" s="1"/>
  <c r="G16" i="3"/>
  <c r="D19" i="3" s="1"/>
  <c r="N5" i="3"/>
  <c r="N4" i="3" s="1"/>
  <c r="M5" i="3"/>
  <c r="M4" i="3" s="1"/>
  <c r="L3" i="3"/>
  <c r="H3" i="3"/>
  <c r="G15" i="3"/>
  <c r="C19" i="3" s="1"/>
  <c r="L4" i="3"/>
  <c r="G2" i="3"/>
  <c r="G9" i="3"/>
  <c r="M8" i="3" s="1"/>
  <c r="M9" i="3" s="1"/>
  <c r="F8" i="3"/>
  <c r="F6" i="3"/>
  <c r="F5" i="3"/>
  <c r="F7" i="3"/>
  <c r="F9" i="3"/>
  <c r="F14" i="3" l="1"/>
  <c r="B18" i="3" s="1"/>
  <c r="N3" i="3"/>
  <c r="N2" i="3" s="1"/>
  <c r="M2" i="3"/>
  <c r="M3" i="3" s="1"/>
  <c r="H2" i="3"/>
  <c r="G14" i="3"/>
  <c r="B19" i="3" s="1"/>
  <c r="D14" i="3"/>
  <c r="B16" i="3" s="1"/>
  <c r="C14" i="3"/>
  <c r="B15" i="3" s="1"/>
  <c r="O4" i="3"/>
  <c r="D9" i="1"/>
  <c r="L5" i="3"/>
  <c r="L7" i="3"/>
  <c r="I17" i="3"/>
  <c r="E21" i="3" s="1"/>
  <c r="B20" i="3"/>
  <c r="H14" i="3" s="1"/>
  <c r="L8" i="3"/>
  <c r="O3" i="3"/>
  <c r="D7" i="1"/>
  <c r="L2" i="3"/>
  <c r="D21" i="3"/>
  <c r="I16" i="3" s="1"/>
  <c r="C21" i="3"/>
  <c r="I15" i="3" s="1"/>
  <c r="F21" i="3"/>
  <c r="I18" i="3" s="1"/>
  <c r="G21" i="3"/>
  <c r="I19" i="3" s="1"/>
  <c r="H21" i="3"/>
  <c r="I20" i="3" s="1"/>
  <c r="H9" i="3"/>
  <c r="B21" i="3"/>
  <c r="I14" i="3" s="1"/>
  <c r="B17" i="3"/>
  <c r="E14" i="3" s="1"/>
  <c r="N8" i="3"/>
  <c r="N9" i="3" s="1"/>
  <c r="M9" i="1" l="1"/>
  <c r="L9" i="3"/>
  <c r="O8" i="3"/>
  <c r="O2" i="3"/>
  <c r="D6" i="1"/>
  <c r="M7" i="1"/>
  <c r="L6" i="3"/>
  <c r="O7" i="3"/>
  <c r="D10" i="1"/>
  <c r="O5" i="3"/>
  <c r="M6" i="1" l="1"/>
  <c r="O6" i="3"/>
  <c r="P2" i="3"/>
  <c r="Q2" i="3"/>
  <c r="P3" i="3"/>
  <c r="Q3" i="3" s="1"/>
  <c r="P5" i="3"/>
  <c r="Q5" i="3" s="1"/>
  <c r="P4" i="3"/>
  <c r="Q4" i="3" s="1"/>
  <c r="P8" i="3"/>
  <c r="Q8" i="3" s="1"/>
  <c r="O9" i="3"/>
  <c r="M10" i="1"/>
  <c r="E10" i="1" l="1"/>
  <c r="R5" i="3"/>
  <c r="L9" i="1"/>
  <c r="E7" i="1"/>
  <c r="R3" i="3"/>
  <c r="Q9" i="3"/>
  <c r="E9" i="1"/>
  <c r="R4" i="3"/>
  <c r="E6" i="1"/>
  <c r="R2" i="3"/>
  <c r="P9" i="3"/>
  <c r="P6" i="3"/>
  <c r="Q6" i="3"/>
  <c r="P7" i="3"/>
  <c r="Q7" i="3" s="1"/>
  <c r="R8" i="3" l="1"/>
  <c r="S8" i="3" s="1"/>
  <c r="J9" i="1" s="1"/>
  <c r="K9" i="1"/>
  <c r="F9" i="1"/>
  <c r="L7" i="1"/>
  <c r="R7" i="3"/>
  <c r="F7" i="1"/>
  <c r="R9" i="3"/>
  <c r="L10" i="1"/>
  <c r="L6" i="1"/>
  <c r="R6" i="3"/>
  <c r="F6" i="1"/>
  <c r="F10" i="1"/>
  <c r="S3" i="3" l="1"/>
  <c r="G7" i="1" s="1"/>
  <c r="S4" i="3"/>
  <c r="G9" i="1" s="1"/>
  <c r="S5" i="3"/>
  <c r="G10" i="1" s="1"/>
  <c r="S2" i="3"/>
  <c r="G6" i="1" s="1"/>
  <c r="S9" i="3"/>
  <c r="J10" i="1" s="1"/>
  <c r="K10" i="1"/>
  <c r="K7" i="1"/>
  <c r="S7" i="3"/>
  <c r="J7" i="1" s="1"/>
  <c r="K6" i="1"/>
  <c r="S6" i="3"/>
  <c r="J6" i="1" s="1"/>
</calcChain>
</file>

<file path=xl/sharedStrings.xml><?xml version="1.0" encoding="utf-8"?>
<sst xmlns="http://schemas.openxmlformats.org/spreadsheetml/2006/main" count="1521" uniqueCount="690">
  <si>
    <t>Traverse City Pit Spitters</t>
  </si>
  <si>
    <t>Kalamazoo Growlers</t>
  </si>
  <si>
    <t>Wausau Woodchucks</t>
  </si>
  <si>
    <t>Wisconsin Rapids Rafters</t>
  </si>
  <si>
    <t>Eau Claire Express</t>
  </si>
  <si>
    <t>Duluth Huskies</t>
  </si>
  <si>
    <t>Willmar Stingers</t>
  </si>
  <si>
    <t>St. Cloud Rox</t>
  </si>
  <si>
    <t>CHAMP</t>
  </si>
  <si>
    <t>Chance to Win</t>
  </si>
  <si>
    <t>#</t>
  </si>
  <si>
    <t>PLAYER</t>
  </si>
  <si>
    <t>B/T</t>
  </si>
  <si>
    <t>H-T</t>
  </si>
  <si>
    <t>W-T</t>
  </si>
  <si>
    <t>COLLEGE</t>
  </si>
  <si>
    <t>CLASS</t>
  </si>
  <si>
    <t>HOMETOWN</t>
  </si>
  <si>
    <t>Duarte, Dallas</t>
  </si>
  <si>
    <t>R/R</t>
  </si>
  <si>
    <t>University of Hawaii</t>
  </si>
  <si>
    <t>Junior</t>
  </si>
  <si>
    <t>Hilo, HI</t>
  </si>
  <si>
    <t>Orzech, Evan</t>
  </si>
  <si>
    <t>L/R</t>
  </si>
  <si>
    <t>Saint Xavier University</t>
  </si>
  <si>
    <t>Sophomore</t>
  </si>
  <si>
    <t>Shorewood, IL</t>
  </si>
  <si>
    <t>Summerhill, Colin</t>
  </si>
  <si>
    <t>Northern Illinois University</t>
  </si>
  <si>
    <t>Chicago, IL</t>
  </si>
  <si>
    <t>Atkinson, Alec</t>
  </si>
  <si>
    <t>Yale University</t>
  </si>
  <si>
    <t>Katy, TX</t>
  </si>
  <si>
    <t>Miller, Glenn</t>
  </si>
  <si>
    <t>Eastern Michigan University</t>
  </si>
  <si>
    <t>Pentwater, MI</t>
  </si>
  <si>
    <t>Tackett, Sam</t>
  </si>
  <si>
    <t>Virginia Tech</t>
  </si>
  <si>
    <t>Redshirt Freshman</t>
  </si>
  <si>
    <t>Lexington, KY</t>
  </si>
  <si>
    <t>Traficante, Camden</t>
  </si>
  <si>
    <t>S/R</t>
  </si>
  <si>
    <t>Embry–Riddle Aeronautical University</t>
  </si>
  <si>
    <t>Ormond Beach, FL</t>
  </si>
  <si>
    <t>Charon, Jacob</t>
  </si>
  <si>
    <t>Lawrence University</t>
  </si>
  <si>
    <t>Senior</t>
  </si>
  <si>
    <t>Kenosha, WI</t>
  </si>
  <si>
    <t>Dorighi, Brennen</t>
  </si>
  <si>
    <t>University of Iowa</t>
  </si>
  <si>
    <t>Redshirt Junior</t>
  </si>
  <si>
    <t>Cherry Hills Village, CO</t>
  </si>
  <si>
    <t>Tchavdarov, Michael</t>
  </si>
  <si>
    <t>L/L</t>
  </si>
  <si>
    <t>Davenport University</t>
  </si>
  <si>
    <t>Freshman</t>
  </si>
  <si>
    <t>Warren, MI</t>
  </si>
  <si>
    <t>Toole, Marshall</t>
  </si>
  <si>
    <t>Wofford College</t>
  </si>
  <si>
    <t>Decatur, GA</t>
  </si>
  <si>
    <t>Truitt III, Trey</t>
  </si>
  <si>
    <t>North Carolina State University</t>
  </si>
  <si>
    <t>Matthews, NC</t>
  </si>
  <si>
    <t>Abbey, Zach</t>
  </si>
  <si>
    <t>Northwood Univeristy</t>
  </si>
  <si>
    <t>Milan, MI</t>
  </si>
  <si>
    <t>Blain, Nate</t>
  </si>
  <si>
    <t>Madonna University</t>
  </si>
  <si>
    <t>Redshirt Sophomore</t>
  </si>
  <si>
    <t>Canton, MI</t>
  </si>
  <si>
    <t>Buxton, Jake</t>
  </si>
  <si>
    <t>California Polytechnic State University (Cal Poly)</t>
  </si>
  <si>
    <t>Mill Valley, CA</t>
  </si>
  <si>
    <t>Forrest, Aaron</t>
  </si>
  <si>
    <t>Doane University</t>
  </si>
  <si>
    <t>Peoria, AZ</t>
  </si>
  <si>
    <t>Goldensoph, Avery</t>
  </si>
  <si>
    <t>University of Michigan</t>
  </si>
  <si>
    <t>Saginaw, MI</t>
  </si>
  <si>
    <t>Greiner, Coby</t>
  </si>
  <si>
    <t>Carl Albert State College</t>
  </si>
  <si>
    <t>Bryant, AR</t>
  </si>
  <si>
    <t>Gustafson, Aren</t>
  </si>
  <si>
    <t>Olivet Nazarene University</t>
  </si>
  <si>
    <t>Rockton, IL</t>
  </si>
  <si>
    <t>Horoszko, Joe</t>
  </si>
  <si>
    <t>Wittenberg University</t>
  </si>
  <si>
    <t>Seven Hills, OH</t>
  </si>
  <si>
    <t>Ignaciak, Blake</t>
  </si>
  <si>
    <t>Palomar College</t>
  </si>
  <si>
    <t>Oceanside, CA</t>
  </si>
  <si>
    <t>Insco, Ryan</t>
  </si>
  <si>
    <t>Central Michigan University</t>
  </si>
  <si>
    <t>Kirkwood, MO</t>
  </si>
  <si>
    <t>Jatczak, Hayden</t>
  </si>
  <si>
    <t>Saginaw Valley State University</t>
  </si>
  <si>
    <t>Bay City, MI</t>
  </si>
  <si>
    <t>Johnson, Easton</t>
  </si>
  <si>
    <t>Iowa Central Community College</t>
  </si>
  <si>
    <t>Gilbert, IA</t>
  </si>
  <si>
    <t>McWilliams IV, O'Kelly</t>
  </si>
  <si>
    <t>Oakton, VA</t>
  </si>
  <si>
    <t>Ramirez, Anthony</t>
  </si>
  <si>
    <t>California State University, Stanislaus</t>
  </si>
  <si>
    <t>Santa Clarita, CA</t>
  </si>
  <si>
    <t>Russell, Brandon</t>
  </si>
  <si>
    <t>Montreat College</t>
  </si>
  <si>
    <t>Freeport, BAHAMAS</t>
  </si>
  <si>
    <t>Whelton, Chris</t>
  </si>
  <si>
    <t>Belmont University</t>
  </si>
  <si>
    <t>Glen Ellyn, IL</t>
  </si>
  <si>
    <t>White, Mitch</t>
  </si>
  <si>
    <t>University of Cincinnati</t>
  </si>
  <si>
    <t>Livonia, MI</t>
  </si>
  <si>
    <t>Wright, Caden</t>
  </si>
  <si>
    <t>Moline, IL</t>
  </si>
  <si>
    <t>Catchers</t>
  </si>
  <si>
    <t>PA</t>
  </si>
  <si>
    <t>RAA</t>
  </si>
  <si>
    <t>RAA/G</t>
  </si>
  <si>
    <t>G</t>
  </si>
  <si>
    <t>GS</t>
  </si>
  <si>
    <t>PFIPR9</t>
  </si>
  <si>
    <t>IP</t>
  </si>
  <si>
    <t>Team</t>
  </si>
  <si>
    <t>TVC</t>
  </si>
  <si>
    <t>KZO</t>
  </si>
  <si>
    <t>FIPRA</t>
  </si>
  <si>
    <t>WAU</t>
  </si>
  <si>
    <t>WIR</t>
  </si>
  <si>
    <t>EC</t>
  </si>
  <si>
    <t>DUL</t>
  </si>
  <si>
    <t>WIL</t>
  </si>
  <si>
    <t>STC</t>
  </si>
  <si>
    <t>Berkenpas, Jerad</t>
  </si>
  <si>
    <t>Grand Rapids Community College</t>
  </si>
  <si>
    <t>Byron Center</t>
  </si>
  <si>
    <t>Bursick-Harrington, Logan</t>
  </si>
  <si>
    <t>South Lyon</t>
  </si>
  <si>
    <t>Fay, Brody</t>
  </si>
  <si>
    <t>Lakeland University</t>
  </si>
  <si>
    <t>Surprise, Arizona</t>
  </si>
  <si>
    <t>Freeman, Dylan</t>
  </si>
  <si>
    <t>University of Montevallo</t>
  </si>
  <si>
    <t>Douglasville</t>
  </si>
  <si>
    <t>Hopman, Zach</t>
  </si>
  <si>
    <t>Michigan State University</t>
  </si>
  <si>
    <t>East Lansing</t>
  </si>
  <si>
    <t>Horwedel, Eamon</t>
  </si>
  <si>
    <t>Ohio University</t>
  </si>
  <si>
    <t>Ann Arbor</t>
  </si>
  <si>
    <t>Hunter, Cam</t>
  </si>
  <si>
    <t>University of Antelope Valley</t>
  </si>
  <si>
    <t>Woodbury Mn</t>
  </si>
  <si>
    <t>Johnson, Tyler</t>
  </si>
  <si>
    <t>Alma College</t>
  </si>
  <si>
    <t>Lexington</t>
  </si>
  <si>
    <t>Knapp, Tanner</t>
  </si>
  <si>
    <t>Ball State University</t>
  </si>
  <si>
    <t>Mattawan</t>
  </si>
  <si>
    <t>Meeks, Mason</t>
  </si>
  <si>
    <t>Drury University</t>
  </si>
  <si>
    <t>Lake Dallas, Tx</t>
  </si>
  <si>
    <t>Milliman, Nolan</t>
  </si>
  <si>
    <t>Central Washington University</t>
  </si>
  <si>
    <t>Yorba Linda</t>
  </si>
  <si>
    <t>Paymaster, Jake</t>
  </si>
  <si>
    <t>Purdue Fort Wayne</t>
  </si>
  <si>
    <t>Manhattan, Il</t>
  </si>
  <si>
    <t>Salley, Kyle</t>
  </si>
  <si>
    <t>Georgetown University</t>
  </si>
  <si>
    <t>Flossmoor, Illinois</t>
  </si>
  <si>
    <t>Vainavicz, Spencer</t>
  </si>
  <si>
    <t>Redshirt Senior</t>
  </si>
  <si>
    <t>Grand Rapids</t>
  </si>
  <si>
    <t>Ware, Brody</t>
  </si>
  <si>
    <t>Kent State University</t>
  </si>
  <si>
    <t>Canton</t>
  </si>
  <si>
    <t>Waterhouse, Quinn</t>
  </si>
  <si>
    <t>Souther Illinois University Edwardsville</t>
  </si>
  <si>
    <t>Bondurant, Iowa</t>
  </si>
  <si>
    <t>Andrews, Gannon</t>
  </si>
  <si>
    <t>Purdue Northwest</t>
  </si>
  <si>
    <t>Portage</t>
  </si>
  <si>
    <t>Calarco, Alex</t>
  </si>
  <si>
    <t>Northwestern University</t>
  </si>
  <si>
    <t>Wilmette Il</t>
  </si>
  <si>
    <t>Taggart, Casen</t>
  </si>
  <si>
    <t>Centralia College</t>
  </si>
  <si>
    <t>Everett</t>
  </si>
  <si>
    <t>Bianchina, Vince</t>
  </si>
  <si>
    <t>Lafayette California</t>
  </si>
  <si>
    <t>Moore, Brandon</t>
  </si>
  <si>
    <t>Romulus,Alabama</t>
  </si>
  <si>
    <t>Schuman, Connor</t>
  </si>
  <si>
    <t>Grand Valley State University</t>
  </si>
  <si>
    <t>Mattawan Michigan</t>
  </si>
  <si>
    <t>Spradlin, Zach</t>
  </si>
  <si>
    <t>Ottawa University</t>
  </si>
  <si>
    <t>Hoquiam, Wa</t>
  </si>
  <si>
    <t>Stephan, Anthony</t>
  </si>
  <si>
    <t>University of Virginia</t>
  </si>
  <si>
    <t>Ridgewood</t>
  </si>
  <si>
    <t>Terry, River</t>
  </si>
  <si>
    <t>Centrailia</t>
  </si>
  <si>
    <t>Sandy</t>
  </si>
  <si>
    <t>Beale, Myles</t>
  </si>
  <si>
    <t>Dykstra, Ryan</t>
  </si>
  <si>
    <t>Oakland University</t>
  </si>
  <si>
    <t>Tolley, Banks</t>
  </si>
  <si>
    <t>University of Mississippi</t>
  </si>
  <si>
    <t>Madison</t>
  </si>
  <si>
    <t>Ziegler, Greg</t>
  </si>
  <si>
    <t>Joliet</t>
  </si>
  <si>
    <t>Ackermann, Dylan</t>
  </si>
  <si>
    <t>Loras College</t>
  </si>
  <si>
    <t>Wausau, WI</t>
  </si>
  <si>
    <t>Baumann, Jace</t>
  </si>
  <si>
    <t>University of Wisconsin - Stout</t>
  </si>
  <si>
    <t>Mosinee, WI</t>
  </si>
  <si>
    <t>Bunselmeyer, Korey</t>
  </si>
  <si>
    <t>University of Illinois</t>
  </si>
  <si>
    <t>Ava, IL</t>
  </si>
  <si>
    <t>Conte, Michael</t>
  </si>
  <si>
    <t>Cincinnati, OH</t>
  </si>
  <si>
    <t>Corn, Aidan</t>
  </si>
  <si>
    <t>Pasco-Hernando State College</t>
  </si>
  <si>
    <t>Venice, Florida</t>
  </si>
  <si>
    <t>Cox, Tyler</t>
  </si>
  <si>
    <t>Eckerd College</t>
  </si>
  <si>
    <t>Winfield</t>
  </si>
  <si>
    <t>Evers, Aaron</t>
  </si>
  <si>
    <t>Arkansas State University</t>
  </si>
  <si>
    <t>Stonewall, La</t>
  </si>
  <si>
    <t>Heninger, Carter</t>
  </si>
  <si>
    <t>San Jose State University</t>
  </si>
  <si>
    <t>Rescue, CA</t>
  </si>
  <si>
    <t>Lopez, Adrian</t>
  </si>
  <si>
    <t>Menlo College</t>
  </si>
  <si>
    <t>Soledad, Ca</t>
  </si>
  <si>
    <t>Madej, Nate</t>
  </si>
  <si>
    <t>Florida Southern College</t>
  </si>
  <si>
    <t>Lemont, IL</t>
  </si>
  <si>
    <t>Marshall, Nick</t>
  </si>
  <si>
    <t>West Texas A&amp;M University</t>
  </si>
  <si>
    <t>Antigo, WI</t>
  </si>
  <si>
    <t>Milner, Matt</t>
  </si>
  <si>
    <t>Southwestern Oklahoma State University</t>
  </si>
  <si>
    <t>Duke, Oklahoma</t>
  </si>
  <si>
    <t>Orr, Christian</t>
  </si>
  <si>
    <t>Columbia International University</t>
  </si>
  <si>
    <t>Roswell</t>
  </si>
  <si>
    <t>Schicker, Mike</t>
  </si>
  <si>
    <t>Chattanooga State Community College</t>
  </si>
  <si>
    <t>North Riverside</t>
  </si>
  <si>
    <t>Schultz, JD</t>
  </si>
  <si>
    <t>University of Wisconsin - Stevens Point</t>
  </si>
  <si>
    <t>Stevens Point, WI</t>
  </si>
  <si>
    <t>Snow, Logan</t>
  </si>
  <si>
    <t>Belmont, Ca</t>
  </si>
  <si>
    <t>Warren, Brock</t>
  </si>
  <si>
    <t>Ripon College</t>
  </si>
  <si>
    <t>Wenninger, Jack</t>
  </si>
  <si>
    <t>Cary, IL</t>
  </si>
  <si>
    <t>Janik, Camden</t>
  </si>
  <si>
    <t>Wauconda, IL</t>
  </si>
  <si>
    <t>Kligman, Elie</t>
  </si>
  <si>
    <t>Wake Forest University</t>
  </si>
  <si>
    <t>Las Vegas, NV</t>
  </si>
  <si>
    <t>Stapleton, Travis</t>
  </si>
  <si>
    <t>Polk State College</t>
  </si>
  <si>
    <t>Clermont, FL</t>
  </si>
  <si>
    <t>Stengren, Drew</t>
  </si>
  <si>
    <t>Fox River Grove</t>
  </si>
  <si>
    <t>Boos, Jakob</t>
  </si>
  <si>
    <t>Littleton, Co</t>
  </si>
  <si>
    <t>Comer, Bradley</t>
  </si>
  <si>
    <t>Rhinelander</t>
  </si>
  <si>
    <t>Hill, Garret</t>
  </si>
  <si>
    <t>North Dakota State University</t>
  </si>
  <si>
    <t>Williston, North Dakota</t>
  </si>
  <si>
    <t>Kluvers, Zach</t>
  </si>
  <si>
    <t>Fargo, ND</t>
  </si>
  <si>
    <t>Allen, Dwight</t>
  </si>
  <si>
    <t>University of Georgia</t>
  </si>
  <si>
    <t>Milton</t>
  </si>
  <si>
    <t>Gomez, Maurice</t>
  </si>
  <si>
    <t>Keiser University</t>
  </si>
  <si>
    <t>Acworth, Ga</t>
  </si>
  <si>
    <t>Hug, Chase</t>
  </si>
  <si>
    <t>University of Evansville</t>
  </si>
  <si>
    <t>Indianapolis, IN</t>
  </si>
  <si>
    <t>Ng, Jc</t>
  </si>
  <si>
    <t>Pomona-Pitzer</t>
  </si>
  <si>
    <t>Foster City, CA</t>
  </si>
  <si>
    <t>Almeda, JJ</t>
  </si>
  <si>
    <t>Cerritos College</t>
  </si>
  <si>
    <t>Lynwood , CA</t>
  </si>
  <si>
    <t>Alpern, Liam</t>
  </si>
  <si>
    <t>Swarthmore College</t>
  </si>
  <si>
    <t>Long Beach, CA</t>
  </si>
  <si>
    <t>Amon, Ben</t>
  </si>
  <si>
    <t>College of New Jersey</t>
  </si>
  <si>
    <t>Princeton, NJ</t>
  </si>
  <si>
    <t>Brandl, Donovan</t>
  </si>
  <si>
    <t>University of Wisconsin - Whitewater</t>
  </si>
  <si>
    <t>Rudolph, WI</t>
  </si>
  <si>
    <t>Holbrook, Dawson</t>
  </si>
  <si>
    <t>Santa Ana , CA</t>
  </si>
  <si>
    <t>Howey, Preston</t>
  </si>
  <si>
    <t>Saint Mary's College</t>
  </si>
  <si>
    <t>Arcadia, CA</t>
  </si>
  <si>
    <t>Kurki, Connor</t>
  </si>
  <si>
    <t>Coastal Carolina University</t>
  </si>
  <si>
    <t>Iola, WI</t>
  </si>
  <si>
    <t>Medina, Angel</t>
  </si>
  <si>
    <t>Culiacan, Mexico</t>
  </si>
  <si>
    <t>Mendoza, Alec</t>
  </si>
  <si>
    <t>Notre Dame College</t>
  </si>
  <si>
    <t>Pickerington, OH</t>
  </si>
  <si>
    <t>Peters, Ethan</t>
  </si>
  <si>
    <t>Wisconsin Rapids , WI</t>
  </si>
  <si>
    <t>Robinson, Cooper</t>
  </si>
  <si>
    <t>University of California, Irvine</t>
  </si>
  <si>
    <t>Folsom, CA</t>
  </si>
  <si>
    <t>Schulfer, Logan</t>
  </si>
  <si>
    <t>Ball State</t>
  </si>
  <si>
    <t>Plover, WI</t>
  </si>
  <si>
    <t>Scott, Brandon</t>
  </si>
  <si>
    <t>Hillsdale College</t>
  </si>
  <si>
    <t>Adrian, MI</t>
  </si>
  <si>
    <t>Torres, Nick</t>
  </si>
  <si>
    <t>Western Carolina</t>
  </si>
  <si>
    <t>Woodstock, GA</t>
  </si>
  <si>
    <t>Urban, Cody</t>
  </si>
  <si>
    <t>Deerbrook, WI</t>
  </si>
  <si>
    <t>Jensen, Levi</t>
  </si>
  <si>
    <t>University of North Alabama</t>
  </si>
  <si>
    <t>Luck, WI</t>
  </si>
  <si>
    <t>Semo, Andrew</t>
  </si>
  <si>
    <t>University of San Diego</t>
  </si>
  <si>
    <t>Coronado, CA</t>
  </si>
  <si>
    <t>Tuft, Colin</t>
  </si>
  <si>
    <t>Vienna, VA</t>
  </si>
  <si>
    <t>Brewer, Aidan</t>
  </si>
  <si>
    <t>Dexter, MI</t>
  </si>
  <si>
    <t>Broussard, Garrett</t>
  </si>
  <si>
    <t>Utah Valley University</t>
  </si>
  <si>
    <t>San Juan Capistrano, CA</t>
  </si>
  <si>
    <t>Chatham, Cael</t>
  </si>
  <si>
    <t>High Point University</t>
  </si>
  <si>
    <t>Conniff, Chris</t>
  </si>
  <si>
    <t>Wagner College</t>
  </si>
  <si>
    <t>Norco, CA</t>
  </si>
  <si>
    <t>Igawa, Jacob</t>
  </si>
  <si>
    <t>Call, Chase</t>
  </si>
  <si>
    <t>Porter Ranch, CA</t>
  </si>
  <si>
    <t>Erves, Mckinley</t>
  </si>
  <si>
    <t>Winthrop University</t>
  </si>
  <si>
    <t>Huntsville, Al</t>
  </si>
  <si>
    <t>Jurgella, Brady</t>
  </si>
  <si>
    <t>Minnesota</t>
  </si>
  <si>
    <t>Menasha, WI</t>
  </si>
  <si>
    <t>Badger, Trevyn</t>
  </si>
  <si>
    <t>Minot State University</t>
  </si>
  <si>
    <t>San Tan Valley, AZ</t>
  </si>
  <si>
    <t>Baytosh, Chris</t>
  </si>
  <si>
    <t>Sacramento, CA</t>
  </si>
  <si>
    <t>Brown, Jack</t>
  </si>
  <si>
    <t>Minnesota State University, Mankato</t>
  </si>
  <si>
    <t>Eau Claire, WI</t>
  </si>
  <si>
    <t>Felker, Trey</t>
  </si>
  <si>
    <t>Titusville, FL</t>
  </si>
  <si>
    <t>Helwig, Matt</t>
  </si>
  <si>
    <t>Lewis University</t>
  </si>
  <si>
    <t>Mokena, IL</t>
  </si>
  <si>
    <t>Johnson, Nolan</t>
  </si>
  <si>
    <t>Lakeville, MN</t>
  </si>
  <si>
    <t>Katz, Isaiah</t>
  </si>
  <si>
    <t>University of Wisconsin-La Crosse</t>
  </si>
  <si>
    <t>Louthan, Ethan</t>
  </si>
  <si>
    <t>Oklahoma College-Tonkawa</t>
  </si>
  <si>
    <t>Chester, OK</t>
  </si>
  <si>
    <t>Pease, JJ</t>
  </si>
  <si>
    <t>Pensacola, FL</t>
  </si>
  <si>
    <t>Rizzo, Will</t>
  </si>
  <si>
    <t>Texas A&amp;M University</t>
  </si>
  <si>
    <t>The Woodlands, TX</t>
  </si>
  <si>
    <t>Ronan, Cory</t>
  </si>
  <si>
    <t>Jacksonville, IL</t>
  </si>
  <si>
    <t>Rosenbaum, Hunter</t>
  </si>
  <si>
    <t>University of Texas Rio Grande Valley</t>
  </si>
  <si>
    <t>Webster, WI</t>
  </si>
  <si>
    <t>Shepard, Ben</t>
  </si>
  <si>
    <t>University of Minnesota-Duluth</t>
  </si>
  <si>
    <t>Eden Prairie, MN</t>
  </si>
  <si>
    <t>Stanton, Adam</t>
  </si>
  <si>
    <t>Iowa Western Community College</t>
  </si>
  <si>
    <t>Eagan, MN</t>
  </si>
  <si>
    <t>True, Derek</t>
  </si>
  <si>
    <t>Carpinteria , CA</t>
  </si>
  <si>
    <t>Hunt, Sam</t>
  </si>
  <si>
    <t>Vanderbilt University</t>
  </si>
  <si>
    <t>St. Louis Park, MN</t>
  </si>
  <si>
    <t>Ryan, Shane</t>
  </si>
  <si>
    <t>Markesan, WI</t>
  </si>
  <si>
    <t>Saum, Charlie</t>
  </si>
  <si>
    <t>Stanford University</t>
  </si>
  <si>
    <t>Thousand Oaks, CA</t>
  </si>
  <si>
    <t>Brookshaw, Peter</t>
  </si>
  <si>
    <t>Prescott, WI</t>
  </si>
  <si>
    <t>Conn, Clay</t>
  </si>
  <si>
    <t>University of Illinois at Chicago</t>
  </si>
  <si>
    <t>St. Charles, IL</t>
  </si>
  <si>
    <t>Haskins, Trevor</t>
  </si>
  <si>
    <t>San Jose, CA</t>
  </si>
  <si>
    <t>Kuchinski, Sam</t>
  </si>
  <si>
    <t>Powder Springs, GA</t>
  </si>
  <si>
    <t>Rosengard, Benjamin</t>
  </si>
  <si>
    <t>Rice University</t>
  </si>
  <si>
    <t>Sapien, Jake</t>
  </si>
  <si>
    <t>Atwater, CA</t>
  </si>
  <si>
    <t>Szykowny, Charlie</t>
  </si>
  <si>
    <t>Palos Heights, IL</t>
  </si>
  <si>
    <t>Yorke, Joe</t>
  </si>
  <si>
    <t>Campbell, CA</t>
  </si>
  <si>
    <t>Coupe, Max</t>
  </si>
  <si>
    <t>Skyline College</t>
  </si>
  <si>
    <t>Menlo Park, CA</t>
  </si>
  <si>
    <t>Latimer, Reed</t>
  </si>
  <si>
    <t>Scottsboro, AL</t>
  </si>
  <si>
    <t>Schwabe, Cadyn</t>
  </si>
  <si>
    <t>Thompson, ND</t>
  </si>
  <si>
    <t>Wright, Spencer</t>
  </si>
  <si>
    <t>Winona, MN</t>
  </si>
  <si>
    <t>Batting1</t>
  </si>
  <si>
    <t>BattingALL</t>
  </si>
  <si>
    <t>Pitching1</t>
  </si>
  <si>
    <t>PicthingALL</t>
  </si>
  <si>
    <t>Start1</t>
  </si>
  <si>
    <t>ALL</t>
  </si>
  <si>
    <t>Pen</t>
  </si>
  <si>
    <t>Win1</t>
  </si>
  <si>
    <t>WinALL</t>
  </si>
  <si>
    <t>Total1</t>
  </si>
  <si>
    <t>TotalALL</t>
  </si>
  <si>
    <t>Brockwell, Andrew</t>
  </si>
  <si>
    <t>Western Kentucky</t>
  </si>
  <si>
    <t>Brodhead Wisconsin</t>
  </si>
  <si>
    <t>Burns, Mason</t>
  </si>
  <si>
    <t>Bloomington, Il</t>
  </si>
  <si>
    <t>Chmielewski, Ryan</t>
  </si>
  <si>
    <t>R/L</t>
  </si>
  <si>
    <t>Southwest Minnesota State University</t>
  </si>
  <si>
    <t>Foley</t>
  </si>
  <si>
    <t>Combs, Jake</t>
  </si>
  <si>
    <t>Southern Illinois University</t>
  </si>
  <si>
    <t>Houston</t>
  </si>
  <si>
    <t>Conn, Drew</t>
  </si>
  <si>
    <t>Grand View University</t>
  </si>
  <si>
    <t>St. Charles, Il</t>
  </si>
  <si>
    <t>Dodson, Devin</t>
  </si>
  <si>
    <t>University Colorado Colorado Springs</t>
  </si>
  <si>
    <t>Colorado Springs, Co</t>
  </si>
  <si>
    <t>Edwards, Caden</t>
  </si>
  <si>
    <t>Duluth, Mn</t>
  </si>
  <si>
    <t>Edwards, Jaxon</t>
  </si>
  <si>
    <t>Horn, Jonathan</t>
  </si>
  <si>
    <t>Woodbury, Mn</t>
  </si>
  <si>
    <t>Klick, Jeremy</t>
  </si>
  <si>
    <t>University of Saint Thomas</t>
  </si>
  <si>
    <t>Maple Grove</t>
  </si>
  <si>
    <t>Moniz-Witten, Tyler</t>
  </si>
  <si>
    <t>San Mateo</t>
  </si>
  <si>
    <t>Piscitello, Isaiah</t>
  </si>
  <si>
    <t>Bryant &amp; Stranton College</t>
  </si>
  <si>
    <t>Wausau</t>
  </si>
  <si>
    <t>Potter, Alex</t>
  </si>
  <si>
    <t>University Nebraska Omaha</t>
  </si>
  <si>
    <t>Parker</t>
  </si>
  <si>
    <t>Rohde, Isaac</t>
  </si>
  <si>
    <t>Clarke University</t>
  </si>
  <si>
    <t>Rice Lake</t>
  </si>
  <si>
    <t>Sarhatt, Michael</t>
  </si>
  <si>
    <t>Nevada - Reno</t>
  </si>
  <si>
    <t>Belmont</t>
  </si>
  <si>
    <t>Schelonka, Jake</t>
  </si>
  <si>
    <t>The College of St. Scholastica</t>
  </si>
  <si>
    <t>Sartell, Mn</t>
  </si>
  <si>
    <t>Fugere, Isaac</t>
  </si>
  <si>
    <t>University of Wisconsin-Superior</t>
  </si>
  <si>
    <t>Duluth</t>
  </si>
  <si>
    <t>Keller, Jeremy</t>
  </si>
  <si>
    <t>Chico State</t>
  </si>
  <si>
    <t>Pacifica</t>
  </si>
  <si>
    <t>Rosario, Eduardo</t>
  </si>
  <si>
    <t>Santo Domingo</t>
  </si>
  <si>
    <t>Campbell, Kristian</t>
  </si>
  <si>
    <t>Georgia Tech</t>
  </si>
  <si>
    <t>Kennesaw, Ga</t>
  </si>
  <si>
    <t>Frederick, Cam</t>
  </si>
  <si>
    <t>Lincoln, Nebraska</t>
  </si>
  <si>
    <t>Hallquist, Michael</t>
  </si>
  <si>
    <t>Minnesota Crookston</t>
  </si>
  <si>
    <t>Fargo</t>
  </si>
  <si>
    <t>Hurdle, Devin</t>
  </si>
  <si>
    <t>Dewitt, Ia</t>
  </si>
  <si>
    <t>Mettam, Jared</t>
  </si>
  <si>
    <t>High School Senior</t>
  </si>
  <si>
    <t>Montara</t>
  </si>
  <si>
    <t>Satisky, Eddie</t>
  </si>
  <si>
    <t>Lexington, Ky</t>
  </si>
  <si>
    <t>Vastine, Jonathan</t>
  </si>
  <si>
    <t>Bartow, Florida</t>
  </si>
  <si>
    <t>Painter, Jack</t>
  </si>
  <si>
    <t>Davis, California</t>
  </si>
  <si>
    <t>Rogers, JD</t>
  </si>
  <si>
    <t>Carmel, In</t>
  </si>
  <si>
    <t>Vos, Joe</t>
  </si>
  <si>
    <t>University of St. Thomas</t>
  </si>
  <si>
    <t>Baker, Brian</t>
  </si>
  <si>
    <t>Northern State University</t>
  </si>
  <si>
    <t>Reno, NV</t>
  </si>
  <si>
    <t>Baumgart, Andrew</t>
  </si>
  <si>
    <t>Willmar, MN</t>
  </si>
  <si>
    <t>Brooks, Steven</t>
  </si>
  <si>
    <t>California Polytechnic State University</t>
  </si>
  <si>
    <t>Elk Grove, CA</t>
  </si>
  <si>
    <t>Chevalier, Michael</t>
  </si>
  <si>
    <t>Sioux Falls, SD</t>
  </si>
  <si>
    <t>Gustafson, Andrew</t>
  </si>
  <si>
    <t>Gustavus Adolphus College</t>
  </si>
  <si>
    <t>Maplewood, MN</t>
  </si>
  <si>
    <t>Gutknecht, Mitch</t>
  </si>
  <si>
    <t>Stillwater, MN</t>
  </si>
  <si>
    <t>Habeck, Jack</t>
  </si>
  <si>
    <t>St. Cloud State University</t>
  </si>
  <si>
    <t>Appleton, WI</t>
  </si>
  <si>
    <t>Ihli, Joe</t>
  </si>
  <si>
    <t>Northwest Nazarene University</t>
  </si>
  <si>
    <t>Caldwell, ID</t>
  </si>
  <si>
    <t>Kemp, Nolan</t>
  </si>
  <si>
    <t>Chaska, MN</t>
  </si>
  <si>
    <t>Matela, Dylan</t>
  </si>
  <si>
    <t>Georgia State University</t>
  </si>
  <si>
    <t>Alpharetta, GA</t>
  </si>
  <si>
    <t>Miller, Seth</t>
  </si>
  <si>
    <t>Augustana University</t>
  </si>
  <si>
    <t>Blaine, MN</t>
  </si>
  <si>
    <t>Novotny, Tucker</t>
  </si>
  <si>
    <t>University of Minnesota</t>
  </si>
  <si>
    <t>Cottage Grove, MN</t>
  </si>
  <si>
    <t>Samuels, Logan</t>
  </si>
  <si>
    <t>Winfield, AL</t>
  </si>
  <si>
    <t>Zigan, Jack</t>
  </si>
  <si>
    <t>Dirksen, Drey</t>
  </si>
  <si>
    <t>Spicer, MN</t>
  </si>
  <si>
    <t>Entrekin, Jake</t>
  </si>
  <si>
    <t>Point Loma Nazarene University</t>
  </si>
  <si>
    <t>Alpine, CA</t>
  </si>
  <si>
    <t>Tarlow, Graysen</t>
  </si>
  <si>
    <t>California State University, Northridge</t>
  </si>
  <si>
    <t>Orange , CA</t>
  </si>
  <si>
    <t>Anderson, Scott</t>
  </si>
  <si>
    <t>Carlsbad, CA</t>
  </si>
  <si>
    <t>Byrne, Aidan</t>
  </si>
  <si>
    <t>Hake, Carson</t>
  </si>
  <si>
    <t>Victoria, MN</t>
  </si>
  <si>
    <t>Krier, Kole</t>
  </si>
  <si>
    <t>Maple Grove, MN</t>
  </si>
  <si>
    <t>Payne, Kyle</t>
  </si>
  <si>
    <t>Bellingham, WA</t>
  </si>
  <si>
    <t>Sagedahl, Jordan</t>
  </si>
  <si>
    <t>South Dakota State University</t>
  </si>
  <si>
    <t>Olivia, MN</t>
  </si>
  <si>
    <t>Terrell, Nick</t>
  </si>
  <si>
    <t>Southern Illinois University, Edwardsville</t>
  </si>
  <si>
    <t>Peoria, IL</t>
  </si>
  <si>
    <t>Fitzgerald, Josh</t>
  </si>
  <si>
    <t>Mason City, IA</t>
  </si>
  <si>
    <t>Pearson, Dalton</t>
  </si>
  <si>
    <t>Atlanta, GA</t>
  </si>
  <si>
    <t>Walls, Joey</t>
  </si>
  <si>
    <t>California State University, Long Beach</t>
  </si>
  <si>
    <t>Acosta, Rafael</t>
  </si>
  <si>
    <t>Adams, Aiden</t>
  </si>
  <si>
    <t>Tarleton State University</t>
  </si>
  <si>
    <t>Hot Springs</t>
  </si>
  <si>
    <t>Cooper, Payton</t>
  </si>
  <si>
    <t>Elaine P. Nunez Community College</t>
  </si>
  <si>
    <t>Prairieville, La</t>
  </si>
  <si>
    <t>Cornett, Tyler</t>
  </si>
  <si>
    <t>Shallowater</t>
  </si>
  <si>
    <t>Day, Hunter</t>
  </si>
  <si>
    <t>Richfield, MN</t>
  </si>
  <si>
    <t>Gainey, Brayden</t>
  </si>
  <si>
    <t>University of Alabama</t>
  </si>
  <si>
    <t>Panama City</t>
  </si>
  <si>
    <t>Glenos, Danny</t>
  </si>
  <si>
    <t>Suwanee, GA</t>
  </si>
  <si>
    <t>Grillo, Chase</t>
  </si>
  <si>
    <t>Washington State University</t>
  </si>
  <si>
    <t>Kennewick, WA</t>
  </si>
  <si>
    <t>Hyde, Nick</t>
  </si>
  <si>
    <t>Western Carolina University</t>
  </si>
  <si>
    <t>Mount Pleasant, SC</t>
  </si>
  <si>
    <t>Jaenke, Brandon</t>
  </si>
  <si>
    <t>Viterbo University</t>
  </si>
  <si>
    <t>Fall Creek</t>
  </si>
  <si>
    <t>Keisel, Janzen</t>
  </si>
  <si>
    <t>Oklahoma State University</t>
  </si>
  <si>
    <t>Gunnison, Utah</t>
  </si>
  <si>
    <t>Krowka, Kaden</t>
  </si>
  <si>
    <t>Heath</t>
  </si>
  <si>
    <t>Lilledahl, Derek</t>
  </si>
  <si>
    <t>Dodge Center, Mn</t>
  </si>
  <si>
    <t>Ozoa, Enrique</t>
  </si>
  <si>
    <t>Southern Universtiy and A&amp;M College</t>
  </si>
  <si>
    <t>Levitown, Pr</t>
  </si>
  <si>
    <t>Petron, Carter</t>
  </si>
  <si>
    <t>Rice Mn</t>
  </si>
  <si>
    <t>Posch, Brady</t>
  </si>
  <si>
    <t>Sauk Rapids</t>
  </si>
  <si>
    <t>Schoeberl, Trent</t>
  </si>
  <si>
    <t>White Bear Lake</t>
  </si>
  <si>
    <t>Welch, Brandon</t>
  </si>
  <si>
    <t>University of Northwestern Saint Paul</t>
  </si>
  <si>
    <t>Otsego</t>
  </si>
  <si>
    <t>Hofstetter, Magnum</t>
  </si>
  <si>
    <t>Twin Falls, ID</t>
  </si>
  <si>
    <t>Martin, Dawson</t>
  </si>
  <si>
    <t>University of Nevada, Reno</t>
  </si>
  <si>
    <t>Nava, Gustavo</t>
  </si>
  <si>
    <t>Venezuela</t>
  </si>
  <si>
    <t>Sipe, Evan</t>
  </si>
  <si>
    <t>San Diego State University</t>
  </si>
  <si>
    <t>San Marcos</t>
  </si>
  <si>
    <t>Austin, Trevor</t>
  </si>
  <si>
    <t>Mercer University</t>
  </si>
  <si>
    <t>Macon, Georgia</t>
  </si>
  <si>
    <t>Burgos, O'Neill</t>
  </si>
  <si>
    <t>Juncos</t>
  </si>
  <si>
    <t>Condon, Charlie</t>
  </si>
  <si>
    <t>Marietta, Ga</t>
  </si>
  <si>
    <t>Hauge, Jackson</t>
  </si>
  <si>
    <t>Ramsey, Mn</t>
  </si>
  <si>
    <t>Liddie, Evan</t>
  </si>
  <si>
    <t>Madison, Al</t>
  </si>
  <si>
    <t>Steil, Jack</t>
  </si>
  <si>
    <t>Cold Spring, MN</t>
  </si>
  <si>
    <t>Trigiani, Luca</t>
  </si>
  <si>
    <t>Saint Joseph's University</t>
  </si>
  <si>
    <t>Brooklyn</t>
  </si>
  <si>
    <t>Worthington, Will</t>
  </si>
  <si>
    <t>Phoenix</t>
  </si>
  <si>
    <t>Mezzenga, Ike</t>
  </si>
  <si>
    <t>Shoreview</t>
  </si>
  <si>
    <t>Nett, John</t>
  </si>
  <si>
    <t>Kimberly, WI</t>
  </si>
  <si>
    <t>Pennington, Garrett</t>
  </si>
  <si>
    <t>Wichita State University</t>
  </si>
  <si>
    <t>Lenexa</t>
  </si>
  <si>
    <t>Cox, T</t>
  </si>
  <si>
    <t>Corn, A</t>
  </si>
  <si>
    <t>Average PA</t>
  </si>
  <si>
    <t>Test</t>
  </si>
  <si>
    <t>Separator</t>
  </si>
  <si>
    <t>RAA/G1</t>
  </si>
  <si>
    <t>Gustafson, An</t>
  </si>
  <si>
    <t>Rk</t>
  </si>
  <si>
    <t>HomeG1</t>
  </si>
  <si>
    <t>HomeDiv</t>
  </si>
  <si>
    <t>Game1</t>
  </si>
  <si>
    <t>POWER</t>
  </si>
  <si>
    <t>Game2</t>
  </si>
  <si>
    <t>Game3</t>
  </si>
  <si>
    <t>Sweep</t>
  </si>
  <si>
    <t>Win3</t>
  </si>
  <si>
    <t>WinDiv</t>
  </si>
  <si>
    <t>N/A</t>
  </si>
  <si>
    <t>WinCon</t>
  </si>
  <si>
    <t>CHAMPS</t>
  </si>
  <si>
    <t>GREAT LAKES</t>
  </si>
  <si>
    <t>GREAT PLAINS</t>
  </si>
  <si>
    <t>NORTHWOODS LEAGUE PLAYOFF ODDS</t>
  </si>
  <si>
    <t>PLAYOFF POWER INDEX RANKINGS</t>
  </si>
  <si>
    <t>GAME 1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</si>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</sst>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"/>
    <numFmt numFmtId="171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FF00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7" tint="0.59999389629810485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20"/>
      <color theme="0"/>
      <name val="Times New Roman"/>
      <family val="1"/>
    </font>
    <font>
      <b/>
      <sz val="16"/>
      <color theme="0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b/>
      <sz val="14"/>
      <color theme="2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0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4" fillId="2" borderId="5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right" vertical="center"/>
    </xf>
    <xf numFmtId="16" fontId="0" fillId="0" borderId="0" xfId="0" applyNumberFormat="1"/>
    <xf numFmtId="17" fontId="0" fillId="0" borderId="0" xfId="0" applyNumberFormat="1"/>
    <xf numFmtId="0" fontId="0" fillId="8" borderId="0" xfId="0" applyFill="1"/>
    <xf numFmtId="16" fontId="0" fillId="8" borderId="0" xfId="0" applyNumberFormat="1" applyFill="1"/>
    <xf numFmtId="0" fontId="0" fillId="0" borderId="0" xfId="0" applyFill="1"/>
    <xf numFmtId="0" fontId="0" fillId="9" borderId="0" xfId="0" applyFill="1"/>
    <xf numFmtId="0" fontId="0" fillId="6" borderId="0" xfId="0" applyFill="1"/>
    <xf numFmtId="0" fontId="0" fillId="8" borderId="4" xfId="0" applyFill="1" applyBorder="1"/>
    <xf numFmtId="0" fontId="0" fillId="2" borderId="4" xfId="0" applyFill="1" applyBorder="1"/>
    <xf numFmtId="0" fontId="0" fillId="10" borderId="11" xfId="0" applyFill="1" applyBorder="1"/>
    <xf numFmtId="0" fontId="0" fillId="10" borderId="0" xfId="0" applyFill="1" applyBorder="1"/>
    <xf numFmtId="0" fontId="10" fillId="10" borderId="11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2" fillId="10" borderId="11" xfId="0" applyFont="1" applyFill="1" applyBorder="1"/>
    <xf numFmtId="0" fontId="12" fillId="10" borderId="0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/>
    </xf>
    <xf numFmtId="0" fontId="2" fillId="10" borderId="0" xfId="0" applyFont="1" applyFill="1" applyBorder="1"/>
    <xf numFmtId="0" fontId="13" fillId="10" borderId="17" xfId="0" applyFont="1" applyFill="1" applyBorder="1" applyAlignment="1">
      <alignment horizontal="center" wrapText="1"/>
    </xf>
    <xf numFmtId="0" fontId="0" fillId="10" borderId="1" xfId="0" applyFill="1" applyBorder="1"/>
    <xf numFmtId="0" fontId="3" fillId="10" borderId="0" xfId="0" applyFont="1" applyFill="1" applyBorder="1" applyAlignment="1">
      <alignment vertical="center"/>
    </xf>
    <xf numFmtId="0" fontId="0" fillId="10" borderId="17" xfId="0" applyFill="1" applyBorder="1"/>
    <xf numFmtId="0" fontId="0" fillId="10" borderId="2" xfId="0" applyFill="1" applyBorder="1"/>
    <xf numFmtId="0" fontId="0" fillId="10" borderId="18" xfId="0" applyFill="1" applyBorder="1"/>
    <xf numFmtId="9" fontId="9" fillId="10" borderId="17" xfId="1" applyFont="1" applyFill="1" applyBorder="1" applyAlignment="1">
      <alignment horizontal="center" vertical="center"/>
    </xf>
    <xf numFmtId="0" fontId="0" fillId="9" borderId="0" xfId="0" applyFill="1" applyBorder="1"/>
    <xf numFmtId="0" fontId="0" fillId="9" borderId="12" xfId="0" applyFill="1" applyBorder="1"/>
    <xf numFmtId="0" fontId="10" fillId="9" borderId="0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2" fillId="9" borderId="0" xfId="0" applyFont="1" applyFill="1" applyBorder="1"/>
    <xf numFmtId="0" fontId="12" fillId="9" borderId="0" xfId="0" applyFont="1" applyFill="1" applyBorder="1" applyAlignment="1">
      <alignment horizontal="center"/>
    </xf>
    <xf numFmtId="0" fontId="2" fillId="9" borderId="1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3" fillId="9" borderId="0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right"/>
    </xf>
    <xf numFmtId="0" fontId="14" fillId="7" borderId="10" xfId="0" applyFont="1" applyFill="1" applyBorder="1" applyAlignment="1">
      <alignment horizontal="right" vertical="center"/>
    </xf>
    <xf numFmtId="0" fontId="15" fillId="8" borderId="13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 wrapText="1"/>
    </xf>
    <xf numFmtId="0" fontId="15" fillId="8" borderId="15" xfId="0" applyFont="1" applyFill="1" applyBorder="1" applyAlignment="1">
      <alignment horizontal="center" wrapText="1"/>
    </xf>
    <xf numFmtId="168" fontId="16" fillId="11" borderId="11" xfId="0" quotePrefix="1" applyNumberFormat="1" applyFont="1" applyFill="1" applyBorder="1" applyAlignment="1">
      <alignment horizontal="right"/>
    </xf>
    <xf numFmtId="168" fontId="16" fillId="11" borderId="1" xfId="0" quotePrefix="1" applyNumberFormat="1" applyFont="1" applyFill="1" applyBorder="1" applyAlignment="1">
      <alignment horizontal="right"/>
    </xf>
    <xf numFmtId="0" fontId="17" fillId="11" borderId="0" xfId="0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left" vertical="center"/>
    </xf>
    <xf numFmtId="171" fontId="17" fillId="11" borderId="19" xfId="0" applyNumberFormat="1" applyFont="1" applyFill="1" applyBorder="1" applyAlignment="1">
      <alignment horizontal="center" vertical="center"/>
    </xf>
    <xf numFmtId="171" fontId="17" fillId="11" borderId="20" xfId="0" applyNumberFormat="1" applyFont="1" applyFill="1" applyBorder="1" applyAlignment="1">
      <alignment horizontal="center" vertical="center"/>
    </xf>
    <xf numFmtId="171" fontId="17" fillId="11" borderId="21" xfId="0" applyNumberFormat="1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wrapText="1"/>
    </xf>
    <xf numFmtId="0" fontId="18" fillId="9" borderId="0" xfId="0" applyFont="1" applyFill="1" applyBorder="1" applyAlignment="1">
      <alignment horizontal="center" wrapText="1"/>
    </xf>
    <xf numFmtId="9" fontId="9" fillId="11" borderId="6" xfId="1" applyFont="1" applyFill="1" applyBorder="1" applyAlignment="1">
      <alignment horizontal="center" vertical="center"/>
    </xf>
    <xf numFmtId="9" fontId="9" fillId="11" borderId="7" xfId="1" applyFont="1" applyFill="1" applyBorder="1" applyAlignment="1">
      <alignment horizontal="center" vertical="center"/>
    </xf>
    <xf numFmtId="9" fontId="9" fillId="11" borderId="9" xfId="1" applyFont="1" applyFill="1" applyBorder="1" applyAlignment="1">
      <alignment horizontal="center" vertical="center"/>
    </xf>
    <xf numFmtId="9" fontId="9" fillId="11" borderId="10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14</xdr:row>
          <xdr:rowOff>47625</xdr:rowOff>
        </xdr:from>
        <xdr:to>
          <xdr:col>15</xdr:col>
          <xdr:colOff>95250</xdr:colOff>
          <xdr:row>29</xdr:row>
          <xdr:rowOff>180975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41ECF6D4-703E-D0F8-A27E-FC0DCB71ED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O$11" spid="_x0000_s10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5325" y="3800475"/>
              <a:ext cx="10277475" cy="2990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171450</xdr:colOff>
      <xdr:row>10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E4571-EAA4-B805-BB25-9BB2D806E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00025"/>
          <a:ext cx="321945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%20Laptop/OneDrive/Desktop/Battle%20Creek/Game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RunProb"/>
      <sheetName val="Coef"/>
      <sheetName val="Log"/>
      <sheetName val="Batting"/>
      <sheetName val="Pitching"/>
      <sheetName val="Fielding"/>
    </sheetNames>
    <sheetDataSet>
      <sheetData sheetId="0"/>
      <sheetData sheetId="1"/>
      <sheetData sheetId="2">
        <row r="15">
          <cell r="K15">
            <v>4.5890512025970196</v>
          </cell>
        </row>
        <row r="16">
          <cell r="H16">
            <v>6.0590969455511292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E3C4-AC15-49C7-A68E-F41A5C05009F}">
  <dimension ref="B1:O11"/>
  <sheetViews>
    <sheetView showGridLines="0" tabSelected="1" topLeftCell="A13" workbookViewId="0">
      <selection activeCell="B2" sqref="B2:O11"/>
    </sheetView>
  </sheetViews>
  <sheetFormatPr defaultRowHeight="15" x14ac:dyDescent="0.25"/>
  <cols>
    <col min="2" max="2" width="4.7109375" customWidth="1"/>
    <col min="3" max="3" width="32.7109375" customWidth="1"/>
    <col min="4" max="7" width="8.7109375" customWidth="1"/>
    <col min="8" max="9" width="4.7109375" customWidth="1"/>
    <col min="10" max="13" width="8.7109375" customWidth="1"/>
    <col min="14" max="14" width="32.7109375" customWidth="1"/>
    <col min="15" max="15" width="4.7109375" customWidth="1"/>
  </cols>
  <sheetData>
    <row r="1" spans="2:15" ht="15.75" thickBot="1" x14ac:dyDescent="0.3"/>
    <row r="2" spans="2:15" ht="32.1" customHeight="1" x14ac:dyDescent="0.35">
      <c r="B2" s="44" t="s">
        <v>685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2:15" ht="3.95" customHeight="1" x14ac:dyDescent="0.35">
      <c r="B3" s="20"/>
      <c r="C3" s="21"/>
      <c r="D3" s="21"/>
      <c r="E3" s="21"/>
      <c r="F3" s="21"/>
      <c r="G3" s="21"/>
      <c r="H3" s="22"/>
      <c r="I3" s="36"/>
      <c r="J3" s="36"/>
      <c r="K3" s="36"/>
      <c r="L3" s="36"/>
      <c r="M3" s="36"/>
      <c r="N3" s="36"/>
      <c r="O3" s="37"/>
    </row>
    <row r="4" spans="2:15" ht="32.1" customHeight="1" x14ac:dyDescent="0.3">
      <c r="B4" s="23"/>
      <c r="C4" s="47" t="s">
        <v>683</v>
      </c>
      <c r="D4" s="24" t="s">
        <v>9</v>
      </c>
      <c r="E4" s="24"/>
      <c r="F4" s="24"/>
      <c r="G4" s="24"/>
      <c r="H4" s="25"/>
      <c r="I4" s="38"/>
      <c r="J4" s="39" t="s">
        <v>9</v>
      </c>
      <c r="K4" s="39"/>
      <c r="L4" s="39"/>
      <c r="M4" s="39"/>
      <c r="N4" s="48" t="s">
        <v>684</v>
      </c>
      <c r="O4" s="40"/>
    </row>
    <row r="5" spans="2:15" ht="24" customHeight="1" thickBot="1" x14ac:dyDescent="0.3">
      <c r="B5" s="23"/>
      <c r="C5" s="26"/>
      <c r="D5" s="60" t="s">
        <v>687</v>
      </c>
      <c r="E5" s="60" t="s">
        <v>688</v>
      </c>
      <c r="F5" s="60" t="s">
        <v>689</v>
      </c>
      <c r="G5" s="60" t="s">
        <v>8</v>
      </c>
      <c r="H5" s="27"/>
      <c r="I5" s="38"/>
      <c r="J5" s="61" t="s">
        <v>8</v>
      </c>
      <c r="K5" s="61" t="s">
        <v>689</v>
      </c>
      <c r="L5" s="61" t="s">
        <v>688</v>
      </c>
      <c r="M5" s="61" t="s">
        <v>687</v>
      </c>
      <c r="N5" s="38"/>
      <c r="O5" s="40"/>
    </row>
    <row r="6" spans="2:15" ht="24" customHeight="1" x14ac:dyDescent="0.25">
      <c r="B6" s="18"/>
      <c r="C6" s="2" t="s">
        <v>0</v>
      </c>
      <c r="D6" s="62">
        <f>Teams!L2</f>
        <v>0.51663452994559278</v>
      </c>
      <c r="E6" s="62">
        <f>Teams!Q2</f>
        <v>0.51310190887719309</v>
      </c>
      <c r="F6" s="62">
        <f>Teams!R2</f>
        <v>0.28958323972877548</v>
      </c>
      <c r="G6" s="63">
        <f>Teams!S2</f>
        <v>0.12968752969139311</v>
      </c>
      <c r="H6" s="33"/>
      <c r="I6" s="34"/>
      <c r="J6" s="62">
        <f>Teams!S6</f>
        <v>9.0617664405965456E-2</v>
      </c>
      <c r="K6" s="62">
        <f>Teams!R6</f>
        <v>0.19221199788799265</v>
      </c>
      <c r="L6" s="62">
        <f>Teams!Q6</f>
        <v>0.588966373401282</v>
      </c>
      <c r="M6" s="63">
        <f>Teams!L6</f>
        <v>0.54538042752350946</v>
      </c>
      <c r="N6" s="6" t="s">
        <v>4</v>
      </c>
      <c r="O6" s="35"/>
    </row>
    <row r="7" spans="2:15" ht="24" customHeight="1" thickBot="1" x14ac:dyDescent="0.3">
      <c r="B7" s="18"/>
      <c r="C7" s="3" t="s">
        <v>1</v>
      </c>
      <c r="D7" s="64">
        <f>Teams!L3</f>
        <v>0.48336547005440716</v>
      </c>
      <c r="E7" s="64">
        <f>Teams!Q3</f>
        <v>0.48689809112280691</v>
      </c>
      <c r="F7" s="64">
        <f>Teams!R3</f>
        <v>0.25231702243214782</v>
      </c>
      <c r="G7" s="65">
        <f>Teams!S3</f>
        <v>0.1079686328675174</v>
      </c>
      <c r="H7" s="33"/>
      <c r="I7" s="34"/>
      <c r="J7" s="64">
        <f>Teams!S7</f>
        <v>4.0277448461884288E-2</v>
      </c>
      <c r="K7" s="64">
        <f>Teams!R7</f>
        <v>0.10965383386068225</v>
      </c>
      <c r="L7" s="64">
        <f>Teams!Q7</f>
        <v>0.411033626598718</v>
      </c>
      <c r="M7" s="65">
        <f>Teams!L7</f>
        <v>0.45461957247649054</v>
      </c>
      <c r="N7" s="7" t="s">
        <v>5</v>
      </c>
      <c r="O7" s="35"/>
    </row>
    <row r="8" spans="2:15" ht="24" customHeight="1" thickBot="1" x14ac:dyDescent="0.3">
      <c r="B8" s="18"/>
      <c r="C8" s="29"/>
      <c r="D8" s="19"/>
      <c r="E8" s="19"/>
      <c r="F8" s="19"/>
      <c r="G8" s="19"/>
      <c r="H8" s="30"/>
      <c r="I8" s="34"/>
      <c r="J8" s="34"/>
      <c r="K8" s="34"/>
      <c r="L8" s="34"/>
      <c r="M8" s="34"/>
      <c r="N8" s="43"/>
      <c r="O8" s="35"/>
    </row>
    <row r="9" spans="2:15" ht="24" customHeight="1" x14ac:dyDescent="0.25">
      <c r="B9" s="18"/>
      <c r="C9" s="4" t="s">
        <v>2</v>
      </c>
      <c r="D9" s="62">
        <f>Teams!L4</f>
        <v>0.61802587460576675</v>
      </c>
      <c r="E9" s="62">
        <f>Teams!Q4</f>
        <v>0.51864589227173274</v>
      </c>
      <c r="F9" s="62">
        <f>Teams!R4</f>
        <v>0.22734635392693414</v>
      </c>
      <c r="G9" s="63">
        <f>Teams!S4</f>
        <v>8.4644350285100228E-2</v>
      </c>
      <c r="H9" s="33"/>
      <c r="I9" s="34"/>
      <c r="J9" s="62">
        <f>Teams!S8</f>
        <v>0.37350365769832194</v>
      </c>
      <c r="K9" s="62">
        <f>Teams!R8</f>
        <v>0.55751066291484241</v>
      </c>
      <c r="L9" s="62">
        <f>Teams!Q8</f>
        <v>0.75640228812714949</v>
      </c>
      <c r="M9" s="63">
        <f>Teams!L8</f>
        <v>0.62478557073876684</v>
      </c>
      <c r="N9" s="8" t="s">
        <v>6</v>
      </c>
      <c r="O9" s="35"/>
    </row>
    <row r="10" spans="2:15" ht="24" customHeight="1" thickBot="1" x14ac:dyDescent="0.3">
      <c r="B10" s="18"/>
      <c r="C10" s="5" t="s">
        <v>3</v>
      </c>
      <c r="D10" s="64">
        <f>Teams!L5</f>
        <v>0.38197412539423325</v>
      </c>
      <c r="E10" s="64">
        <f>Teams!Q5</f>
        <v>0.4813541077282672</v>
      </c>
      <c r="F10" s="64">
        <f>Teams!R5</f>
        <v>0.23075338391214248</v>
      </c>
      <c r="G10" s="65">
        <f>Teams!S5</f>
        <v>0.10234661008407148</v>
      </c>
      <c r="H10" s="33"/>
      <c r="I10" s="34"/>
      <c r="J10" s="64">
        <f>Teams!S9</f>
        <v>7.0954106505745962E-2</v>
      </c>
      <c r="K10" s="64">
        <f>Teams!R9</f>
        <v>0.1406235053364826</v>
      </c>
      <c r="L10" s="64">
        <f>Teams!Q9</f>
        <v>0.24359771187285045</v>
      </c>
      <c r="M10" s="65">
        <f>Teams!L9</f>
        <v>0.37521442926123316</v>
      </c>
      <c r="N10" s="49" t="s">
        <v>7</v>
      </c>
      <c r="O10" s="35"/>
    </row>
    <row r="11" spans="2:15" ht="24" customHeight="1" thickBot="1" x14ac:dyDescent="0.3">
      <c r="B11" s="28"/>
      <c r="C11" s="31"/>
      <c r="D11" s="31"/>
      <c r="E11" s="31"/>
      <c r="F11" s="31"/>
      <c r="G11" s="31"/>
      <c r="H11" s="32"/>
      <c r="I11" s="41"/>
      <c r="J11" s="41"/>
      <c r="K11" s="41"/>
      <c r="L11" s="41"/>
      <c r="M11" s="41"/>
      <c r="N11" s="41"/>
      <c r="O11" s="42"/>
    </row>
  </sheetData>
  <mergeCells count="3">
    <mergeCell ref="D4:G4"/>
    <mergeCell ref="J4:M4"/>
    <mergeCell ref="B2:O2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48AD-1514-44E4-94B0-87A1A3DC5329}">
  <dimension ref="A1:U45"/>
  <sheetViews>
    <sheetView workbookViewId="0">
      <selection activeCell="T3" sqref="T3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38</v>
      </c>
      <c r="B2" t="s">
        <v>447</v>
      </c>
      <c r="C2" t="s">
        <v>19</v>
      </c>
      <c r="D2" s="9">
        <v>44714</v>
      </c>
      <c r="E2">
        <v>195</v>
      </c>
      <c r="F2" t="s">
        <v>448</v>
      </c>
      <c r="G2" t="s">
        <v>56</v>
      </c>
      <c r="H2" t="s">
        <v>449</v>
      </c>
      <c r="J2" t="str">
        <f>LEFT(B2,(FIND(",",B2,1)+1)) &amp; LEFT(RIGHT(B2,LEN(B2)-(FIND(",",B2)+1)),1)</f>
        <v>Brockwell, A</v>
      </c>
      <c r="L2">
        <f>VLOOKUP($J2,[1]!Table7[[PLAYER]:[WAR]],4, FALSE)</f>
        <v>8</v>
      </c>
      <c r="M2">
        <f>VLOOKUP($J2,[1]!Table7[[PLAYER]:[WAR]],5, FALSE)</f>
        <v>0</v>
      </c>
      <c r="N2">
        <f>VLOOKUP($J2,[1]!Table7[[PLAYER]:[WAR]],34, FALSE)</f>
        <v>11.666666666666664</v>
      </c>
      <c r="O2">
        <f>VLOOKUP($J2,[1]!Table7[[PLAYER]:[WAR]],48, FALSE)</f>
        <v>5.9338825450844928</v>
      </c>
      <c r="P2">
        <f>O2 * (N2/9)</f>
        <v>7.6920699658502674</v>
      </c>
      <c r="R2">
        <v>1</v>
      </c>
      <c r="S2">
        <f>SUMIF($Q$2:$Q$25,R2,$O$2:$O$25)</f>
        <v>5.0220628551837798</v>
      </c>
      <c r="T2" s="11">
        <f>(SUM(P2:P4,P6,P8:P13,P15:P17) / SUM(N2:N4,N8:N13,N15:N17)) * 9</f>
        <v>7.0079901854002813</v>
      </c>
      <c r="U2" s="11">
        <f>(5.5/9)*$S$2 + (3.5/9)*$T$2</f>
        <v>5.7943679280457525</v>
      </c>
    </row>
    <row r="3" spans="1:21" x14ac:dyDescent="0.25">
      <c r="A3">
        <v>50</v>
      </c>
      <c r="B3" t="s">
        <v>450</v>
      </c>
      <c r="C3" t="s">
        <v>19</v>
      </c>
      <c r="D3" s="9">
        <v>44715</v>
      </c>
      <c r="E3">
        <v>210</v>
      </c>
      <c r="F3" t="s">
        <v>448</v>
      </c>
      <c r="G3" t="s">
        <v>26</v>
      </c>
      <c r="H3" t="s">
        <v>451</v>
      </c>
      <c r="J3" t="str">
        <f t="shared" ref="J3:J17" si="0">LEFT(B3,(FIND(",",B3,1)+1)) &amp; LEFT(RIGHT(B3,LEN(B3)-(FIND(",",B3)+1)),1)</f>
        <v>Burns, M</v>
      </c>
      <c r="L3">
        <f>VLOOKUP($J3,[1]!Table7[[PLAYER]:[WAR]],4, FALSE)</f>
        <v>14</v>
      </c>
      <c r="M3">
        <f>VLOOKUP($J3,[1]!Table7[[PLAYER]:[WAR]],5, FALSE)</f>
        <v>6</v>
      </c>
      <c r="N3">
        <f>VLOOKUP($J3,[1]!Table7[[PLAYER]:[WAR]],34, FALSE)</f>
        <v>28.666666666666664</v>
      </c>
      <c r="O3">
        <f>VLOOKUP($J3,[1]!Table7[[PLAYER]:[WAR]],48, FALSE)</f>
        <v>5.4410004684219633</v>
      </c>
      <c r="P3">
        <f t="shared" ref="P3:P17" si="1">O3 * (N3/9)</f>
        <v>17.330594084603291</v>
      </c>
      <c r="R3">
        <v>2</v>
      </c>
      <c r="S3">
        <f t="shared" ref="S3:S4" si="2">SUMIF($Q$2:$Q$25,R3,$O$2:$O$25)</f>
        <v>5.4558320486381264</v>
      </c>
    </row>
    <row r="4" spans="1:21" x14ac:dyDescent="0.25">
      <c r="A4">
        <v>65</v>
      </c>
      <c r="B4" t="s">
        <v>452</v>
      </c>
      <c r="C4" t="s">
        <v>453</v>
      </c>
      <c r="D4" s="9">
        <v>44692</v>
      </c>
      <c r="E4">
        <v>170</v>
      </c>
      <c r="F4" t="s">
        <v>454</v>
      </c>
      <c r="G4" t="s">
        <v>56</v>
      </c>
      <c r="H4" t="s">
        <v>455</v>
      </c>
      <c r="J4" t="str">
        <f t="shared" si="0"/>
        <v>Chmielewski, R</v>
      </c>
      <c r="L4">
        <f>VLOOKUP($J4,[1]!Table7[[PLAYER]:[WAR]],4, FALSE)</f>
        <v>3</v>
      </c>
      <c r="M4">
        <f>VLOOKUP($J4,[1]!Table7[[PLAYER]:[WAR]],5, FALSE)</f>
        <v>1</v>
      </c>
      <c r="N4">
        <f>VLOOKUP($J4,[1]!Table7[[PLAYER]:[WAR]],34, FALSE)</f>
        <v>8.3333333333333321</v>
      </c>
      <c r="O4">
        <f>VLOOKUP($J4,[1]!Table7[[PLAYER]:[WAR]],48, FALSE)</f>
        <v>4.6965249372421498</v>
      </c>
      <c r="P4">
        <f t="shared" si="1"/>
        <v>4.348634201150138</v>
      </c>
      <c r="R4">
        <v>3</v>
      </c>
      <c r="S4">
        <f t="shared" si="2"/>
        <v>5.6531340721673109</v>
      </c>
      <c r="U4" t="s">
        <v>446</v>
      </c>
    </row>
    <row r="5" spans="1:21" x14ac:dyDescent="0.25">
      <c r="A5">
        <v>20</v>
      </c>
      <c r="B5" t="s">
        <v>456</v>
      </c>
      <c r="C5" t="s">
        <v>19</v>
      </c>
      <c r="D5" s="9">
        <v>36678</v>
      </c>
      <c r="E5">
        <v>192</v>
      </c>
      <c r="F5" t="s">
        <v>457</v>
      </c>
      <c r="G5" t="s">
        <v>26</v>
      </c>
      <c r="H5" t="s">
        <v>458</v>
      </c>
      <c r="J5" t="str">
        <f t="shared" si="0"/>
        <v>Combs, J</v>
      </c>
      <c r="L5">
        <f>VLOOKUP($J5,[1]!Table7[[PLAYER]:[WAR]],4, FALSE)</f>
        <v>5</v>
      </c>
      <c r="M5">
        <f>VLOOKUP($J5,[1]!Table7[[PLAYER]:[WAR]],5, FALSE)</f>
        <v>5</v>
      </c>
      <c r="N5">
        <f>VLOOKUP($J5,[1]!Table7[[PLAYER]:[WAR]],34, FALSE)</f>
        <v>26</v>
      </c>
      <c r="O5">
        <f>VLOOKUP($J5,[1]!Table7[[PLAYER]:[WAR]],48, FALSE)</f>
        <v>5.4558320486381264</v>
      </c>
      <c r="P5">
        <f t="shared" si="1"/>
        <v>15.761292584954587</v>
      </c>
      <c r="Q5">
        <v>2</v>
      </c>
      <c r="U5" s="11">
        <f>(5.5/9)*$S$6 + (3.5/9)*$T$2</f>
        <v>6.0112798635053206</v>
      </c>
    </row>
    <row r="6" spans="1:21" x14ac:dyDescent="0.25">
      <c r="A6">
        <v>35</v>
      </c>
      <c r="B6" t="s">
        <v>459</v>
      </c>
      <c r="C6" t="s">
        <v>19</v>
      </c>
      <c r="D6" s="9">
        <v>44713</v>
      </c>
      <c r="E6">
        <v>260</v>
      </c>
      <c r="F6" t="s">
        <v>460</v>
      </c>
      <c r="G6" t="s">
        <v>21</v>
      </c>
      <c r="H6" t="s">
        <v>461</v>
      </c>
      <c r="J6" t="str">
        <f t="shared" si="0"/>
        <v>Conn, D</v>
      </c>
      <c r="L6">
        <f>VLOOKUP($J6,[1]!Table7[[PLAYER]:[WAR]],4, FALSE)</f>
        <v>3</v>
      </c>
      <c r="M6">
        <f>VLOOKUP($J6,[1]!Table7[[PLAYER]:[WAR]],5, FALSE)</f>
        <v>3</v>
      </c>
      <c r="N6">
        <f>VLOOKUP($J6,[1]!Table7[[PLAYER]:[WAR]],34, FALSE)</f>
        <v>15</v>
      </c>
      <c r="O6">
        <f>VLOOKUP($J6,[1]!Table7[[PLAYER]:[WAR]],48, FALSE)</f>
        <v>6.4912508369053681</v>
      </c>
      <c r="P6">
        <f t="shared" si="1"/>
        <v>10.81875139484228</v>
      </c>
      <c r="R6" t="s">
        <v>441</v>
      </c>
      <c r="S6" s="11">
        <f>AVERAGE(S2:S4)</f>
        <v>5.3770096586630727</v>
      </c>
    </row>
    <row r="7" spans="1:21" x14ac:dyDescent="0.25">
      <c r="A7">
        <v>26</v>
      </c>
      <c r="B7" t="s">
        <v>462</v>
      </c>
      <c r="C7" t="s">
        <v>19</v>
      </c>
      <c r="D7" s="9">
        <v>44716</v>
      </c>
      <c r="E7">
        <v>190</v>
      </c>
      <c r="F7" t="s">
        <v>463</v>
      </c>
      <c r="G7" t="s">
        <v>26</v>
      </c>
      <c r="H7" t="s">
        <v>464</v>
      </c>
      <c r="J7" t="str">
        <f t="shared" si="0"/>
        <v>Dodson, D</v>
      </c>
      <c r="L7">
        <f>VLOOKUP($J7,[1]!Table7[[PLAYER]:[WAR]],4, FALSE)</f>
        <v>12</v>
      </c>
      <c r="M7">
        <f>VLOOKUP($J7,[1]!Table7[[PLAYER]:[WAR]],5, FALSE)</f>
        <v>9</v>
      </c>
      <c r="N7">
        <f>VLOOKUP($J7,[1]!Table7[[PLAYER]:[WAR]],34, FALSE)</f>
        <v>53.333333333333336</v>
      </c>
      <c r="O7">
        <f>VLOOKUP($J7,[1]!Table7[[PLAYER]:[WAR]],48, FALSE)</f>
        <v>5.0220628551837798</v>
      </c>
      <c r="P7">
        <f t="shared" si="1"/>
        <v>29.760372475163141</v>
      </c>
      <c r="Q7">
        <v>1</v>
      </c>
    </row>
    <row r="8" spans="1:21" x14ac:dyDescent="0.25">
      <c r="A8">
        <v>28</v>
      </c>
      <c r="B8" t="s">
        <v>465</v>
      </c>
      <c r="C8" t="s">
        <v>54</v>
      </c>
      <c r="D8" s="9">
        <v>44717</v>
      </c>
      <c r="E8">
        <v>205</v>
      </c>
      <c r="F8" t="s">
        <v>280</v>
      </c>
      <c r="G8" t="s">
        <v>39</v>
      </c>
      <c r="H8" t="s">
        <v>466</v>
      </c>
      <c r="J8" t="str">
        <f t="shared" si="0"/>
        <v>Edwards, C</v>
      </c>
      <c r="L8">
        <f>VLOOKUP($J8,[1]!Table7[[PLAYER]:[WAR]],4, FALSE)</f>
        <v>12</v>
      </c>
      <c r="M8">
        <f>VLOOKUP($J8,[1]!Table7[[PLAYER]:[WAR]],5, FALSE)</f>
        <v>1</v>
      </c>
      <c r="N8">
        <f>VLOOKUP($J8,[1]!Table7[[PLAYER]:[WAR]],34, FALSE)</f>
        <v>21.666666666666664</v>
      </c>
      <c r="O8">
        <f>VLOOKUP($J8,[1]!Table7[[PLAYER]:[WAR]],48, FALSE)</f>
        <v>7.1365118208979963</v>
      </c>
      <c r="P8">
        <f t="shared" si="1"/>
        <v>17.180491420680358</v>
      </c>
    </row>
    <row r="9" spans="1:21" x14ac:dyDescent="0.25">
      <c r="A9">
        <v>31</v>
      </c>
      <c r="B9" t="s">
        <v>467</v>
      </c>
      <c r="C9" t="s">
        <v>54</v>
      </c>
      <c r="D9" s="9">
        <v>44717</v>
      </c>
      <c r="E9">
        <v>210</v>
      </c>
      <c r="F9" t="s">
        <v>280</v>
      </c>
      <c r="G9" t="s">
        <v>39</v>
      </c>
      <c r="H9" t="s">
        <v>466</v>
      </c>
      <c r="J9" t="str">
        <f t="shared" si="0"/>
        <v>Edwards, J</v>
      </c>
      <c r="L9">
        <f>VLOOKUP($J9,[1]!Table7[[PLAYER]:[WAR]],4, FALSE)</f>
        <v>10</v>
      </c>
      <c r="M9">
        <f>VLOOKUP($J9,[1]!Table7[[PLAYER]:[WAR]],5, FALSE)</f>
        <v>1</v>
      </c>
      <c r="N9">
        <f>VLOOKUP($J9,[1]!Table7[[PLAYER]:[WAR]],34, FALSE)</f>
        <v>10.666666666666664</v>
      </c>
      <c r="O9">
        <f>VLOOKUP($J9,[1]!Table7[[PLAYER]:[WAR]],48, FALSE)</f>
        <v>8.6797922702582735</v>
      </c>
      <c r="P9">
        <f t="shared" si="1"/>
        <v>10.287161209194988</v>
      </c>
    </row>
    <row r="10" spans="1:21" x14ac:dyDescent="0.25">
      <c r="A10">
        <v>0</v>
      </c>
      <c r="B10" t="s">
        <v>468</v>
      </c>
      <c r="C10" t="s">
        <v>54</v>
      </c>
      <c r="D10" s="9">
        <v>44713</v>
      </c>
      <c r="E10">
        <v>210</v>
      </c>
      <c r="F10" t="s">
        <v>460</v>
      </c>
      <c r="G10" t="s">
        <v>26</v>
      </c>
      <c r="H10" t="s">
        <v>469</v>
      </c>
      <c r="J10" t="str">
        <f t="shared" si="0"/>
        <v>Horn, J</v>
      </c>
      <c r="L10">
        <f>VLOOKUP($J10,[1]!Table7[[PLAYER]:[WAR]],4, FALSE)</f>
        <v>1</v>
      </c>
      <c r="M10">
        <f>VLOOKUP($J10,[1]!Table7[[PLAYER]:[WAR]],5, FALSE)</f>
        <v>1</v>
      </c>
      <c r="N10">
        <f>VLOOKUP($J10,[1]!Table7[[PLAYER]:[WAR]],34, FALSE)</f>
        <v>4</v>
      </c>
      <c r="O10">
        <f>VLOOKUP($J10,[1]!Table7[[PLAYER]:[WAR]],48, FALSE)</f>
        <v>14.440716099000602</v>
      </c>
      <c r="P10">
        <f t="shared" si="1"/>
        <v>6.4180960440002668</v>
      </c>
    </row>
    <row r="11" spans="1:21" x14ac:dyDescent="0.25">
      <c r="A11">
        <v>15</v>
      </c>
      <c r="B11" t="s">
        <v>470</v>
      </c>
      <c r="C11" t="s">
        <v>19</v>
      </c>
      <c r="D11" s="9">
        <v>44715</v>
      </c>
      <c r="E11">
        <v>190</v>
      </c>
      <c r="F11" t="s">
        <v>471</v>
      </c>
      <c r="G11" t="s">
        <v>69</v>
      </c>
      <c r="H11" t="s">
        <v>472</v>
      </c>
      <c r="J11" t="str">
        <f t="shared" si="0"/>
        <v>Klick, J</v>
      </c>
      <c r="L11">
        <f>VLOOKUP($J11,[1]!Table7[[PLAYER]:[WAR]],4, FALSE)</f>
        <v>4</v>
      </c>
      <c r="M11">
        <f>VLOOKUP($J11,[1]!Table7[[PLAYER]:[WAR]],5, FALSE)</f>
        <v>0</v>
      </c>
      <c r="N11">
        <f>VLOOKUP($J11,[1]!Table7[[PLAYER]:[WAR]],34, FALSE)</f>
        <v>5</v>
      </c>
      <c r="O11">
        <f>VLOOKUP($J11,[1]!Table7[[PLAYER]:[WAR]],48, FALSE)</f>
        <v>3.5650673048457731</v>
      </c>
      <c r="P11">
        <f t="shared" si="1"/>
        <v>1.9805929471365407</v>
      </c>
    </row>
    <row r="12" spans="1:21" x14ac:dyDescent="0.25">
      <c r="A12">
        <v>17</v>
      </c>
      <c r="B12" t="s">
        <v>473</v>
      </c>
      <c r="C12" t="s">
        <v>19</v>
      </c>
      <c r="D12" s="9">
        <v>44717</v>
      </c>
      <c r="E12">
        <v>165</v>
      </c>
      <c r="F12" t="s">
        <v>428</v>
      </c>
      <c r="G12" t="s">
        <v>56</v>
      </c>
      <c r="H12" t="s">
        <v>474</v>
      </c>
      <c r="J12" t="str">
        <f t="shared" si="0"/>
        <v>Moniz-Witten, T</v>
      </c>
      <c r="L12">
        <f>VLOOKUP($J12,[1]!Table7[[PLAYER]:[WAR]],4, FALSE)</f>
        <v>3</v>
      </c>
      <c r="M12">
        <f>VLOOKUP($J12,[1]!Table7[[PLAYER]:[WAR]],5, FALSE)</f>
        <v>0</v>
      </c>
      <c r="N12">
        <f>VLOOKUP($J12,[1]!Table7[[PLAYER]:[WAR]],34, FALSE)</f>
        <v>2.6666666666666674</v>
      </c>
      <c r="O12">
        <f>VLOOKUP($J12,[1]!Table7[[PLAYER]:[WAR]],48, FALSE)</f>
        <v>3.8333007952845692</v>
      </c>
      <c r="P12">
        <f t="shared" si="1"/>
        <v>1.1357928282324654</v>
      </c>
    </row>
    <row r="13" spans="1:21" x14ac:dyDescent="0.25">
      <c r="A13">
        <v>30</v>
      </c>
      <c r="B13" t="s">
        <v>475</v>
      </c>
      <c r="C13" t="s">
        <v>19</v>
      </c>
      <c r="D13" s="9">
        <v>44713</v>
      </c>
      <c r="E13">
        <v>171</v>
      </c>
      <c r="F13" t="s">
        <v>476</v>
      </c>
      <c r="G13" t="s">
        <v>26</v>
      </c>
      <c r="H13" t="s">
        <v>477</v>
      </c>
      <c r="J13" t="str">
        <f t="shared" si="0"/>
        <v>Piscitello, I</v>
      </c>
      <c r="L13">
        <f>VLOOKUP($J13,[1]!Table7[[PLAYER]:[WAR]],4, FALSE)</f>
        <v>5</v>
      </c>
      <c r="M13">
        <f>VLOOKUP($J13,[1]!Table7[[PLAYER]:[WAR]],5, FALSE)</f>
        <v>0</v>
      </c>
      <c r="N13">
        <f>VLOOKUP($J13,[1]!Table7[[PLAYER]:[WAR]],34, FALSE)</f>
        <v>5</v>
      </c>
      <c r="O13">
        <f>VLOOKUP($J13,[1]!Table7[[PLAYER]:[WAR]],48, FALSE)</f>
        <v>3.9552251091203856</v>
      </c>
      <c r="P13">
        <f t="shared" si="1"/>
        <v>2.197347282844659</v>
      </c>
    </row>
    <row r="14" spans="1:21" x14ac:dyDescent="0.25">
      <c r="A14">
        <v>39</v>
      </c>
      <c r="B14" t="s">
        <v>478</v>
      </c>
      <c r="C14" t="s">
        <v>19</v>
      </c>
      <c r="D14" s="9">
        <v>36678</v>
      </c>
      <c r="E14">
        <v>175</v>
      </c>
      <c r="F14" t="s">
        <v>479</v>
      </c>
      <c r="G14" t="s">
        <v>47</v>
      </c>
      <c r="H14" t="s">
        <v>480</v>
      </c>
      <c r="J14" t="str">
        <f t="shared" si="0"/>
        <v>Potter, A</v>
      </c>
      <c r="L14">
        <f>VLOOKUP($J14,[1]!Table7[[PLAYER]:[WAR]],4, FALSE)</f>
        <v>5</v>
      </c>
      <c r="M14">
        <f>VLOOKUP($J14,[1]!Table7[[PLAYER]:[WAR]],5, FALSE)</f>
        <v>4</v>
      </c>
      <c r="N14">
        <f>VLOOKUP($J14,[1]!Table7[[PLAYER]:[WAR]],34, FALSE)</f>
        <v>27</v>
      </c>
      <c r="O14">
        <f>VLOOKUP($J14,[1]!Table7[[PLAYER]:[WAR]],48, FALSE)</f>
        <v>5.6531340721673109</v>
      </c>
      <c r="P14">
        <f t="shared" si="1"/>
        <v>16.959402216501932</v>
      </c>
      <c r="Q14">
        <v>3</v>
      </c>
    </row>
    <row r="15" spans="1:21" x14ac:dyDescent="0.25">
      <c r="A15">
        <v>9</v>
      </c>
      <c r="B15" t="s">
        <v>481</v>
      </c>
      <c r="C15" t="s">
        <v>453</v>
      </c>
      <c r="D15" s="9">
        <v>44713</v>
      </c>
      <c r="E15">
        <v>180</v>
      </c>
      <c r="F15" t="s">
        <v>482</v>
      </c>
      <c r="G15" t="s">
        <v>56</v>
      </c>
      <c r="H15" t="s">
        <v>483</v>
      </c>
      <c r="J15" t="str">
        <f t="shared" si="0"/>
        <v>Rohde, I</v>
      </c>
      <c r="L15">
        <f>VLOOKUP($J15,[1]!Table7[[PLAYER]:[WAR]],4, FALSE)</f>
        <v>13</v>
      </c>
      <c r="M15">
        <f>VLOOKUP($J15,[1]!Table7[[PLAYER]:[WAR]],5, FALSE)</f>
        <v>2</v>
      </c>
      <c r="N15">
        <f>VLOOKUP($J15,[1]!Table7[[PLAYER]:[WAR]],34, FALSE)</f>
        <v>23.666666666666664</v>
      </c>
      <c r="O15">
        <f>VLOOKUP($J15,[1]!Table7[[PLAYER]:[WAR]],48, FALSE)</f>
        <v>4.8481919146784778</v>
      </c>
      <c r="P15">
        <f t="shared" si="1"/>
        <v>12.748949108969329</v>
      </c>
    </row>
    <row r="16" spans="1:21" x14ac:dyDescent="0.25">
      <c r="A16">
        <v>33</v>
      </c>
      <c r="B16" t="s">
        <v>484</v>
      </c>
      <c r="C16" t="s">
        <v>19</v>
      </c>
      <c r="D16" s="9">
        <v>44718</v>
      </c>
      <c r="E16">
        <v>230</v>
      </c>
      <c r="F16" t="s">
        <v>485</v>
      </c>
      <c r="G16" t="s">
        <v>56</v>
      </c>
      <c r="H16" t="s">
        <v>486</v>
      </c>
      <c r="J16" t="str">
        <f t="shared" si="0"/>
        <v>Sarhatt, M</v>
      </c>
      <c r="L16">
        <f>VLOOKUP($J16,[1]!Table7[[PLAYER]:[WAR]],4, FALSE)</f>
        <v>17</v>
      </c>
      <c r="M16">
        <f>VLOOKUP($J16,[1]!Table7[[PLAYER]:[WAR]],5, FALSE)</f>
        <v>0</v>
      </c>
      <c r="N16">
        <f>VLOOKUP($J16,[1]!Table7[[PLAYER]:[WAR]],34, FALSE)</f>
        <v>18.333333333333339</v>
      </c>
      <c r="O16">
        <f>VLOOKUP($J16,[1]!Table7[[PLAYER]:[WAR]],48, FALSE)</f>
        <v>7.1651597715615161</v>
      </c>
      <c r="P16">
        <f t="shared" si="1"/>
        <v>14.595695830958649</v>
      </c>
    </row>
    <row r="17" spans="1:18" x14ac:dyDescent="0.25">
      <c r="A17">
        <v>37</v>
      </c>
      <c r="B17" t="s">
        <v>487</v>
      </c>
      <c r="C17" t="s">
        <v>19</v>
      </c>
      <c r="D17" s="9">
        <v>44714</v>
      </c>
      <c r="E17">
        <v>180</v>
      </c>
      <c r="F17" t="s">
        <v>488</v>
      </c>
      <c r="G17" t="s">
        <v>26</v>
      </c>
      <c r="H17" t="s">
        <v>489</v>
      </c>
      <c r="J17" t="str">
        <f t="shared" si="0"/>
        <v>Schelonka, J</v>
      </c>
      <c r="L17">
        <f>VLOOKUP($J17,[1]!Table7[[PLAYER]:[WAR]],4, FALSE)</f>
        <v>8</v>
      </c>
      <c r="M17">
        <f>VLOOKUP($J17,[1]!Table7[[PLAYER]:[WAR]],5, FALSE)</f>
        <v>2</v>
      </c>
      <c r="N17">
        <f>VLOOKUP($J17,[1]!Table7[[PLAYER]:[WAR]],34, FALSE)</f>
        <v>15.666666666666664</v>
      </c>
      <c r="O17">
        <f>VLOOKUP($J17,[1]!Table7[[PLAYER]:[WAR]],48, FALSE)</f>
        <v>8.1680992722983845</v>
      </c>
      <c r="P17">
        <f t="shared" si="1"/>
        <v>14.218543177704593</v>
      </c>
    </row>
    <row r="18" spans="1:18" x14ac:dyDescent="0.25">
      <c r="D18" s="9"/>
    </row>
    <row r="19" spans="1:18" x14ac:dyDescent="0.25">
      <c r="D19" s="9"/>
    </row>
    <row r="31" spans="1:18" x14ac:dyDescent="0.25">
      <c r="A31" t="s">
        <v>117</v>
      </c>
      <c r="B31">
        <f>COUNTIF(K33:K50, "&gt;= 7")</f>
        <v>7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10</v>
      </c>
      <c r="B33" t="s">
        <v>490</v>
      </c>
      <c r="C33" t="s">
        <v>19</v>
      </c>
      <c r="D33" s="9">
        <v>44713</v>
      </c>
      <c r="E33">
        <v>185</v>
      </c>
      <c r="F33" t="s">
        <v>491</v>
      </c>
      <c r="G33" t="s">
        <v>21</v>
      </c>
      <c r="H33" t="s">
        <v>492</v>
      </c>
      <c r="J33" t="str">
        <f t="shared" ref="J33:J42" si="3">LEFT(B33,(FIND(",",B33,1)+1)) &amp; LEFT(RIGHT(B33,LEN(B33)-(FIND(",",B33)+1)),1)</f>
        <v>Fugere, I</v>
      </c>
      <c r="K33">
        <v>10</v>
      </c>
      <c r="L33">
        <f>VLOOKUP(J33,[1]!Table6[[PLAYER]:[XBH]],26,FALSE)</f>
        <v>12</v>
      </c>
      <c r="M33">
        <f>VLOOKUP(J33,[1]!Table6[[PLAYER]:[XBH]],45,FALSE)</f>
        <v>-0.45691709110334078</v>
      </c>
      <c r="N33">
        <f>(M33/L33) * VLOOKUP(K33,LineupPA!$A$1:$B$10,2,FALSE)</f>
        <v>0</v>
      </c>
      <c r="O33">
        <f>IF(K33&lt;7, N33, (M33/L33)*(LineupPA!$C$10 * (3/$B$31)))</f>
        <v>-7.1214627889880949E-2</v>
      </c>
      <c r="P33" s="13"/>
      <c r="Q33">
        <f>SUM(N33:N44)</f>
        <v>-0.47363092651620692</v>
      </c>
      <c r="R33">
        <f>SUM(O33:O44)</f>
        <v>-0.50324157388806323</v>
      </c>
    </row>
    <row r="34" spans="1:18" x14ac:dyDescent="0.25">
      <c r="A34">
        <v>23</v>
      </c>
      <c r="B34" t="s">
        <v>493</v>
      </c>
      <c r="C34" t="s">
        <v>19</v>
      </c>
      <c r="D34" s="10">
        <v>44715</v>
      </c>
      <c r="E34">
        <v>190</v>
      </c>
      <c r="F34" t="s">
        <v>494</v>
      </c>
      <c r="G34" t="s">
        <v>56</v>
      </c>
      <c r="H34" t="s">
        <v>495</v>
      </c>
      <c r="J34" t="str">
        <f t="shared" si="3"/>
        <v>Keller, J</v>
      </c>
      <c r="K34">
        <v>10</v>
      </c>
      <c r="L34">
        <f>VLOOKUP(J34,[1]!Table6[[PLAYER]:[XBH]],26,FALSE)</f>
        <v>59</v>
      </c>
      <c r="M34">
        <f>VLOOKUP(J34,[1]!Table6[[PLAYER]:[XBH]],45,FALSE)</f>
        <v>-11.478700138552592</v>
      </c>
      <c r="N34">
        <f>(M34/L34) * VLOOKUP(K34,LineupPA!$A$1:$B$10,2,FALSE)</f>
        <v>0</v>
      </c>
      <c r="O34">
        <f>IF(K34&lt;7, N34, (M34/L34)*(LineupPA!$C$10 * (3/$B$31)))</f>
        <v>-0.36387628433826402</v>
      </c>
      <c r="P34" s="13"/>
    </row>
    <row r="35" spans="1:18" x14ac:dyDescent="0.25">
      <c r="A35">
        <v>4</v>
      </c>
      <c r="B35" t="s">
        <v>496</v>
      </c>
      <c r="C35" t="s">
        <v>19</v>
      </c>
      <c r="D35" s="9">
        <v>44691</v>
      </c>
      <c r="E35">
        <v>205</v>
      </c>
      <c r="F35" t="s">
        <v>479</v>
      </c>
      <c r="G35" t="s">
        <v>21</v>
      </c>
      <c r="H35" t="s">
        <v>497</v>
      </c>
      <c r="J35" t="str">
        <f t="shared" si="3"/>
        <v>Rosario, E</v>
      </c>
      <c r="K35">
        <v>4</v>
      </c>
      <c r="L35">
        <f>VLOOKUP(J35,[1]!Table6[[PLAYER]:[XBH]],26,FALSE)</f>
        <v>178</v>
      </c>
      <c r="M35">
        <f>VLOOKUP(J35,[1]!Table6[[PLAYER]:[XBH]],45,FALSE)</f>
        <v>0.96408462094833758</v>
      </c>
      <c r="N35">
        <f>(M35/L35) * VLOOKUP(K35,LineupPA!$A$1:$B$10,2,FALSE)</f>
        <v>2.526146087494037E-2</v>
      </c>
      <c r="O35">
        <f>IF(K35&lt;7, N35, (M35/L35)*(LineupPA!$C$10 * (3/$B$31)))</f>
        <v>2.526146087494037E-2</v>
      </c>
      <c r="P35" s="13"/>
    </row>
    <row r="36" spans="1:18" x14ac:dyDescent="0.25">
      <c r="A36">
        <v>24</v>
      </c>
      <c r="B36" t="s">
        <v>498</v>
      </c>
      <c r="C36" t="s">
        <v>19</v>
      </c>
      <c r="D36" s="10">
        <v>44715</v>
      </c>
      <c r="E36">
        <v>210</v>
      </c>
      <c r="F36" t="s">
        <v>499</v>
      </c>
      <c r="G36" t="s">
        <v>56</v>
      </c>
      <c r="H36" t="s">
        <v>500</v>
      </c>
      <c r="J36" t="str">
        <f t="shared" si="3"/>
        <v>Campbell, K</v>
      </c>
      <c r="K36">
        <v>3</v>
      </c>
      <c r="L36">
        <f>VLOOKUP(J36,[1]!Table6[[PLAYER]:[XBH]],26,FALSE)</f>
        <v>259</v>
      </c>
      <c r="M36">
        <f>VLOOKUP(J36,[1]!Table6[[PLAYER]:[XBH]],45,FALSE)</f>
        <v>22.354465841646718</v>
      </c>
      <c r="N36">
        <f>(M36/L36) * VLOOKUP(K36,LineupPA!$A$1:$B$10,2,FALSE)</f>
        <v>0.40903072675779878</v>
      </c>
      <c r="O36">
        <f>IF(K36&lt;7, N36, (M36/L36)*(LineupPA!$C$10 * (3/$B$31)))</f>
        <v>0.40903072675779878</v>
      </c>
      <c r="P36" s="13"/>
    </row>
    <row r="37" spans="1:18" x14ac:dyDescent="0.25">
      <c r="A37">
        <v>8</v>
      </c>
      <c r="B37" t="s">
        <v>501</v>
      </c>
      <c r="C37" t="s">
        <v>19</v>
      </c>
      <c r="D37" s="9">
        <v>36678</v>
      </c>
      <c r="E37">
        <v>190</v>
      </c>
      <c r="F37" t="s">
        <v>479</v>
      </c>
      <c r="G37" t="s">
        <v>26</v>
      </c>
      <c r="H37" t="s">
        <v>502</v>
      </c>
      <c r="J37" t="str">
        <f t="shared" si="3"/>
        <v>Frederick, C</v>
      </c>
      <c r="K37">
        <v>9</v>
      </c>
      <c r="L37">
        <f>VLOOKUP(J37,[1]!Table6[[PLAYER]:[XBH]],26,FALSE)</f>
        <v>183</v>
      </c>
      <c r="M37">
        <f>VLOOKUP(J37,[1]!Table6[[PLAYER]:[XBH]],45,FALSE)</f>
        <v>-19.88184457391311</v>
      </c>
      <c r="N37">
        <f>(M37/L37) * VLOOKUP(K37,LineupPA!$A$1:$B$10,2,FALSE)</f>
        <v>-0.46597950480649758</v>
      </c>
      <c r="O37">
        <f>IF(K37&lt;7, N37, (M37/L37)*(LineupPA!$C$10 * (3/$B$31)))</f>
        <v>-0.20319762932700827</v>
      </c>
      <c r="P37" s="13"/>
    </row>
    <row r="38" spans="1:18" x14ac:dyDescent="0.25">
      <c r="A38">
        <v>45</v>
      </c>
      <c r="B38" t="s">
        <v>503</v>
      </c>
      <c r="C38" t="s">
        <v>19</v>
      </c>
      <c r="D38" s="9">
        <v>44691</v>
      </c>
      <c r="E38">
        <v>180</v>
      </c>
      <c r="F38" t="s">
        <v>504</v>
      </c>
      <c r="G38" t="s">
        <v>56</v>
      </c>
      <c r="H38" t="s">
        <v>505</v>
      </c>
      <c r="J38" t="str">
        <f t="shared" si="3"/>
        <v>Hallquist, M</v>
      </c>
      <c r="K38">
        <v>10</v>
      </c>
      <c r="L38">
        <f>VLOOKUP(J38,[1]!Table6[[PLAYER]:[XBH]],26,FALSE)</f>
        <v>58</v>
      </c>
      <c r="M38">
        <f>VLOOKUP(J38,[1]!Table6[[PLAYER]:[XBH]],45,FALSE)</f>
        <v>-5.048384297127364</v>
      </c>
      <c r="N38">
        <f>(M38/L38) * VLOOKUP(K38,LineupPA!$A$1:$B$10,2,FALSE)</f>
        <v>0</v>
      </c>
      <c r="O38">
        <f>IF(K38&lt;7, N38, (M38/L38)*(LineupPA!$C$10 * (3/$B$31)))</f>
        <v>-0.1627936519437235</v>
      </c>
      <c r="P38" s="13"/>
    </row>
    <row r="39" spans="1:18" x14ac:dyDescent="0.25">
      <c r="A39">
        <v>16</v>
      </c>
      <c r="B39" t="s">
        <v>506</v>
      </c>
      <c r="C39" t="s">
        <v>19</v>
      </c>
      <c r="D39" s="9">
        <v>44713</v>
      </c>
      <c r="E39">
        <v>195</v>
      </c>
      <c r="F39" t="s">
        <v>479</v>
      </c>
      <c r="G39" t="s">
        <v>26</v>
      </c>
      <c r="H39" t="s">
        <v>507</v>
      </c>
      <c r="J39" t="str">
        <f t="shared" si="3"/>
        <v>Hurdle, D</v>
      </c>
      <c r="K39">
        <v>7</v>
      </c>
      <c r="L39">
        <f>VLOOKUP(J39,[1]!Table6[[PLAYER]:[XBH]],26,FALSE)</f>
        <v>237</v>
      </c>
      <c r="M39">
        <f>VLOOKUP(J39,[1]!Table6[[PLAYER]:[XBH]],45,FALSE)</f>
        <v>-15.566917645491733</v>
      </c>
      <c r="N39">
        <f>(M39/L39) * VLOOKUP(K39,LineupPA!$A$1:$B$10,2,FALSE)</f>
        <v>-0.29157107381834957</v>
      </c>
      <c r="O39">
        <f>IF(K39&lt;7, N39, (M39/L39)*(LineupPA!$C$10 * (3/$B$31)))</f>
        <v>-0.12284778602447914</v>
      </c>
      <c r="P39" s="13"/>
    </row>
    <row r="40" spans="1:18" x14ac:dyDescent="0.25">
      <c r="A40">
        <v>7</v>
      </c>
      <c r="B40" t="s">
        <v>508</v>
      </c>
      <c r="C40" t="s">
        <v>19</v>
      </c>
      <c r="D40" s="9">
        <v>36678</v>
      </c>
      <c r="E40">
        <v>180</v>
      </c>
      <c r="F40" t="s">
        <v>311</v>
      </c>
      <c r="G40" t="s">
        <v>509</v>
      </c>
      <c r="H40" t="s">
        <v>510</v>
      </c>
      <c r="J40" t="str">
        <f t="shared" si="3"/>
        <v>Mettam, J</v>
      </c>
      <c r="K40">
        <v>6</v>
      </c>
      <c r="L40">
        <f>VLOOKUP(J40,[1]!Table6[[PLAYER]:[XBH]],26,FALSE)</f>
        <v>158</v>
      </c>
      <c r="M40">
        <f>VLOOKUP(J40,[1]!Table6[[PLAYER]:[XBH]],45,FALSE)</f>
        <v>-6.6132463883715005</v>
      </c>
      <c r="N40">
        <f>(M40/L40) * VLOOKUP(K40,LineupPA!$A$1:$B$10,2,FALSE)</f>
        <v>-0.18894008109176436</v>
      </c>
      <c r="O40">
        <f>IF(K40&lt;7, N40, (M40/L40)*(LineupPA!$C$10 * (3/$B$31)))</f>
        <v>-0.18894008109176436</v>
      </c>
      <c r="P40" s="13"/>
    </row>
    <row r="41" spans="1:18" x14ac:dyDescent="0.25">
      <c r="A41">
        <v>25</v>
      </c>
      <c r="B41" t="s">
        <v>511</v>
      </c>
      <c r="C41" t="s">
        <v>19</v>
      </c>
      <c r="D41" s="9">
        <v>44715</v>
      </c>
      <c r="E41">
        <v>225</v>
      </c>
      <c r="F41" t="s">
        <v>479</v>
      </c>
      <c r="G41" t="s">
        <v>51</v>
      </c>
      <c r="H41" t="s">
        <v>512</v>
      </c>
      <c r="J41" t="str">
        <f t="shared" si="3"/>
        <v>Satisky, E</v>
      </c>
      <c r="K41">
        <v>10</v>
      </c>
      <c r="L41">
        <f>VLOOKUP(J41,[1]!Table6[[PLAYER]:[XBH]],26,FALSE)</f>
        <v>77</v>
      </c>
      <c r="M41">
        <f>VLOOKUP(J41,[1]!Table6[[PLAYER]:[XBH]],45,FALSE)</f>
        <v>-3.4029057493842738</v>
      </c>
      <c r="N41">
        <f>(M41/L41) * VLOOKUP(K41,LineupPA!$A$1:$B$10,2,FALSE)</f>
        <v>0</v>
      </c>
      <c r="O41">
        <f>IF(K41&lt;7, N41, (M41/L41)*(LineupPA!$C$10 * (3/$B$31)))</f>
        <v>-8.2655593290861321E-2</v>
      </c>
      <c r="P41" s="13"/>
    </row>
    <row r="42" spans="1:18" x14ac:dyDescent="0.25">
      <c r="A42">
        <v>11</v>
      </c>
      <c r="B42" t="s">
        <v>513</v>
      </c>
      <c r="C42" t="s">
        <v>24</v>
      </c>
      <c r="D42" s="9">
        <v>44692</v>
      </c>
      <c r="E42">
        <v>170</v>
      </c>
      <c r="F42" t="s">
        <v>403</v>
      </c>
      <c r="G42" t="s">
        <v>56</v>
      </c>
      <c r="H42" t="s">
        <v>514</v>
      </c>
      <c r="J42" t="str">
        <f t="shared" si="3"/>
        <v>Vastine, J</v>
      </c>
      <c r="K42">
        <v>1</v>
      </c>
      <c r="L42">
        <f>VLOOKUP(J42,[1]!Table6[[PLAYER]:[XBH]],26,FALSE)</f>
        <v>201</v>
      </c>
      <c r="M42">
        <f>VLOOKUP(J42,[1]!Table6[[PLAYER]:[XBH]],45,FALSE)</f>
        <v>16.768599230612537</v>
      </c>
      <c r="N42">
        <f>(M42/L42) * VLOOKUP(K42,LineupPA!$A$1:$B$10,2,FALSE)</f>
        <v>0.40787333449897356</v>
      </c>
      <c r="O42">
        <f>IF(K42&lt;7, N42, (M42/L42)*(LineupPA!$C$10 * (3/$B$31)))</f>
        <v>0.40787333449897356</v>
      </c>
      <c r="P42" s="13"/>
    </row>
    <row r="43" spans="1:18" x14ac:dyDescent="0.25">
      <c r="A43">
        <v>14</v>
      </c>
      <c r="B43" t="s">
        <v>515</v>
      </c>
      <c r="C43" t="s">
        <v>19</v>
      </c>
      <c r="D43" s="10">
        <v>36678</v>
      </c>
      <c r="E43">
        <v>195</v>
      </c>
      <c r="F43" t="s">
        <v>72</v>
      </c>
      <c r="G43" t="s">
        <v>69</v>
      </c>
      <c r="H43" t="s">
        <v>516</v>
      </c>
      <c r="J43" t="str">
        <f t="shared" ref="J43:J45" si="4">LEFT(B43,(FIND(",",B43,1)+1)) &amp; LEFT(RIGHT(B43,LEN(B43)-(FIND(",",B43)+1)),1)</f>
        <v>Painter, J</v>
      </c>
      <c r="K43">
        <v>8</v>
      </c>
      <c r="L43">
        <f>VLOOKUP(J43,[1]!Table6[[PLAYER]:[XBH]],26,FALSE)</f>
        <v>116</v>
      </c>
      <c r="M43">
        <f>VLOOKUP(J43,[1]!Table6[[PLAYER]:[XBH]],45,FALSE)</f>
        <v>-10.206833131895419</v>
      </c>
      <c r="N43">
        <f>(M43/L43) * VLOOKUP(K43,LineupPA!$A$1:$B$10,2,FALSE)</f>
        <v>-0.38399260693064924</v>
      </c>
      <c r="O43">
        <f>IF(K43&lt;7, N43, (M43/L43)*(LineupPA!$C$10 * (3/$B$31)))</f>
        <v>-0.16456826011313538</v>
      </c>
    </row>
    <row r="44" spans="1:18" x14ac:dyDescent="0.25">
      <c r="A44">
        <v>6</v>
      </c>
      <c r="B44" t="s">
        <v>517</v>
      </c>
      <c r="C44" t="s">
        <v>54</v>
      </c>
      <c r="D44" s="9">
        <v>44692</v>
      </c>
      <c r="E44">
        <v>195</v>
      </c>
      <c r="F44" t="s">
        <v>403</v>
      </c>
      <c r="G44" t="s">
        <v>56</v>
      </c>
      <c r="H44" t="s">
        <v>518</v>
      </c>
      <c r="J44" t="str">
        <f t="shared" si="4"/>
        <v>Rogers, J</v>
      </c>
      <c r="K44">
        <v>2</v>
      </c>
      <c r="L44">
        <f>VLOOKUP(J44,[1]!Table6[[PLAYER]:[XBH]],26,FALSE)</f>
        <v>237</v>
      </c>
      <c r="M44">
        <f>VLOOKUP(J44,[1]!Table6[[PLAYER]:[XBH]],45,FALSE)</f>
        <v>0.72304504446609985</v>
      </c>
      <c r="N44">
        <f>(M44/L44) * VLOOKUP(K44,LineupPA!$A$1:$B$10,2,FALSE)</f>
        <v>1.4686817999341111E-2</v>
      </c>
      <c r="O44">
        <f>IF(K44&lt;7, N44, (M44/L44)*(LineupPA!$C$10 * (3/$B$31)))</f>
        <v>1.4686817999341111E-2</v>
      </c>
    </row>
    <row r="45" spans="1:18" x14ac:dyDescent="0.25">
      <c r="A45">
        <v>1</v>
      </c>
      <c r="B45" t="s">
        <v>519</v>
      </c>
      <c r="C45" t="s">
        <v>54</v>
      </c>
      <c r="D45" s="9">
        <v>44713</v>
      </c>
      <c r="E45">
        <v>210</v>
      </c>
      <c r="F45" t="s">
        <v>520</v>
      </c>
      <c r="G45" t="s">
        <v>56</v>
      </c>
      <c r="H45" t="s">
        <v>492</v>
      </c>
      <c r="J45" t="str">
        <f t="shared" si="4"/>
        <v>Vos, J</v>
      </c>
      <c r="K45">
        <v>5</v>
      </c>
      <c r="L45">
        <f>VLOOKUP(J45,[1]!Table6[[PLAYER]:[XBH]],26,FALSE)</f>
        <v>123</v>
      </c>
      <c r="M45">
        <f>VLOOKUP(J45,[1]!Table6[[PLAYER]:[XBH]],45,FALSE)</f>
        <v>3.7399727603428499</v>
      </c>
      <c r="N45">
        <f>(M45/L45) * VLOOKUP(K45,LineupPA!$A$1:$B$10,2,FALSE)</f>
        <v>0.13953598775228823</v>
      </c>
      <c r="O45">
        <f>IF(K45&lt;7, N45, (M45/L45)*(LineupPA!$C$10 * (3/$B$31)))</f>
        <v>0.13953598775228823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7EE8-369D-45EC-A708-C232DCA6B555}">
  <dimension ref="A1:U45"/>
  <sheetViews>
    <sheetView topLeftCell="B1" workbookViewId="0">
      <selection activeCell="M41" sqref="M41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33</v>
      </c>
      <c r="B2" t="s">
        <v>521</v>
      </c>
      <c r="C2" t="s">
        <v>19</v>
      </c>
      <c r="D2" s="9">
        <v>44715</v>
      </c>
      <c r="E2">
        <v>228</v>
      </c>
      <c r="F2" t="s">
        <v>522</v>
      </c>
      <c r="G2" t="s">
        <v>21</v>
      </c>
      <c r="H2" t="s">
        <v>523</v>
      </c>
      <c r="J2" t="str">
        <f>LEFT(B2,(FIND(",",B2,1)+1)) &amp; LEFT(RIGHT(B2,LEN(B2)-(FIND(",",B2)+1)),1)</f>
        <v>Baker, B</v>
      </c>
      <c r="L2">
        <f>VLOOKUP($J2,[1]!Table7[[PLAYER]:[WAR]],4, FALSE)</f>
        <v>6</v>
      </c>
      <c r="M2">
        <f>VLOOKUP($J2,[1]!Table7[[PLAYER]:[WAR]],5, FALSE)</f>
        <v>0</v>
      </c>
      <c r="N2">
        <f>VLOOKUP($J2,[1]!Table7[[PLAYER]:[WAR]],34, FALSE)</f>
        <v>10.333333333333332</v>
      </c>
      <c r="O2">
        <f>VLOOKUP($J2,[1]!Table7[[PLAYER]:[WAR]],48, FALSE)</f>
        <v>6.3174010454442611</v>
      </c>
      <c r="P2">
        <f>O2 * (N2/9)</f>
        <v>7.2533123114360016</v>
      </c>
      <c r="R2">
        <v>1</v>
      </c>
      <c r="S2">
        <f>SUMIF($Q$2:$Q$25,R2,$O$2:$O$25)</f>
        <v>5.3618700288607508</v>
      </c>
      <c r="T2" s="11">
        <f>(SUM(P2:P7,P9:P12,P15) / SUM(N2:N7,N9:N12,N15)) * 9</f>
        <v>5.840161485954618</v>
      </c>
      <c r="U2" s="11">
        <f>(5.5/9)*$S$2 + (3.5/9)*$T$2</f>
        <v>5.5478722621750327</v>
      </c>
    </row>
    <row r="3" spans="1:21" x14ac:dyDescent="0.25">
      <c r="A3">
        <v>24</v>
      </c>
      <c r="B3" t="s">
        <v>524</v>
      </c>
      <c r="C3" t="s">
        <v>54</v>
      </c>
      <c r="D3" s="9">
        <v>44715</v>
      </c>
      <c r="E3">
        <v>195</v>
      </c>
      <c r="F3" t="s">
        <v>280</v>
      </c>
      <c r="G3" t="s">
        <v>56</v>
      </c>
      <c r="H3" t="s">
        <v>525</v>
      </c>
      <c r="J3" t="str">
        <f t="shared" ref="J3:J15" si="0">LEFT(B3,(FIND(",",B3,1)+1)) &amp; LEFT(RIGHT(B3,LEN(B3)-(FIND(",",B3)+1)),1)</f>
        <v>Baumgart, A</v>
      </c>
      <c r="L3">
        <f>VLOOKUP($J3,[1]!Table7[[PLAYER]:[WAR]],4, FALSE)</f>
        <v>13</v>
      </c>
      <c r="M3">
        <f>VLOOKUP($J3,[1]!Table7[[PLAYER]:[WAR]],5, FALSE)</f>
        <v>9</v>
      </c>
      <c r="N3">
        <f>VLOOKUP($J3,[1]!Table7[[PLAYER]:[WAR]],34, FALSE)</f>
        <v>48.333333333333336</v>
      </c>
      <c r="O3">
        <f>VLOOKUP($J3,[1]!Table7[[PLAYER]:[WAR]],48, FALSE)</f>
        <v>6.1464785473159003</v>
      </c>
      <c r="P3">
        <f t="shared" ref="P3:P15" si="1">O3 * (N3/9)</f>
        <v>33.008866272622427</v>
      </c>
      <c r="R3">
        <v>2</v>
      </c>
      <c r="S3">
        <f t="shared" ref="S3:S4" si="2">SUMIF($Q$2:$Q$25,R3,$O$2:$O$25)</f>
        <v>4.3815373765901588</v>
      </c>
    </row>
    <row r="4" spans="1:21" x14ac:dyDescent="0.25">
      <c r="A4">
        <v>36</v>
      </c>
      <c r="B4" t="s">
        <v>526</v>
      </c>
      <c r="C4" t="s">
        <v>19</v>
      </c>
      <c r="D4" s="9">
        <v>44718</v>
      </c>
      <c r="E4">
        <v>200</v>
      </c>
      <c r="F4" t="s">
        <v>527</v>
      </c>
      <c r="G4" t="s">
        <v>56</v>
      </c>
      <c r="H4" t="s">
        <v>528</v>
      </c>
      <c r="J4" t="str">
        <f t="shared" si="0"/>
        <v>Brooks, S</v>
      </c>
      <c r="L4">
        <f>VLOOKUP($J4,[1]!Table7[[PLAYER]:[WAR]],4, FALSE)</f>
        <v>9</v>
      </c>
      <c r="M4">
        <f>VLOOKUP($J4,[1]!Table7[[PLAYER]:[WAR]],5, FALSE)</f>
        <v>5</v>
      </c>
      <c r="N4">
        <f>VLOOKUP($J4,[1]!Table7[[PLAYER]:[WAR]],34, FALSE)</f>
        <v>36</v>
      </c>
      <c r="O4">
        <f>VLOOKUP($J4,[1]!Table7[[PLAYER]:[WAR]],48, FALSE)</f>
        <v>6.4640128075991177</v>
      </c>
      <c r="P4">
        <f t="shared" si="1"/>
        <v>25.856051230396471</v>
      </c>
      <c r="R4">
        <v>3</v>
      </c>
      <c r="S4">
        <f t="shared" si="2"/>
        <v>5.7321089448072673</v>
      </c>
      <c r="U4" t="s">
        <v>446</v>
      </c>
    </row>
    <row r="5" spans="1:21" x14ac:dyDescent="0.25">
      <c r="A5">
        <v>18</v>
      </c>
      <c r="B5" t="s">
        <v>529</v>
      </c>
      <c r="C5" t="s">
        <v>19</v>
      </c>
      <c r="D5" s="9">
        <v>44692</v>
      </c>
      <c r="E5">
        <v>163</v>
      </c>
      <c r="F5" t="s">
        <v>522</v>
      </c>
      <c r="G5" t="s">
        <v>69</v>
      </c>
      <c r="H5" t="s">
        <v>530</v>
      </c>
      <c r="J5" t="str">
        <f t="shared" si="0"/>
        <v>Chevalier, M</v>
      </c>
      <c r="L5">
        <f>VLOOKUP($J5,[1]!Table7[[PLAYER]:[WAR]],4, FALSE)</f>
        <v>6</v>
      </c>
      <c r="M5">
        <f>VLOOKUP($J5,[1]!Table7[[PLAYER]:[WAR]],5, FALSE)</f>
        <v>0</v>
      </c>
      <c r="N5">
        <f>VLOOKUP($J5,[1]!Table7[[PLAYER]:[WAR]],34, FALSE)</f>
        <v>12</v>
      </c>
      <c r="O5">
        <f>VLOOKUP($J5,[1]!Table7[[PLAYER]:[WAR]],48, FALSE)</f>
        <v>6.5769311834202506</v>
      </c>
      <c r="P5">
        <f t="shared" si="1"/>
        <v>8.7692415778936663</v>
      </c>
      <c r="U5" s="11">
        <f>(5.5/9)*$S$6 + (3.5/9)*$T$2</f>
        <v>5.423593908479388</v>
      </c>
    </row>
    <row r="6" spans="1:21" x14ac:dyDescent="0.25">
      <c r="A6">
        <v>11</v>
      </c>
      <c r="B6" t="s">
        <v>531</v>
      </c>
      <c r="C6" t="s">
        <v>19</v>
      </c>
      <c r="D6" s="9">
        <v>44692</v>
      </c>
      <c r="E6">
        <v>195</v>
      </c>
      <c r="F6" t="s">
        <v>532</v>
      </c>
      <c r="G6" t="s">
        <v>21</v>
      </c>
      <c r="H6" t="s">
        <v>533</v>
      </c>
      <c r="J6" t="s">
        <v>669</v>
      </c>
      <c r="L6">
        <f>VLOOKUP($J6,[1]!Table7[[PLAYER]:[WAR]],4, FALSE)</f>
        <v>5</v>
      </c>
      <c r="M6">
        <f>VLOOKUP($J6,[1]!Table7[[PLAYER]:[WAR]],5, FALSE)</f>
        <v>0</v>
      </c>
      <c r="N6">
        <f>VLOOKUP($J6,[1]!Table7[[PLAYER]:[WAR]],34, FALSE)</f>
        <v>11.333333333333332</v>
      </c>
      <c r="O6">
        <f>VLOOKUP($J6,[1]!Table7[[PLAYER]:[WAR]],48, FALSE)</f>
        <v>6.8409609151196635</v>
      </c>
      <c r="P6">
        <f t="shared" si="1"/>
        <v>8.6145433745951312</v>
      </c>
      <c r="R6" t="s">
        <v>441</v>
      </c>
      <c r="S6" s="11">
        <f>AVERAGE(S2:S4)</f>
        <v>5.158505450086059</v>
      </c>
    </row>
    <row r="7" spans="1:21" x14ac:dyDescent="0.25">
      <c r="A7">
        <v>13</v>
      </c>
      <c r="B7" t="s">
        <v>534</v>
      </c>
      <c r="C7" t="s">
        <v>54</v>
      </c>
      <c r="D7" s="9">
        <v>44715</v>
      </c>
      <c r="E7">
        <v>190</v>
      </c>
      <c r="F7" t="s">
        <v>370</v>
      </c>
      <c r="G7" t="s">
        <v>39</v>
      </c>
      <c r="H7" t="s">
        <v>535</v>
      </c>
      <c r="J7" t="str">
        <f t="shared" si="0"/>
        <v>Gutknecht, M</v>
      </c>
      <c r="L7">
        <f>VLOOKUP($J7,[1]!Table7[[PLAYER]:[WAR]],4, FALSE)</f>
        <v>6</v>
      </c>
      <c r="M7">
        <f>VLOOKUP($J7,[1]!Table7[[PLAYER]:[WAR]],5, FALSE)</f>
        <v>0</v>
      </c>
      <c r="N7">
        <f>VLOOKUP($J7,[1]!Table7[[PLAYER]:[WAR]],34, FALSE)</f>
        <v>15</v>
      </c>
      <c r="O7">
        <f>VLOOKUP($J7,[1]!Table7[[PLAYER]:[WAR]],48, FALSE)</f>
        <v>4.5952136877593786</v>
      </c>
      <c r="P7">
        <f t="shared" si="1"/>
        <v>7.6586894795989648</v>
      </c>
    </row>
    <row r="8" spans="1:21" x14ac:dyDescent="0.25">
      <c r="A8">
        <v>28</v>
      </c>
      <c r="B8" t="s">
        <v>536</v>
      </c>
      <c r="C8" t="s">
        <v>54</v>
      </c>
      <c r="D8" s="9">
        <v>44713</v>
      </c>
      <c r="E8">
        <v>180</v>
      </c>
      <c r="F8" t="s">
        <v>537</v>
      </c>
      <c r="G8" t="s">
        <v>69</v>
      </c>
      <c r="H8" t="s">
        <v>538</v>
      </c>
      <c r="J8" t="str">
        <f t="shared" si="0"/>
        <v>Habeck, J</v>
      </c>
      <c r="L8">
        <f>VLOOKUP($J8,[1]!Table7[[PLAYER]:[WAR]],4, FALSE)</f>
        <v>11</v>
      </c>
      <c r="M8">
        <f>VLOOKUP($J8,[1]!Table7[[PLAYER]:[WAR]],5, FALSE)</f>
        <v>10</v>
      </c>
      <c r="N8">
        <f>VLOOKUP($J8,[1]!Table7[[PLAYER]:[WAR]],34, FALSE)</f>
        <v>68.333333333333314</v>
      </c>
      <c r="O8">
        <f>VLOOKUP($J8,[1]!Table7[[PLAYER]:[WAR]],48, FALSE)</f>
        <v>5.7321089448072673</v>
      </c>
      <c r="P8">
        <f t="shared" si="1"/>
        <v>43.521567914277391</v>
      </c>
      <c r="Q8">
        <v>3</v>
      </c>
    </row>
    <row r="9" spans="1:21" x14ac:dyDescent="0.25">
      <c r="A9">
        <v>26</v>
      </c>
      <c r="B9" t="s">
        <v>539</v>
      </c>
      <c r="C9" t="s">
        <v>19</v>
      </c>
      <c r="D9" s="9">
        <v>44713</v>
      </c>
      <c r="E9">
        <v>210</v>
      </c>
      <c r="F9" t="s">
        <v>540</v>
      </c>
      <c r="G9" t="s">
        <v>26</v>
      </c>
      <c r="H9" t="s">
        <v>541</v>
      </c>
      <c r="J9" t="str">
        <f t="shared" si="0"/>
        <v>Ihli, J</v>
      </c>
      <c r="L9">
        <f>VLOOKUP($J9,[1]!Table7[[PLAYER]:[WAR]],4, FALSE)</f>
        <v>7</v>
      </c>
      <c r="M9">
        <f>VLOOKUP($J9,[1]!Table7[[PLAYER]:[WAR]],5, FALSE)</f>
        <v>0</v>
      </c>
      <c r="N9">
        <f>VLOOKUP($J9,[1]!Table7[[PLAYER]:[WAR]],34, FALSE)</f>
        <v>16.666666666666664</v>
      </c>
      <c r="O9">
        <f>VLOOKUP($J9,[1]!Table7[[PLAYER]:[WAR]],48, FALSE)</f>
        <v>6.5396681193992769</v>
      </c>
      <c r="P9">
        <f t="shared" si="1"/>
        <v>12.110496517406068</v>
      </c>
    </row>
    <row r="10" spans="1:21" x14ac:dyDescent="0.25">
      <c r="A10">
        <v>15</v>
      </c>
      <c r="B10" t="s">
        <v>542</v>
      </c>
      <c r="C10" t="s">
        <v>19</v>
      </c>
      <c r="D10" s="9">
        <v>44692</v>
      </c>
      <c r="E10">
        <v>185</v>
      </c>
      <c r="F10" t="s">
        <v>520</v>
      </c>
      <c r="G10" t="s">
        <v>509</v>
      </c>
      <c r="H10" t="s">
        <v>543</v>
      </c>
      <c r="J10" t="str">
        <f t="shared" si="0"/>
        <v>Kemp, N</v>
      </c>
      <c r="L10">
        <f>VLOOKUP($J10,[1]!Table7[[PLAYER]:[WAR]],4, FALSE)</f>
        <v>4</v>
      </c>
      <c r="M10">
        <f>VLOOKUP($J10,[1]!Table7[[PLAYER]:[WAR]],5, FALSE)</f>
        <v>0</v>
      </c>
      <c r="N10">
        <f>VLOOKUP($J10,[1]!Table7[[PLAYER]:[WAR]],34, FALSE)</f>
        <v>12.666666666666664</v>
      </c>
      <c r="O10">
        <f>VLOOKUP($J10,[1]!Table7[[PLAYER]:[WAR]],48, FALSE)</f>
        <v>5.8593051897148962</v>
      </c>
      <c r="P10">
        <f t="shared" si="1"/>
        <v>8.246429526265409</v>
      </c>
    </row>
    <row r="11" spans="1:21" x14ac:dyDescent="0.25">
      <c r="A11">
        <v>32</v>
      </c>
      <c r="B11" t="s">
        <v>544</v>
      </c>
      <c r="C11" t="s">
        <v>19</v>
      </c>
      <c r="D11" s="9">
        <v>44715</v>
      </c>
      <c r="E11">
        <v>215</v>
      </c>
      <c r="F11" t="s">
        <v>545</v>
      </c>
      <c r="G11" t="s">
        <v>69</v>
      </c>
      <c r="H11" t="s">
        <v>546</v>
      </c>
      <c r="J11" t="str">
        <f t="shared" si="0"/>
        <v>Matela, D</v>
      </c>
      <c r="L11">
        <f>VLOOKUP($J11,[1]!Table7[[PLAYER]:[WAR]],4, FALSE)</f>
        <v>13</v>
      </c>
      <c r="M11">
        <f>VLOOKUP($J11,[1]!Table7[[PLAYER]:[WAR]],5, FALSE)</f>
        <v>1</v>
      </c>
      <c r="N11">
        <f>VLOOKUP($J11,[1]!Table7[[PLAYER]:[WAR]],34, FALSE)</f>
        <v>32.333333333333336</v>
      </c>
      <c r="O11">
        <f>VLOOKUP($J11,[1]!Table7[[PLAYER]:[WAR]],48, FALSE)</f>
        <v>5.325807220391777</v>
      </c>
      <c r="P11">
        <f t="shared" si="1"/>
        <v>19.133455569555647</v>
      </c>
    </row>
    <row r="12" spans="1:21" x14ac:dyDescent="0.25">
      <c r="A12">
        <v>46</v>
      </c>
      <c r="B12" t="s">
        <v>547</v>
      </c>
      <c r="C12" t="s">
        <v>19</v>
      </c>
      <c r="D12" s="9">
        <v>44691</v>
      </c>
      <c r="E12">
        <v>215</v>
      </c>
      <c r="F12" t="s">
        <v>548</v>
      </c>
      <c r="G12" t="s">
        <v>21</v>
      </c>
      <c r="H12" t="s">
        <v>549</v>
      </c>
      <c r="J12" t="str">
        <f t="shared" si="0"/>
        <v>Miller, S</v>
      </c>
      <c r="L12">
        <f>VLOOKUP($J12,[1]!Table7[[PLAYER]:[WAR]],4, FALSE)</f>
        <v>6</v>
      </c>
      <c r="M12">
        <f>VLOOKUP($J12,[1]!Table7[[PLAYER]:[WAR]],5, FALSE)</f>
        <v>2</v>
      </c>
      <c r="N12">
        <f>VLOOKUP($J12,[1]!Table7[[PLAYER]:[WAR]],34, FALSE)</f>
        <v>18.333333333333339</v>
      </c>
      <c r="O12">
        <f>VLOOKUP($J12,[1]!Table7[[PLAYER]:[WAR]],48, FALSE)</f>
        <v>4.6383279767092649</v>
      </c>
      <c r="P12">
        <f t="shared" si="1"/>
        <v>9.4484458784818379</v>
      </c>
    </row>
    <row r="13" spans="1:21" x14ac:dyDescent="0.25">
      <c r="A13">
        <v>29</v>
      </c>
      <c r="B13" t="s">
        <v>550</v>
      </c>
      <c r="C13" t="s">
        <v>453</v>
      </c>
      <c r="D13" s="9">
        <v>44718</v>
      </c>
      <c r="E13">
        <v>230</v>
      </c>
      <c r="F13" t="s">
        <v>551</v>
      </c>
      <c r="G13" t="s">
        <v>56</v>
      </c>
      <c r="H13" t="s">
        <v>552</v>
      </c>
      <c r="J13" t="str">
        <f t="shared" si="0"/>
        <v>Novotny, T</v>
      </c>
      <c r="L13">
        <f>VLOOKUP($J13,[1]!Table7[[PLAYER]:[WAR]],4, FALSE)</f>
        <v>13</v>
      </c>
      <c r="M13">
        <f>VLOOKUP($J13,[1]!Table7[[PLAYER]:[WAR]],5, FALSE)</f>
        <v>4</v>
      </c>
      <c r="N13">
        <f>VLOOKUP($J13,[1]!Table7[[PLAYER]:[WAR]],34, FALSE)</f>
        <v>39</v>
      </c>
      <c r="O13">
        <f>VLOOKUP($J13,[1]!Table7[[PLAYER]:[WAR]],48, FALSE)</f>
        <v>4.3815373765901588</v>
      </c>
      <c r="P13">
        <f t="shared" si="1"/>
        <v>18.98666196522402</v>
      </c>
      <c r="Q13">
        <v>2</v>
      </c>
    </row>
    <row r="14" spans="1:21" x14ac:dyDescent="0.25">
      <c r="A14">
        <v>35</v>
      </c>
      <c r="B14" t="s">
        <v>553</v>
      </c>
      <c r="C14" t="s">
        <v>19</v>
      </c>
      <c r="D14" s="9">
        <v>44716</v>
      </c>
      <c r="E14">
        <v>175</v>
      </c>
      <c r="F14" t="s">
        <v>144</v>
      </c>
      <c r="G14" t="s">
        <v>26</v>
      </c>
      <c r="H14" t="s">
        <v>554</v>
      </c>
      <c r="J14" t="str">
        <f t="shared" si="0"/>
        <v>Samuels, L</v>
      </c>
      <c r="L14">
        <f>VLOOKUP($J14,[1]!Table7[[PLAYER]:[WAR]],4, FALSE)</f>
        <v>13</v>
      </c>
      <c r="M14">
        <f>VLOOKUP($J14,[1]!Table7[[PLAYER]:[WAR]],5, FALSE)</f>
        <v>4</v>
      </c>
      <c r="N14">
        <f>VLOOKUP($J14,[1]!Table7[[PLAYER]:[WAR]],34, FALSE)</f>
        <v>31.666666666666664</v>
      </c>
      <c r="O14">
        <f>VLOOKUP($J14,[1]!Table7[[PLAYER]:[WAR]],48, FALSE)</f>
        <v>5.3618700288607508</v>
      </c>
      <c r="P14">
        <f t="shared" si="1"/>
        <v>18.865838990435972</v>
      </c>
      <c r="Q14">
        <v>1</v>
      </c>
    </row>
    <row r="15" spans="1:21" x14ac:dyDescent="0.25">
      <c r="A15">
        <v>30</v>
      </c>
      <c r="B15" t="s">
        <v>555</v>
      </c>
      <c r="C15" t="s">
        <v>19</v>
      </c>
      <c r="D15" s="9">
        <v>44713</v>
      </c>
      <c r="E15">
        <v>190</v>
      </c>
      <c r="F15" t="s">
        <v>370</v>
      </c>
      <c r="G15" t="s">
        <v>47</v>
      </c>
      <c r="H15" t="s">
        <v>396</v>
      </c>
      <c r="J15" t="str">
        <f t="shared" si="0"/>
        <v>Zigan, J</v>
      </c>
      <c r="L15">
        <f>VLOOKUP($J15,[1]!Table7[[PLAYER]:[WAR]],4, FALSE)</f>
        <v>8</v>
      </c>
      <c r="M15">
        <f>VLOOKUP($J15,[1]!Table7[[PLAYER]:[WAR]],5, FALSE)</f>
        <v>6</v>
      </c>
      <c r="N15">
        <f>VLOOKUP($J15,[1]!Table7[[PLAYER]:[WAR]],34, FALSE)</f>
        <v>35.666666666666679</v>
      </c>
      <c r="O15">
        <f>VLOOKUP($J15,[1]!Table7[[PLAYER]:[WAR]],48, FALSE)</f>
        <v>5.3651692671902023</v>
      </c>
      <c r="P15">
        <f t="shared" si="1"/>
        <v>21.26196709590192</v>
      </c>
    </row>
    <row r="16" spans="1:21" x14ac:dyDescent="0.25">
      <c r="D16" s="9"/>
    </row>
    <row r="17" spans="1:18" x14ac:dyDescent="0.25">
      <c r="D17" s="9"/>
    </row>
    <row r="18" spans="1:18" x14ac:dyDescent="0.25">
      <c r="D18" s="9"/>
    </row>
    <row r="19" spans="1:18" x14ac:dyDescent="0.25">
      <c r="D19" s="9"/>
    </row>
    <row r="31" spans="1:18" x14ac:dyDescent="0.25">
      <c r="A31" t="s">
        <v>117</v>
      </c>
      <c r="B31">
        <f>COUNTIF(K33:K50, "&gt;= 7")</f>
        <v>7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27</v>
      </c>
      <c r="B33" t="s">
        <v>556</v>
      </c>
      <c r="C33" t="s">
        <v>19</v>
      </c>
      <c r="D33" s="9">
        <v>44716</v>
      </c>
      <c r="E33">
        <v>215</v>
      </c>
      <c r="F33" t="s">
        <v>548</v>
      </c>
      <c r="G33" t="s">
        <v>26</v>
      </c>
      <c r="H33" t="s">
        <v>557</v>
      </c>
      <c r="J33" t="str">
        <f t="shared" ref="J33:J42" si="3">LEFT(B33,(FIND(",",B33,1)+1)) &amp; LEFT(RIGHT(B33,LEN(B33)-(FIND(",",B33)+1)),1)</f>
        <v>Dirksen, D</v>
      </c>
      <c r="K33">
        <v>4</v>
      </c>
      <c r="L33">
        <f>VLOOKUP(J33,[1]!Table6[[PLAYER]:[XBH]],26,FALSE)</f>
        <v>220</v>
      </c>
      <c r="M33">
        <f>VLOOKUP(J33,[1]!Table6[[PLAYER]:[XBH]],45,FALSE)</f>
        <v>5.4291037911775026</v>
      </c>
      <c r="N33">
        <f>(M33/L33) * VLOOKUP(K33,LineupPA!$A$1:$B$10,2,FALSE)</f>
        <v>0.11509826393757032</v>
      </c>
      <c r="O33">
        <f>IF(K33&lt;7, N33, (M33/L33)*(LineupPA!$C$10 * (3/$B$31)))</f>
        <v>0.11509826393757032</v>
      </c>
      <c r="P33" s="13"/>
      <c r="Q33">
        <f>SUM(N33:N45)</f>
        <v>1.6306767631883377</v>
      </c>
      <c r="R33">
        <f>SUM(O33:O45)</f>
        <v>2.2453123555118752</v>
      </c>
    </row>
    <row r="34" spans="1:18" x14ac:dyDescent="0.25">
      <c r="A34">
        <v>16</v>
      </c>
      <c r="B34" t="s">
        <v>558</v>
      </c>
      <c r="C34" t="s">
        <v>19</v>
      </c>
      <c r="D34" s="10">
        <v>44713</v>
      </c>
      <c r="E34">
        <v>205</v>
      </c>
      <c r="F34" t="s">
        <v>559</v>
      </c>
      <c r="G34" t="s">
        <v>56</v>
      </c>
      <c r="H34" t="s">
        <v>560</v>
      </c>
      <c r="J34" t="str">
        <f t="shared" si="3"/>
        <v>Entrekin, J</v>
      </c>
      <c r="K34">
        <v>10</v>
      </c>
      <c r="L34">
        <f>VLOOKUP(J34,[1]!Table6[[PLAYER]:[XBH]],26,FALSE)</f>
        <v>77</v>
      </c>
      <c r="M34">
        <f>VLOOKUP(J34,[1]!Table6[[PLAYER]:[XBH]],45,FALSE)</f>
        <v>-2.8867900218034723</v>
      </c>
      <c r="N34">
        <f>(M34/L34) * VLOOKUP(K34,LineupPA!$A$1:$B$10,2,FALSE)</f>
        <v>0</v>
      </c>
      <c r="O34">
        <f>IF(K34&lt;7, N34, (M34/L34)*(LineupPA!$C$10 * (3/$B$31)))</f>
        <v>-7.0119292020203255E-2</v>
      </c>
      <c r="P34" s="13"/>
    </row>
    <row r="35" spans="1:18" x14ac:dyDescent="0.25">
      <c r="A35">
        <v>23</v>
      </c>
      <c r="B35" t="s">
        <v>561</v>
      </c>
      <c r="C35" t="s">
        <v>19</v>
      </c>
      <c r="D35" s="9">
        <v>44692</v>
      </c>
      <c r="E35">
        <v>185</v>
      </c>
      <c r="F35" t="s">
        <v>562</v>
      </c>
      <c r="G35" t="s">
        <v>39</v>
      </c>
      <c r="H35" t="s">
        <v>563</v>
      </c>
      <c r="J35" t="str">
        <f t="shared" si="3"/>
        <v>Tarlow, G</v>
      </c>
      <c r="K35">
        <v>1</v>
      </c>
      <c r="L35">
        <f>VLOOKUP(J35,[1]!Table6[[PLAYER]:[XBH]],26,FALSE)</f>
        <v>70</v>
      </c>
      <c r="M35">
        <f>VLOOKUP(J35,[1]!Table6[[PLAYER]:[XBH]],45,FALSE)</f>
        <v>10.967512793868748</v>
      </c>
      <c r="N35">
        <f>(M35/L35) * VLOOKUP(K35,LineupPA!$A$1:$B$10,2,FALSE)</f>
        <v>0.7660104516337457</v>
      </c>
      <c r="O35">
        <f>IF(K35&lt;7, N35, (M35/L35)*(LineupPA!$C$10 * (3/$B$31)))</f>
        <v>0.7660104516337457</v>
      </c>
      <c r="P35" s="13"/>
    </row>
    <row r="36" spans="1:18" x14ac:dyDescent="0.25">
      <c r="A36">
        <v>21</v>
      </c>
      <c r="B36" t="s">
        <v>564</v>
      </c>
      <c r="C36" t="s">
        <v>19</v>
      </c>
      <c r="D36" s="10">
        <v>44692</v>
      </c>
      <c r="E36">
        <v>200</v>
      </c>
      <c r="F36" t="s">
        <v>559</v>
      </c>
      <c r="G36" t="s">
        <v>26</v>
      </c>
      <c r="H36" t="s">
        <v>565</v>
      </c>
      <c r="J36" t="str">
        <f t="shared" si="3"/>
        <v>Anderson, S</v>
      </c>
      <c r="K36">
        <v>3</v>
      </c>
      <c r="L36">
        <f>VLOOKUP(J36,[1]!Table6[[PLAYER]:[XBH]],26,FALSE)</f>
        <v>131</v>
      </c>
      <c r="M36">
        <f>VLOOKUP(J36,[1]!Table6[[PLAYER]:[XBH]],45,FALSE)</f>
        <v>8.9016282365492359</v>
      </c>
      <c r="N36">
        <f>(M36/L36) * VLOOKUP(K36,LineupPA!$A$1:$B$10,2,FALSE)</f>
        <v>0.32202497709534539</v>
      </c>
      <c r="O36">
        <f>IF(K36&lt;7, N36, (M36/L36)*(LineupPA!$C$10 * (3/$B$31)))</f>
        <v>0.32202497709534539</v>
      </c>
      <c r="P36" s="13"/>
    </row>
    <row r="37" spans="1:18" x14ac:dyDescent="0.25">
      <c r="A37">
        <v>6</v>
      </c>
      <c r="B37" t="s">
        <v>566</v>
      </c>
      <c r="C37" t="s">
        <v>19</v>
      </c>
      <c r="D37" s="9">
        <v>44713</v>
      </c>
      <c r="E37">
        <v>195</v>
      </c>
      <c r="F37" t="s">
        <v>370</v>
      </c>
      <c r="G37" t="s">
        <v>39</v>
      </c>
      <c r="H37" t="s">
        <v>399</v>
      </c>
      <c r="J37" t="str">
        <f t="shared" si="3"/>
        <v>Byrne, A</v>
      </c>
      <c r="K37">
        <v>10</v>
      </c>
      <c r="L37">
        <f>VLOOKUP(J37,[1]!Table6[[PLAYER]:[XBH]],26,FALSE)</f>
        <v>201</v>
      </c>
      <c r="M37">
        <f>VLOOKUP(J37,[1]!Table6[[PLAYER]:[XBH]],45,FALSE)</f>
        <v>11.163802418814782</v>
      </c>
      <c r="N37">
        <f>(M37/L37) * VLOOKUP(K37,LineupPA!$A$1:$B$10,2,FALSE)</f>
        <v>0</v>
      </c>
      <c r="O37">
        <f>IF(K37&lt;7, N37, (M37/L37)*(LineupPA!$C$10 * (3/$B$31)))</f>
        <v>0.10387932915007285</v>
      </c>
      <c r="P37" s="13"/>
    </row>
    <row r="38" spans="1:18" x14ac:dyDescent="0.25">
      <c r="A38">
        <v>31</v>
      </c>
      <c r="B38" t="s">
        <v>567</v>
      </c>
      <c r="C38" t="s">
        <v>19</v>
      </c>
      <c r="D38" s="9">
        <v>44714</v>
      </c>
      <c r="E38">
        <v>215</v>
      </c>
      <c r="F38" t="s">
        <v>280</v>
      </c>
      <c r="G38" t="s">
        <v>26</v>
      </c>
      <c r="H38" t="s">
        <v>568</v>
      </c>
      <c r="J38" t="str">
        <f t="shared" si="3"/>
        <v>Hake, C</v>
      </c>
      <c r="K38">
        <v>8</v>
      </c>
      <c r="L38">
        <f>VLOOKUP(J38,[1]!Table6[[PLAYER]:[XBH]],26,FALSE)</f>
        <v>37</v>
      </c>
      <c r="M38">
        <f>VLOOKUP(J38,[1]!Table6[[PLAYER]:[XBH]],45,FALSE)</f>
        <v>0.90711865416969728</v>
      </c>
      <c r="N38">
        <f>(M38/L38) * VLOOKUP(K38,LineupPA!$A$1:$B$10,2,FALSE)</f>
        <v>0.10699222307101236</v>
      </c>
      <c r="O38">
        <f>IF(K38&lt;7, N38, (M38/L38)*(LineupPA!$C$10 * (3/$B$31)))</f>
        <v>4.5853809887576723E-2</v>
      </c>
      <c r="P38" s="13"/>
    </row>
    <row r="39" spans="1:18" x14ac:dyDescent="0.25">
      <c r="A39">
        <v>20</v>
      </c>
      <c r="B39" t="s">
        <v>569</v>
      </c>
      <c r="C39" t="s">
        <v>19</v>
      </c>
      <c r="D39" s="9">
        <v>44714</v>
      </c>
      <c r="E39">
        <v>192</v>
      </c>
      <c r="F39" t="s">
        <v>537</v>
      </c>
      <c r="G39" t="s">
        <v>39</v>
      </c>
      <c r="H39" t="s">
        <v>570</v>
      </c>
      <c r="J39" t="str">
        <f t="shared" si="3"/>
        <v>Krier, K</v>
      </c>
      <c r="K39">
        <v>10</v>
      </c>
      <c r="L39">
        <f>VLOOKUP(J39,[1]!Table6[[PLAYER]:[XBH]],26,FALSE)</f>
        <v>17</v>
      </c>
      <c r="M39">
        <f>VLOOKUP(J39,[1]!Table6[[PLAYER]:[XBH]],45,FALSE)</f>
        <v>1.4852503469943701</v>
      </c>
      <c r="N39">
        <f>(M39/L39) * VLOOKUP(K39,LineupPA!$A$1:$B$10,2,FALSE)</f>
        <v>0</v>
      </c>
      <c r="O39">
        <f>IF(K39&lt;7, N39, (M39/L39)*(LineupPA!$C$10 * (3/$B$31)))</f>
        <v>0.16340441755357366</v>
      </c>
      <c r="P39" s="13"/>
    </row>
    <row r="40" spans="1:18" x14ac:dyDescent="0.25">
      <c r="A40">
        <v>9</v>
      </c>
      <c r="B40" t="s">
        <v>571</v>
      </c>
      <c r="C40" t="s">
        <v>19</v>
      </c>
      <c r="D40" s="9">
        <v>44691</v>
      </c>
      <c r="E40">
        <v>165</v>
      </c>
      <c r="F40" t="s">
        <v>540</v>
      </c>
      <c r="G40" t="s">
        <v>26</v>
      </c>
      <c r="H40" t="s">
        <v>572</v>
      </c>
      <c r="J40" t="str">
        <f t="shared" si="3"/>
        <v>Payne, K</v>
      </c>
      <c r="K40">
        <v>5</v>
      </c>
      <c r="L40">
        <f>VLOOKUP(J40,[1]!Table6[[PLAYER]:[XBH]],26,FALSE)</f>
        <v>112</v>
      </c>
      <c r="M40">
        <f>VLOOKUP(J40,[1]!Table6[[PLAYER]:[XBH]],45,FALSE)</f>
        <v>5.3734718426741939</v>
      </c>
      <c r="N40">
        <f>(M40/L40) * VLOOKUP(K40,LineupPA!$A$1:$B$10,2,FALSE)</f>
        <v>0.22017086983701101</v>
      </c>
      <c r="O40">
        <f>IF(K40&lt;7, N40, (M40/L40)*(LineupPA!$C$10 * (3/$B$31)))</f>
        <v>0.22017086983701101</v>
      </c>
      <c r="P40" s="13"/>
    </row>
    <row r="41" spans="1:18" x14ac:dyDescent="0.25">
      <c r="A41">
        <v>4</v>
      </c>
      <c r="B41" t="s">
        <v>573</v>
      </c>
      <c r="C41" t="s">
        <v>19</v>
      </c>
      <c r="D41" s="9">
        <v>44713</v>
      </c>
      <c r="E41">
        <v>195</v>
      </c>
      <c r="F41" t="s">
        <v>574</v>
      </c>
      <c r="G41" t="s">
        <v>26</v>
      </c>
      <c r="H41" t="s">
        <v>575</v>
      </c>
      <c r="J41" t="str">
        <f t="shared" si="3"/>
        <v>Sagedahl, J</v>
      </c>
      <c r="K41">
        <v>6</v>
      </c>
      <c r="L41">
        <f>VLOOKUP(J41,[1]!Table6[[PLAYER]:[XBH]],26,FALSE)</f>
        <v>55</v>
      </c>
      <c r="M41">
        <f>VLOOKUP(J41,[1]!Table6[[PLAYER]:[XBH]],45,FALSE)</f>
        <v>6.9227685774179362</v>
      </c>
      <c r="N41">
        <f>(M41/L41) * VLOOKUP(K41,LineupPA!$A$1:$B$10,2,FALSE)</f>
        <v>0.56817694222171444</v>
      </c>
      <c r="O41">
        <f>IF(K41&lt;7, N41, (M41/L41)*(LineupPA!$C$10 * (3/$B$31)))</f>
        <v>0.56817694222171444</v>
      </c>
      <c r="P41" s="13"/>
    </row>
    <row r="42" spans="1:18" x14ac:dyDescent="0.25">
      <c r="A42">
        <v>5</v>
      </c>
      <c r="B42" t="s">
        <v>576</v>
      </c>
      <c r="C42" t="s">
        <v>19</v>
      </c>
      <c r="D42" s="9">
        <v>36678</v>
      </c>
      <c r="E42">
        <v>185</v>
      </c>
      <c r="F42" t="s">
        <v>577</v>
      </c>
      <c r="G42" t="s">
        <v>47</v>
      </c>
      <c r="H42" t="s">
        <v>578</v>
      </c>
      <c r="J42" t="str">
        <f t="shared" si="3"/>
        <v>Terrell, N</v>
      </c>
      <c r="K42">
        <v>7</v>
      </c>
      <c r="L42">
        <f>VLOOKUP(J42,[1]!Table6[[PLAYER]:[XBH]],26,FALSE)</f>
        <v>159</v>
      </c>
      <c r="M42">
        <f>VLOOKUP(J42,[1]!Table6[[PLAYER]:[XBH]],45,FALSE)</f>
        <v>-6.3182245249957738</v>
      </c>
      <c r="N42">
        <f>(M42/L42) * VLOOKUP(K42,LineupPA!$A$1:$B$10,2,FALSE)</f>
        <v>-0.17639573695572625</v>
      </c>
      <c r="O42">
        <f>IF(K42&lt;7, N42, (M42/L42)*(LineupPA!$C$10 * (3/$B$31)))</f>
        <v>-7.4320903872198904E-2</v>
      </c>
      <c r="P42" s="13"/>
    </row>
    <row r="43" spans="1:18" x14ac:dyDescent="0.25">
      <c r="A43">
        <v>1</v>
      </c>
      <c r="B43" t="s">
        <v>579</v>
      </c>
      <c r="C43" t="s">
        <v>19</v>
      </c>
      <c r="D43" s="10">
        <v>36678</v>
      </c>
      <c r="E43">
        <v>190</v>
      </c>
      <c r="F43" t="s">
        <v>551</v>
      </c>
      <c r="G43" t="s">
        <v>69</v>
      </c>
      <c r="H43" t="s">
        <v>580</v>
      </c>
      <c r="J43" t="str">
        <f t="shared" ref="J43:J45" si="4">LEFT(B43,(FIND(",",B43,1)+1)) &amp; LEFT(RIGHT(B43,LEN(B43)-(FIND(",",B43)+1)),1)</f>
        <v>Fitzgerald, J</v>
      </c>
      <c r="K43">
        <v>10</v>
      </c>
      <c r="L43">
        <f>VLOOKUP(J43,[1]!Table6[[PLAYER]:[XBH]],26,FALSE)</f>
        <v>118</v>
      </c>
      <c r="M43">
        <f>VLOOKUP(J43,[1]!Table6[[PLAYER]:[XBH]],45,FALSE)</f>
        <v>4.3472146302192511</v>
      </c>
      <c r="N43">
        <f>(M43/L43) * VLOOKUP(K43,LineupPA!$A$1:$B$10,2,FALSE)</f>
        <v>0</v>
      </c>
      <c r="O43">
        <f>IF(K43&lt;7, N43, (M43/L43)*(LineupPA!$C$10 * (3/$B$31)))</f>
        <v>6.8903634025262769E-2</v>
      </c>
    </row>
    <row r="44" spans="1:18" x14ac:dyDescent="0.25">
      <c r="A44">
        <v>2</v>
      </c>
      <c r="B44" t="s">
        <v>581</v>
      </c>
      <c r="C44" t="s">
        <v>19</v>
      </c>
      <c r="D44" s="10">
        <v>36678</v>
      </c>
      <c r="E44">
        <v>190</v>
      </c>
      <c r="F44" t="s">
        <v>545</v>
      </c>
      <c r="G44" t="s">
        <v>26</v>
      </c>
      <c r="H44" t="s">
        <v>582</v>
      </c>
      <c r="J44" t="str">
        <f t="shared" si="4"/>
        <v>Pearson, D</v>
      </c>
      <c r="K44">
        <v>9</v>
      </c>
      <c r="L44">
        <f>VLOOKUP(J44,[1]!Table6[[PLAYER]:[XBH]],26,FALSE)</f>
        <v>167</v>
      </c>
      <c r="M44">
        <f>VLOOKUP(J44,[1]!Table6[[PLAYER]:[XBH]],45,FALSE)</f>
        <v>-21.24011497645386</v>
      </c>
      <c r="N44">
        <f>(M44/L44) * VLOOKUP(K44,LineupPA!$A$1:$B$10,2,FALSE)</f>
        <v>-0.54550862684466106</v>
      </c>
      <c r="O44">
        <f>IF(K44&lt;7, N44, (M44/L44)*(LineupPA!$C$10 * (3/$B$31)))</f>
        <v>-0.23787754312992071</v>
      </c>
    </row>
    <row r="45" spans="1:18" x14ac:dyDescent="0.25">
      <c r="A45">
        <v>17</v>
      </c>
      <c r="B45" t="s">
        <v>583</v>
      </c>
      <c r="C45" t="s">
        <v>19</v>
      </c>
      <c r="D45" s="9">
        <v>44713</v>
      </c>
      <c r="E45">
        <v>190</v>
      </c>
      <c r="F45" t="s">
        <v>584</v>
      </c>
      <c r="G45" t="s">
        <v>21</v>
      </c>
      <c r="H45" t="s">
        <v>269</v>
      </c>
      <c r="J45" t="str">
        <f t="shared" si="4"/>
        <v>Walls, J</v>
      </c>
      <c r="K45">
        <v>2</v>
      </c>
      <c r="L45">
        <f>VLOOKUP(J45,[1]!Table6[[PLAYER]:[XBH]],26,FALSE)</f>
        <v>241</v>
      </c>
      <c r="M45">
        <f>VLOOKUP(J45,[1]!Table6[[PLAYER]:[XBH]],45,FALSE)</f>
        <v>12.721070181454163</v>
      </c>
      <c r="N45">
        <f>(M45/L45) * VLOOKUP(K45,LineupPA!$A$1:$B$10,2,FALSE)</f>
        <v>0.25410739919232572</v>
      </c>
      <c r="O45">
        <f>IF(K45&lt;7, N45, (M45/L45)*(LineupPA!$C$10 * (3/$B$31)))</f>
        <v>0.25410739919232572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212C-BD90-40AB-8234-790CAF3A95CD}">
  <dimension ref="A1:U47"/>
  <sheetViews>
    <sheetView workbookViewId="0">
      <selection activeCell="T3" sqref="T3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33</v>
      </c>
      <c r="B2" t="s">
        <v>585</v>
      </c>
      <c r="C2" t="s">
        <v>19</v>
      </c>
      <c r="D2" s="9">
        <v>44715</v>
      </c>
      <c r="E2">
        <v>230</v>
      </c>
      <c r="F2" t="s">
        <v>545</v>
      </c>
      <c r="G2" t="s">
        <v>21</v>
      </c>
      <c r="H2" t="s">
        <v>497</v>
      </c>
      <c r="J2" t="str">
        <f>LEFT(B2,(FIND(",",B2,1)+1)) &amp; LEFT(RIGHT(B2,LEN(B2)-(FIND(",",B2)+1)),1)</f>
        <v>Acosta, R</v>
      </c>
      <c r="L2">
        <f>VLOOKUP($J2,[1]!Table7[[PLAYER]:[WAR]],4, FALSE)</f>
        <v>12</v>
      </c>
      <c r="M2">
        <f>VLOOKUP($J2,[1]!Table7[[PLAYER]:[WAR]],5, FALSE)</f>
        <v>0</v>
      </c>
      <c r="N2">
        <f>VLOOKUP($J2,[1]!Table7[[PLAYER]:[WAR]],34, FALSE)</f>
        <v>19</v>
      </c>
      <c r="O2">
        <f>VLOOKUP($J2,[1]!Table7[[PLAYER]:[WAR]],48, FALSE)</f>
        <v>6.9292512519965808</v>
      </c>
      <c r="P2">
        <f>O2 * (N2/9)</f>
        <v>14.62841930977056</v>
      </c>
      <c r="R2">
        <v>1</v>
      </c>
      <c r="S2">
        <f>SUMIF($Q$2:$Q$25,R2,$O$2:$O$25)</f>
        <v>6.0897863123849891</v>
      </c>
      <c r="T2" s="11">
        <f>(SUM(P2:P6,P8:P9,P11,P13:P19) / SUM(N2:N6,N8:N9,N11,N13:N19)) * 9</f>
        <v>6.4118459395206839</v>
      </c>
      <c r="U2" s="11">
        <f>(5.5/9)*$S$2 + (3.5/9)*$T$2</f>
        <v>6.2150317229377592</v>
      </c>
    </row>
    <row r="3" spans="1:21" x14ac:dyDescent="0.25">
      <c r="A3">
        <v>16</v>
      </c>
      <c r="B3" t="s">
        <v>586</v>
      </c>
      <c r="C3" t="s">
        <v>54</v>
      </c>
      <c r="D3" s="9">
        <v>36678</v>
      </c>
      <c r="E3">
        <v>195</v>
      </c>
      <c r="F3" t="s">
        <v>587</v>
      </c>
      <c r="G3" t="s">
        <v>56</v>
      </c>
      <c r="H3" t="s">
        <v>588</v>
      </c>
      <c r="J3" t="str">
        <f t="shared" ref="J3:J19" si="0">LEFT(B3,(FIND(",",B3,1)+1)) &amp; LEFT(RIGHT(B3,LEN(B3)-(FIND(",",B3)+1)),1)</f>
        <v>Adams, A</v>
      </c>
      <c r="L3">
        <f>VLOOKUP($J3,[1]!Table7[[PLAYER]:[WAR]],4, FALSE)</f>
        <v>14</v>
      </c>
      <c r="M3">
        <f>VLOOKUP($J3,[1]!Table7[[PLAYER]:[WAR]],5, FALSE)</f>
        <v>3</v>
      </c>
      <c r="N3">
        <f>VLOOKUP($J3,[1]!Table7[[PLAYER]:[WAR]],34, FALSE)</f>
        <v>37.666666666666679</v>
      </c>
      <c r="O3">
        <f>VLOOKUP($J3,[1]!Table7[[PLAYER]:[WAR]],48, FALSE)</f>
        <v>6.3440349404240326</v>
      </c>
      <c r="P3">
        <f t="shared" ref="P3:P19" si="1">O3 * (N3/9)</f>
        <v>26.550961046959852</v>
      </c>
      <c r="R3">
        <v>2</v>
      </c>
      <c r="S3">
        <f t="shared" ref="S3:S4" si="2">SUMIF($Q$2:$Q$25,R3,$O$2:$O$25)</f>
        <v>4.5927242800869683</v>
      </c>
    </row>
    <row r="4" spans="1:21" x14ac:dyDescent="0.25">
      <c r="A4">
        <v>8</v>
      </c>
      <c r="B4" t="s">
        <v>589</v>
      </c>
      <c r="C4" t="s">
        <v>24</v>
      </c>
      <c r="D4" s="9">
        <v>44691</v>
      </c>
      <c r="E4">
        <v>170</v>
      </c>
      <c r="F4" t="s">
        <v>590</v>
      </c>
      <c r="G4" t="s">
        <v>56</v>
      </c>
      <c r="H4" t="s">
        <v>591</v>
      </c>
      <c r="J4" t="str">
        <f t="shared" si="0"/>
        <v>Cooper, P</v>
      </c>
      <c r="L4">
        <f>VLOOKUP($J4,[1]!Table7[[PLAYER]:[WAR]],4, FALSE)</f>
        <v>3</v>
      </c>
      <c r="M4">
        <f>VLOOKUP($J4,[1]!Table7[[PLAYER]:[WAR]],5, FALSE)</f>
        <v>1</v>
      </c>
      <c r="N4">
        <f>VLOOKUP($J4,[1]!Table7[[PLAYER]:[WAR]],34, FALSE)</f>
        <v>8.3333333333333321</v>
      </c>
      <c r="O4">
        <f>VLOOKUP($J4,[1]!Table7[[PLAYER]:[WAR]],48, FALSE)</f>
        <v>5.3209312420679531</v>
      </c>
      <c r="P4">
        <f t="shared" si="1"/>
        <v>4.9267881870999561</v>
      </c>
      <c r="R4">
        <v>3</v>
      </c>
      <c r="S4">
        <f t="shared" si="2"/>
        <v>5.2330024829972732</v>
      </c>
      <c r="U4" t="s">
        <v>446</v>
      </c>
    </row>
    <row r="5" spans="1:21" x14ac:dyDescent="0.25">
      <c r="A5">
        <v>27</v>
      </c>
      <c r="B5" t="s">
        <v>592</v>
      </c>
      <c r="C5" t="s">
        <v>19</v>
      </c>
      <c r="D5" s="9">
        <v>44715</v>
      </c>
      <c r="E5">
        <v>200</v>
      </c>
      <c r="F5" t="s">
        <v>245</v>
      </c>
      <c r="G5" t="s">
        <v>21</v>
      </c>
      <c r="H5" t="s">
        <v>593</v>
      </c>
      <c r="J5" t="str">
        <f t="shared" si="0"/>
        <v>Cornett, T</v>
      </c>
      <c r="L5">
        <f>VLOOKUP($J5,[1]!Table7[[PLAYER]:[WAR]],4, FALSE)</f>
        <v>13</v>
      </c>
      <c r="M5">
        <f>VLOOKUP($J5,[1]!Table7[[PLAYER]:[WAR]],5, FALSE)</f>
        <v>0</v>
      </c>
      <c r="N5">
        <f>VLOOKUP($J5,[1]!Table7[[PLAYER]:[WAR]],34, FALSE)</f>
        <v>18.333333333333339</v>
      </c>
      <c r="O5">
        <f>VLOOKUP($J5,[1]!Table7[[PLAYER]:[WAR]],48, FALSE)</f>
        <v>5.2536309308730935</v>
      </c>
      <c r="P5">
        <f t="shared" si="1"/>
        <v>10.701840785111861</v>
      </c>
      <c r="U5" s="11">
        <f>(5.5/9)*$S$6 + (3.5/9)*$T$2</f>
        <v>5.7355446029647386</v>
      </c>
    </row>
    <row r="6" spans="1:21" x14ac:dyDescent="0.25">
      <c r="A6">
        <v>22</v>
      </c>
      <c r="B6" t="s">
        <v>594</v>
      </c>
      <c r="C6" t="s">
        <v>19</v>
      </c>
      <c r="D6" s="9">
        <v>44714</v>
      </c>
      <c r="E6">
        <v>185</v>
      </c>
      <c r="F6" t="s">
        <v>587</v>
      </c>
      <c r="G6" t="s">
        <v>26</v>
      </c>
      <c r="H6" t="s">
        <v>595</v>
      </c>
      <c r="J6" t="str">
        <f t="shared" si="0"/>
        <v>Day, H</v>
      </c>
      <c r="L6">
        <f>VLOOKUP($J6,[1]!Table7[[PLAYER]:[WAR]],4, FALSE)</f>
        <v>10</v>
      </c>
      <c r="M6">
        <f>VLOOKUP($J6,[1]!Table7[[PLAYER]:[WAR]],5, FALSE)</f>
        <v>10</v>
      </c>
      <c r="N6">
        <f>VLOOKUP($J6,[1]!Table7[[PLAYER]:[WAR]],34, FALSE)</f>
        <v>52</v>
      </c>
      <c r="O6">
        <f>VLOOKUP($J6,[1]!Table7[[PLAYER]:[WAR]],48, FALSE)</f>
        <v>6.7200730749106672</v>
      </c>
      <c r="P6">
        <f t="shared" si="1"/>
        <v>38.82708887726163</v>
      </c>
      <c r="R6" t="s">
        <v>441</v>
      </c>
      <c r="S6" s="11">
        <f>AVERAGE(S2:S4)</f>
        <v>5.3051710251564099</v>
      </c>
    </row>
    <row r="7" spans="1:21" x14ac:dyDescent="0.25">
      <c r="A7">
        <v>29</v>
      </c>
      <c r="B7" t="s">
        <v>596</v>
      </c>
      <c r="C7" t="s">
        <v>19</v>
      </c>
      <c r="D7" s="9">
        <v>36678</v>
      </c>
      <c r="E7">
        <v>195</v>
      </c>
      <c r="F7" t="s">
        <v>597</v>
      </c>
      <c r="G7" t="s">
        <v>21</v>
      </c>
      <c r="H7" t="s">
        <v>598</v>
      </c>
      <c r="J7" t="str">
        <f t="shared" si="0"/>
        <v>Gainey, B</v>
      </c>
      <c r="L7">
        <f>VLOOKUP($J7,[1]!Table7[[PLAYER]:[WAR]],4, FALSE)</f>
        <v>9</v>
      </c>
      <c r="M7">
        <f>VLOOKUP($J7,[1]!Table7[[PLAYER]:[WAR]],5, FALSE)</f>
        <v>7</v>
      </c>
      <c r="N7">
        <f>VLOOKUP($J7,[1]!Table7[[PLAYER]:[WAR]],34, FALSE)</f>
        <v>40.333333333333336</v>
      </c>
      <c r="O7">
        <f>VLOOKUP($J7,[1]!Table7[[PLAYER]:[WAR]],48, FALSE)</f>
        <v>6.0897863123849891</v>
      </c>
      <c r="P7">
        <f t="shared" si="1"/>
        <v>27.29126458513273</v>
      </c>
      <c r="Q7">
        <v>1</v>
      </c>
    </row>
    <row r="8" spans="1:21" x14ac:dyDescent="0.25">
      <c r="A8">
        <v>48</v>
      </c>
      <c r="B8" t="s">
        <v>599</v>
      </c>
      <c r="C8" t="s">
        <v>19</v>
      </c>
      <c r="D8" s="9">
        <v>44718</v>
      </c>
      <c r="E8">
        <v>240</v>
      </c>
      <c r="F8" t="s">
        <v>144</v>
      </c>
      <c r="G8" t="s">
        <v>21</v>
      </c>
      <c r="H8" t="s">
        <v>600</v>
      </c>
      <c r="J8" t="str">
        <f t="shared" si="0"/>
        <v>Glenos, D</v>
      </c>
      <c r="L8">
        <f>VLOOKUP($J8,[1]!Table7[[PLAYER]:[WAR]],4, FALSE)</f>
        <v>21</v>
      </c>
      <c r="M8">
        <f>VLOOKUP($J8,[1]!Table7[[PLAYER]:[WAR]],5, FALSE)</f>
        <v>0</v>
      </c>
      <c r="N8">
        <f>VLOOKUP($J8,[1]!Table7[[PLAYER]:[WAR]],34, FALSE)</f>
        <v>23.333333333333339</v>
      </c>
      <c r="O8">
        <f>VLOOKUP($J8,[1]!Table7[[PLAYER]:[WAR]],48, FALSE)</f>
        <v>7.4448970156104988</v>
      </c>
      <c r="P8">
        <f t="shared" si="1"/>
        <v>19.301584855286485</v>
      </c>
    </row>
    <row r="9" spans="1:21" x14ac:dyDescent="0.25">
      <c r="A9">
        <v>18</v>
      </c>
      <c r="B9" t="s">
        <v>601</v>
      </c>
      <c r="C9" t="s">
        <v>19</v>
      </c>
      <c r="D9" s="9">
        <v>44715</v>
      </c>
      <c r="E9">
        <v>210</v>
      </c>
      <c r="F9" t="s">
        <v>602</v>
      </c>
      <c r="G9" t="s">
        <v>69</v>
      </c>
      <c r="H9" t="s">
        <v>603</v>
      </c>
      <c r="J9" t="str">
        <f t="shared" si="0"/>
        <v>Grillo, C</v>
      </c>
      <c r="L9">
        <f>VLOOKUP($J9,[1]!Table7[[PLAYER]:[WAR]],4, FALSE)</f>
        <v>17</v>
      </c>
      <c r="M9">
        <f>VLOOKUP($J9,[1]!Table7[[PLAYER]:[WAR]],5, FALSE)</f>
        <v>0</v>
      </c>
      <c r="N9">
        <f>VLOOKUP($J9,[1]!Table7[[PLAYER]:[WAR]],34, FALSE)</f>
        <v>17.333333333333339</v>
      </c>
      <c r="O9">
        <f>VLOOKUP($J9,[1]!Table7[[PLAYER]:[WAR]],48, FALSE)</f>
        <v>3.6552485399951684</v>
      </c>
      <c r="P9">
        <f t="shared" si="1"/>
        <v>7.0397379288795854</v>
      </c>
    </row>
    <row r="10" spans="1:21" x14ac:dyDescent="0.25">
      <c r="A10">
        <v>23</v>
      </c>
      <c r="B10" t="s">
        <v>604</v>
      </c>
      <c r="C10" t="s">
        <v>19</v>
      </c>
      <c r="D10" s="9">
        <v>36678</v>
      </c>
      <c r="E10">
        <v>185</v>
      </c>
      <c r="F10" t="s">
        <v>605</v>
      </c>
      <c r="G10" t="s">
        <v>69</v>
      </c>
      <c r="H10" t="s">
        <v>606</v>
      </c>
      <c r="J10" t="str">
        <f t="shared" si="0"/>
        <v>Hyde, N</v>
      </c>
      <c r="L10">
        <f>VLOOKUP($J10,[1]!Table7[[PLAYER]:[WAR]],4, FALSE)</f>
        <v>10</v>
      </c>
      <c r="M10">
        <f>VLOOKUP($J10,[1]!Table7[[PLAYER]:[WAR]],5, FALSE)</f>
        <v>3</v>
      </c>
      <c r="N10">
        <f>VLOOKUP($J10,[1]!Table7[[PLAYER]:[WAR]],34, FALSE)</f>
        <v>29</v>
      </c>
      <c r="O10">
        <f>VLOOKUP($J10,[1]!Table7[[PLAYER]:[WAR]],48, FALSE)</f>
        <v>5.2330024829972732</v>
      </c>
      <c r="P10">
        <f t="shared" si="1"/>
        <v>16.861896889657881</v>
      </c>
      <c r="Q10">
        <v>3</v>
      </c>
    </row>
    <row r="11" spans="1:21" x14ac:dyDescent="0.25">
      <c r="A11">
        <v>30</v>
      </c>
      <c r="B11" t="s">
        <v>607</v>
      </c>
      <c r="C11" t="s">
        <v>19</v>
      </c>
      <c r="D11" s="9">
        <v>44716</v>
      </c>
      <c r="E11">
        <v>195</v>
      </c>
      <c r="F11" t="s">
        <v>608</v>
      </c>
      <c r="G11" t="s">
        <v>26</v>
      </c>
      <c r="H11" t="s">
        <v>609</v>
      </c>
      <c r="J11" t="str">
        <f t="shared" si="0"/>
        <v>Jaenke, B</v>
      </c>
      <c r="L11">
        <f>VLOOKUP($J11,[1]!Table7[[PLAYER]:[WAR]],4, FALSE)</f>
        <v>3</v>
      </c>
      <c r="M11">
        <f>VLOOKUP($J11,[1]!Table7[[PLAYER]:[WAR]],5, FALSE)</f>
        <v>2</v>
      </c>
      <c r="N11">
        <f>VLOOKUP($J11,[1]!Table7[[PLAYER]:[WAR]],34, FALSE)</f>
        <v>11.666666666666664</v>
      </c>
      <c r="O11">
        <f>VLOOKUP($J11,[1]!Table7[[PLAYER]:[WAR]],48, FALSE)</f>
        <v>6.0788609371910196</v>
      </c>
      <c r="P11">
        <f t="shared" si="1"/>
        <v>7.8800049185809495</v>
      </c>
    </row>
    <row r="12" spans="1:21" x14ac:dyDescent="0.25">
      <c r="A12">
        <v>20</v>
      </c>
      <c r="B12" t="s">
        <v>610</v>
      </c>
      <c r="C12" t="s">
        <v>24</v>
      </c>
      <c r="D12" s="9">
        <v>44716</v>
      </c>
      <c r="E12">
        <v>190</v>
      </c>
      <c r="F12" t="s">
        <v>611</v>
      </c>
      <c r="G12" t="s">
        <v>56</v>
      </c>
      <c r="H12" t="s">
        <v>612</v>
      </c>
      <c r="J12" t="str">
        <f t="shared" si="0"/>
        <v>Keisel, J</v>
      </c>
      <c r="L12">
        <f>VLOOKUP($J12,[1]!Table7[[PLAYER]:[WAR]],4, FALSE)</f>
        <v>7</v>
      </c>
      <c r="M12">
        <f>VLOOKUP($J12,[1]!Table7[[PLAYER]:[WAR]],5, FALSE)</f>
        <v>4</v>
      </c>
      <c r="N12">
        <f>VLOOKUP($J12,[1]!Table7[[PLAYER]:[WAR]],34, FALSE)</f>
        <v>17</v>
      </c>
      <c r="O12">
        <f>VLOOKUP($J12,[1]!Table7[[PLAYER]:[WAR]],48, FALSE)</f>
        <v>4.5927242800869683</v>
      </c>
      <c r="P12">
        <f t="shared" si="1"/>
        <v>8.6751458623864952</v>
      </c>
      <c r="Q12">
        <v>2</v>
      </c>
    </row>
    <row r="13" spans="1:21" x14ac:dyDescent="0.25">
      <c r="A13">
        <v>36</v>
      </c>
      <c r="B13" t="s">
        <v>613</v>
      </c>
      <c r="C13" t="s">
        <v>54</v>
      </c>
      <c r="D13" s="9">
        <v>44713</v>
      </c>
      <c r="E13">
        <v>200</v>
      </c>
      <c r="F13" t="s">
        <v>587</v>
      </c>
      <c r="G13" t="s">
        <v>21</v>
      </c>
      <c r="H13" t="s">
        <v>614</v>
      </c>
      <c r="J13" t="str">
        <f t="shared" si="0"/>
        <v>Krowka, K</v>
      </c>
      <c r="L13">
        <f>VLOOKUP($J13,[1]!Table7[[PLAYER]:[WAR]],4, FALSE)</f>
        <v>10</v>
      </c>
      <c r="M13">
        <f>VLOOKUP($J13,[1]!Table7[[PLAYER]:[WAR]],5, FALSE)</f>
        <v>10</v>
      </c>
      <c r="N13">
        <f>VLOOKUP($J13,[1]!Table7[[PLAYER]:[WAR]],34, FALSE)</f>
        <v>42</v>
      </c>
      <c r="O13">
        <f>VLOOKUP($J13,[1]!Table7[[PLAYER]:[WAR]],48, FALSE)</f>
        <v>7.6701216020165779</v>
      </c>
      <c r="P13">
        <f t="shared" si="1"/>
        <v>35.793900809410701</v>
      </c>
    </row>
    <row r="14" spans="1:21" x14ac:dyDescent="0.25">
      <c r="A14">
        <v>14</v>
      </c>
      <c r="B14" t="s">
        <v>615</v>
      </c>
      <c r="C14" t="s">
        <v>19</v>
      </c>
      <c r="D14" s="9">
        <v>44714</v>
      </c>
      <c r="E14">
        <v>185</v>
      </c>
      <c r="F14" t="s">
        <v>370</v>
      </c>
      <c r="G14" t="s">
        <v>39</v>
      </c>
      <c r="H14" t="s">
        <v>616</v>
      </c>
      <c r="J14" t="str">
        <f t="shared" si="0"/>
        <v>Lilledahl, D</v>
      </c>
      <c r="L14">
        <f>VLOOKUP($J14,[1]!Table7[[PLAYER]:[WAR]],4, FALSE)</f>
        <v>20</v>
      </c>
      <c r="M14">
        <f>VLOOKUP($J14,[1]!Table7[[PLAYER]:[WAR]],5, FALSE)</f>
        <v>0</v>
      </c>
      <c r="N14">
        <f>VLOOKUP($J14,[1]!Table7[[PLAYER]:[WAR]],34, FALSE)</f>
        <v>23.666666666666664</v>
      </c>
      <c r="O14">
        <f>VLOOKUP($J14,[1]!Table7[[PLAYER]:[WAR]],48, FALSE)</f>
        <v>6.58778850843317</v>
      </c>
      <c r="P14">
        <f t="shared" si="1"/>
        <v>17.323443855509446</v>
      </c>
    </row>
    <row r="15" spans="1:21" x14ac:dyDescent="0.25">
      <c r="A15">
        <v>19</v>
      </c>
      <c r="B15" t="s">
        <v>617</v>
      </c>
      <c r="C15" t="s">
        <v>19</v>
      </c>
      <c r="D15" s="9">
        <v>44688</v>
      </c>
      <c r="E15">
        <v>170</v>
      </c>
      <c r="F15" t="s">
        <v>618</v>
      </c>
      <c r="G15" t="s">
        <v>21</v>
      </c>
      <c r="H15" t="s">
        <v>619</v>
      </c>
      <c r="J15" t="str">
        <f t="shared" si="0"/>
        <v>Ozoa, E</v>
      </c>
      <c r="L15">
        <f>VLOOKUP($J15,[1]!Table7[[PLAYER]:[WAR]],4, FALSE)</f>
        <v>12</v>
      </c>
      <c r="M15">
        <f>VLOOKUP($J15,[1]!Table7[[PLAYER]:[WAR]],5, FALSE)</f>
        <v>0</v>
      </c>
      <c r="N15">
        <f>VLOOKUP($J15,[1]!Table7[[PLAYER]:[WAR]],34, FALSE)</f>
        <v>14</v>
      </c>
      <c r="O15">
        <f>VLOOKUP($J15,[1]!Table7[[PLAYER]:[WAR]],48, FALSE)</f>
        <v>6.0054181372759929</v>
      </c>
      <c r="P15">
        <f t="shared" si="1"/>
        <v>9.3417615468737676</v>
      </c>
    </row>
    <row r="16" spans="1:21" x14ac:dyDescent="0.25">
      <c r="A16">
        <v>17</v>
      </c>
      <c r="B16" t="s">
        <v>620</v>
      </c>
      <c r="C16" t="s">
        <v>54</v>
      </c>
      <c r="D16" s="9">
        <v>44714</v>
      </c>
      <c r="E16">
        <v>190</v>
      </c>
      <c r="F16" t="s">
        <v>454</v>
      </c>
      <c r="G16" t="s">
        <v>56</v>
      </c>
      <c r="H16" t="s">
        <v>621</v>
      </c>
      <c r="J16" t="str">
        <f t="shared" si="0"/>
        <v>Petron, C</v>
      </c>
      <c r="L16">
        <f>VLOOKUP($J16,[1]!Table7[[PLAYER]:[WAR]],4, FALSE)</f>
        <v>3</v>
      </c>
      <c r="M16">
        <f>VLOOKUP($J16,[1]!Table7[[PLAYER]:[WAR]],5, FALSE)</f>
        <v>1</v>
      </c>
      <c r="N16">
        <f>VLOOKUP($J16,[1]!Table7[[PLAYER]:[WAR]],34, FALSE)</f>
        <v>7</v>
      </c>
      <c r="O16">
        <f>VLOOKUP($J16,[1]!Table7[[PLAYER]:[WAR]],48, FALSE)</f>
        <v>5.0506617383806578</v>
      </c>
      <c r="P16">
        <f t="shared" si="1"/>
        <v>3.9282924631849561</v>
      </c>
    </row>
    <row r="17" spans="1:18" x14ac:dyDescent="0.25">
      <c r="A17">
        <v>25</v>
      </c>
      <c r="B17" t="s">
        <v>622</v>
      </c>
      <c r="C17" t="s">
        <v>54</v>
      </c>
      <c r="D17" s="9">
        <v>44716</v>
      </c>
      <c r="E17">
        <v>230</v>
      </c>
      <c r="F17" t="s">
        <v>587</v>
      </c>
      <c r="G17" t="s">
        <v>26</v>
      </c>
      <c r="H17" t="s">
        <v>623</v>
      </c>
      <c r="J17" t="str">
        <f t="shared" si="0"/>
        <v>Posch, B</v>
      </c>
      <c r="L17">
        <f>VLOOKUP($J17,[1]!Table7[[PLAYER]:[WAR]],4, FALSE)</f>
        <v>16</v>
      </c>
      <c r="M17">
        <f>VLOOKUP($J17,[1]!Table7[[PLAYER]:[WAR]],5, FALSE)</f>
        <v>0</v>
      </c>
      <c r="N17">
        <f>VLOOKUP($J17,[1]!Table7[[PLAYER]:[WAR]],34, FALSE)</f>
        <v>17</v>
      </c>
      <c r="O17">
        <f>VLOOKUP($J17,[1]!Table7[[PLAYER]:[WAR]],48, FALSE)</f>
        <v>5.0765827265859613</v>
      </c>
      <c r="P17">
        <f t="shared" si="1"/>
        <v>9.5891007057734825</v>
      </c>
    </row>
    <row r="18" spans="1:18" x14ac:dyDescent="0.25">
      <c r="A18">
        <v>42</v>
      </c>
      <c r="B18" t="s">
        <v>624</v>
      </c>
      <c r="C18" t="s">
        <v>24</v>
      </c>
      <c r="D18" s="9">
        <v>44718</v>
      </c>
      <c r="E18">
        <v>195</v>
      </c>
      <c r="F18" t="s">
        <v>551</v>
      </c>
      <c r="G18" t="s">
        <v>47</v>
      </c>
      <c r="H18" t="s">
        <v>625</v>
      </c>
      <c r="J18" t="str">
        <f t="shared" si="0"/>
        <v>Schoeberl, T</v>
      </c>
      <c r="L18">
        <f>VLOOKUP($J18,[1]!Table7[[PLAYER]:[WAR]],4, FALSE)</f>
        <v>2</v>
      </c>
      <c r="M18">
        <f>VLOOKUP($J18,[1]!Table7[[PLAYER]:[WAR]],5, FALSE)</f>
        <v>0</v>
      </c>
      <c r="N18">
        <f>VLOOKUP($J18,[1]!Table7[[PLAYER]:[WAR]],34, FALSE)</f>
        <v>2.3333333333333335</v>
      </c>
      <c r="O18">
        <f>VLOOKUP($J18,[1]!Table7[[PLAYER]:[WAR]],48, FALSE)</f>
        <v>12.248056130053186</v>
      </c>
      <c r="P18">
        <f t="shared" si="1"/>
        <v>3.175421959643419</v>
      </c>
    </row>
    <row r="19" spans="1:18" x14ac:dyDescent="0.25">
      <c r="A19">
        <v>38</v>
      </c>
      <c r="B19" t="s">
        <v>626</v>
      </c>
      <c r="C19" t="s">
        <v>24</v>
      </c>
      <c r="D19" s="9">
        <v>36678</v>
      </c>
      <c r="E19">
        <v>205</v>
      </c>
      <c r="F19" t="s">
        <v>627</v>
      </c>
      <c r="G19" t="s">
        <v>21</v>
      </c>
      <c r="H19" t="s">
        <v>628</v>
      </c>
      <c r="J19" t="str">
        <f t="shared" si="0"/>
        <v>Welch, B</v>
      </c>
      <c r="L19">
        <f>VLOOKUP($J19,[1]!Table7[[PLAYER]:[WAR]],4, FALSE)</f>
        <v>1</v>
      </c>
      <c r="M19">
        <f>VLOOKUP($J19,[1]!Table7[[PLAYER]:[WAR]],5, FALSE)</f>
        <v>0</v>
      </c>
      <c r="N19">
        <f>VLOOKUP($J19,[1]!Table7[[PLAYER]:[WAR]],34, FALSE)</f>
        <v>1</v>
      </c>
      <c r="O19">
        <f>VLOOKUP($J19,[1]!Table7[[PLAYER]:[WAR]],48, FALSE)</f>
        <v>8.2821449346417939</v>
      </c>
      <c r="P19">
        <f t="shared" si="1"/>
        <v>0.9202383260713104</v>
      </c>
    </row>
    <row r="31" spans="1:18" x14ac:dyDescent="0.25">
      <c r="A31" t="s">
        <v>117</v>
      </c>
      <c r="B31">
        <f>COUNTIF(K33:K50, "&gt;= 7")</f>
        <v>9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3</v>
      </c>
      <c r="B33" t="s">
        <v>629</v>
      </c>
      <c r="C33" t="s">
        <v>19</v>
      </c>
      <c r="D33" s="9">
        <v>44692</v>
      </c>
      <c r="E33">
        <v>170</v>
      </c>
      <c r="F33" t="s">
        <v>20</v>
      </c>
      <c r="G33" t="s">
        <v>26</v>
      </c>
      <c r="H33" t="s">
        <v>630</v>
      </c>
      <c r="J33" t="str">
        <f t="shared" ref="J33:J42" si="3">LEFT(B33,(FIND(",",B33,1)+1)) &amp; LEFT(RIGHT(B33,LEN(B33)-(FIND(",",B33)+1)),1)</f>
        <v>Hofstetter, M</v>
      </c>
      <c r="K33">
        <v>9</v>
      </c>
      <c r="L33">
        <f>VLOOKUP(J33,[1]!Table6[[PLAYER]:[XBH]],26,FALSE)</f>
        <v>171</v>
      </c>
      <c r="M33">
        <f>VLOOKUP(J33,[1]!Table6[[PLAYER]:[XBH]],45,FALSE)</f>
        <v>-12.865043492343746</v>
      </c>
      <c r="N33">
        <f>(M33/L33) * VLOOKUP(K33,LineupPA!$A$1:$B$10,2,FALSE)</f>
        <v>-0.3226832179081866</v>
      </c>
      <c r="O33">
        <f>IF(K33&lt;7, N33, (M33/L33)*(LineupPA!$C$10 * (3/$B$31)))</f>
        <v>-0.10944192694780837</v>
      </c>
      <c r="P33" s="13"/>
      <c r="Q33">
        <f>SUM(N33:N47)</f>
        <v>0.76784067557584212</v>
      </c>
      <c r="R33">
        <f>SUM(O33:O47)</f>
        <v>0.14496290798469294</v>
      </c>
    </row>
    <row r="34" spans="1:18" x14ac:dyDescent="0.25">
      <c r="A34">
        <v>37</v>
      </c>
      <c r="B34" t="s">
        <v>631</v>
      </c>
      <c r="C34" t="s">
        <v>19</v>
      </c>
      <c r="D34" s="10">
        <v>44691</v>
      </c>
      <c r="E34">
        <v>195</v>
      </c>
      <c r="F34" t="s">
        <v>632</v>
      </c>
      <c r="G34" t="s">
        <v>69</v>
      </c>
      <c r="H34" t="s">
        <v>523</v>
      </c>
      <c r="J34" t="str">
        <f t="shared" si="3"/>
        <v>Martin, D</v>
      </c>
      <c r="K34">
        <v>10</v>
      </c>
      <c r="L34">
        <f>VLOOKUP(J34,[1]!Table6[[PLAYER]:[XBH]],26,FALSE)</f>
        <v>115</v>
      </c>
      <c r="M34">
        <f>VLOOKUP(J34,[1]!Table6[[PLAYER]:[XBH]],45,FALSE)</f>
        <v>-10.199618801155729</v>
      </c>
      <c r="N34">
        <f>(M34/L34) * VLOOKUP(K34,LineupPA!$A$1:$B$10,2,FALSE)</f>
        <v>0</v>
      </c>
      <c r="O34">
        <f>IF(K34&lt;7, N34, (M34/L34)*(LineupPA!$C$10 * (3/$B$31)))</f>
        <v>-0.1290193005658401</v>
      </c>
      <c r="P34" s="13"/>
    </row>
    <row r="35" spans="1:18" x14ac:dyDescent="0.25">
      <c r="A35">
        <v>31</v>
      </c>
      <c r="B35" t="s">
        <v>633</v>
      </c>
      <c r="C35" t="s">
        <v>42</v>
      </c>
      <c r="D35" s="9">
        <v>44691</v>
      </c>
      <c r="E35">
        <v>190</v>
      </c>
      <c r="F35" t="s">
        <v>618</v>
      </c>
      <c r="G35" t="s">
        <v>69</v>
      </c>
      <c r="H35" t="s">
        <v>634</v>
      </c>
      <c r="J35" t="str">
        <f t="shared" si="3"/>
        <v>Nava, G</v>
      </c>
      <c r="K35">
        <v>10</v>
      </c>
      <c r="L35">
        <f>VLOOKUP(J35,[1]!Table6[[PLAYER]:[XBH]],26,FALSE)</f>
        <v>9</v>
      </c>
      <c r="M35">
        <f>VLOOKUP(J35,[1]!Table6[[PLAYER]:[XBH]],45,FALSE)</f>
        <v>-0.84653825970680185</v>
      </c>
      <c r="N35">
        <f>(M35/L35) * VLOOKUP(K35,LineupPA!$A$1:$B$10,2,FALSE)</f>
        <v>0</v>
      </c>
      <c r="O35">
        <f>IF(K35&lt;7, N35, (M35/L35)*(LineupPA!$C$10 * (3/$B$31)))</f>
        <v>-0.13682727075251322</v>
      </c>
      <c r="P35" s="13"/>
    </row>
    <row r="36" spans="1:18" x14ac:dyDescent="0.25">
      <c r="A36">
        <v>26</v>
      </c>
      <c r="B36" t="s">
        <v>635</v>
      </c>
      <c r="C36" t="s">
        <v>19</v>
      </c>
      <c r="D36" s="9">
        <v>44691</v>
      </c>
      <c r="E36">
        <v>180</v>
      </c>
      <c r="F36" t="s">
        <v>636</v>
      </c>
      <c r="G36" t="s">
        <v>56</v>
      </c>
      <c r="H36" t="s">
        <v>637</v>
      </c>
      <c r="J36" t="str">
        <f t="shared" si="3"/>
        <v>Sipe, E</v>
      </c>
      <c r="K36">
        <v>10</v>
      </c>
      <c r="L36">
        <f>VLOOKUP(J36,[1]!Table6[[PLAYER]:[XBH]],26,FALSE)</f>
        <v>58</v>
      </c>
      <c r="M36">
        <f>VLOOKUP(J36,[1]!Table6[[PLAYER]:[XBH]],45,FALSE)</f>
        <v>-8.4537112313053253</v>
      </c>
      <c r="N36">
        <f>(M36/L36) * VLOOKUP(K36,LineupPA!$A$1:$B$10,2,FALSE)</f>
        <v>0</v>
      </c>
      <c r="O36">
        <f>IF(K36&lt;7, N36, (M36/L36)*(LineupPA!$C$10 * (3/$B$31)))</f>
        <v>-0.21202545209991916</v>
      </c>
      <c r="P36" s="13"/>
    </row>
    <row r="37" spans="1:18" x14ac:dyDescent="0.25">
      <c r="A37">
        <v>10</v>
      </c>
      <c r="B37" t="s">
        <v>638</v>
      </c>
      <c r="C37" t="s">
        <v>19</v>
      </c>
      <c r="D37" s="9">
        <v>36678</v>
      </c>
      <c r="E37">
        <v>175</v>
      </c>
      <c r="F37" t="s">
        <v>639</v>
      </c>
      <c r="G37" t="s">
        <v>51</v>
      </c>
      <c r="H37" t="s">
        <v>640</v>
      </c>
      <c r="J37" t="str">
        <f t="shared" si="3"/>
        <v>Austin, T</v>
      </c>
      <c r="K37">
        <v>2</v>
      </c>
      <c r="L37">
        <f>VLOOKUP(J37,[1]!Table6[[PLAYER]:[XBH]],26,FALSE)</f>
        <v>254</v>
      </c>
      <c r="M37">
        <f>VLOOKUP(J37,[1]!Table6[[PLAYER]:[XBH]],45,FALSE)</f>
        <v>11.68524745909466</v>
      </c>
      <c r="N37">
        <f>(M37/L37) * VLOOKUP(K37,LineupPA!$A$1:$B$10,2,FALSE)</f>
        <v>0.22146999835865516</v>
      </c>
      <c r="O37">
        <f>IF(K37&lt;7, N37, (M37/L37)*(LineupPA!$C$10 * (3/$B$31)))</f>
        <v>0.22146999835865516</v>
      </c>
      <c r="P37" s="13"/>
    </row>
    <row r="38" spans="1:18" x14ac:dyDescent="0.25">
      <c r="A38">
        <v>35</v>
      </c>
      <c r="B38" t="s">
        <v>641</v>
      </c>
      <c r="C38" t="s">
        <v>19</v>
      </c>
      <c r="D38" s="9">
        <v>36678</v>
      </c>
      <c r="E38">
        <v>210</v>
      </c>
      <c r="F38" t="s">
        <v>618</v>
      </c>
      <c r="G38" t="s">
        <v>21</v>
      </c>
      <c r="H38" t="s">
        <v>642</v>
      </c>
      <c r="J38" t="str">
        <f t="shared" si="3"/>
        <v>Burgos, O</v>
      </c>
      <c r="K38">
        <v>6</v>
      </c>
      <c r="L38">
        <f>VLOOKUP(J38,[1]!Table6[[PLAYER]:[XBH]],26,FALSE)</f>
        <v>180</v>
      </c>
      <c r="M38">
        <f>VLOOKUP(J38,[1]!Table6[[PLAYER]:[XBH]],45,FALSE)</f>
        <v>2.597169372721535</v>
      </c>
      <c r="N38">
        <f>(M38/L38) * VLOOKUP(K38,LineupPA!$A$1:$B$10,2,FALSE)</f>
        <v>6.5131975168232173E-2</v>
      </c>
      <c r="O38">
        <f>IF(K38&lt;7, N38, (M38/L38)*(LineupPA!$C$10 * (3/$B$31)))</f>
        <v>6.5131975168232173E-2</v>
      </c>
      <c r="P38" s="13"/>
    </row>
    <row r="39" spans="1:18" x14ac:dyDescent="0.25">
      <c r="A39">
        <v>24</v>
      </c>
      <c r="B39" t="s">
        <v>643</v>
      </c>
      <c r="C39" t="s">
        <v>19</v>
      </c>
      <c r="D39" s="9">
        <v>44718</v>
      </c>
      <c r="E39">
        <v>215</v>
      </c>
      <c r="F39" t="s">
        <v>285</v>
      </c>
      <c r="G39" t="s">
        <v>39</v>
      </c>
      <c r="H39" t="s">
        <v>644</v>
      </c>
      <c r="J39" t="str">
        <f t="shared" si="3"/>
        <v>Condon, C</v>
      </c>
      <c r="K39">
        <v>4</v>
      </c>
      <c r="L39">
        <f>VLOOKUP(J39,[1]!Table6[[PLAYER]:[XBH]],26,FALSE)</f>
        <v>288</v>
      </c>
      <c r="M39">
        <f>VLOOKUP(J39,[1]!Table6[[PLAYER]:[XBH]],45,FALSE)</f>
        <v>3.6390732279412497</v>
      </c>
      <c r="N39">
        <f>(M39/L39) * VLOOKUP(K39,LineupPA!$A$1:$B$10,2,FALSE)</f>
        <v>5.8933416198326406E-2</v>
      </c>
      <c r="O39">
        <f>IF(K39&lt;7, N39, (M39/L39)*(LineupPA!$C$10 * (3/$B$31)))</f>
        <v>5.8933416198326406E-2</v>
      </c>
      <c r="P39" s="13"/>
    </row>
    <row r="40" spans="1:18" x14ac:dyDescent="0.25">
      <c r="A40">
        <v>99</v>
      </c>
      <c r="B40" t="s">
        <v>645</v>
      </c>
      <c r="C40" t="s">
        <v>19</v>
      </c>
      <c r="D40" s="9">
        <v>44713</v>
      </c>
      <c r="E40">
        <v>205</v>
      </c>
      <c r="F40" t="s">
        <v>370</v>
      </c>
      <c r="G40" t="s">
        <v>69</v>
      </c>
      <c r="H40" t="s">
        <v>646</v>
      </c>
      <c r="J40" t="str">
        <f t="shared" si="3"/>
        <v>Hauge, J</v>
      </c>
      <c r="K40">
        <v>5</v>
      </c>
      <c r="L40">
        <f>VLOOKUP(J40,[1]!Table6[[PLAYER]:[XBH]],26,FALSE)</f>
        <v>138</v>
      </c>
      <c r="M40">
        <f>VLOOKUP(J40,[1]!Table6[[PLAYER]:[XBH]],45,FALSE)</f>
        <v>3.4294790869166771</v>
      </c>
      <c r="N40">
        <f>(M40/L40) * VLOOKUP(K40,LineupPA!$A$1:$B$10,2,FALSE)</f>
        <v>0.11404387773982831</v>
      </c>
      <c r="O40">
        <f>IF(K40&lt;7, N40, (M40/L40)*(LineupPA!$C$10 * (3/$B$31)))</f>
        <v>0.11404387773982831</v>
      </c>
      <c r="P40" s="13"/>
    </row>
    <row r="41" spans="1:18" x14ac:dyDescent="0.25">
      <c r="A41">
        <v>28</v>
      </c>
      <c r="B41" t="s">
        <v>647</v>
      </c>
      <c r="C41" t="s">
        <v>24</v>
      </c>
      <c r="D41" s="9">
        <v>44692</v>
      </c>
      <c r="E41">
        <v>175</v>
      </c>
      <c r="F41" t="s">
        <v>144</v>
      </c>
      <c r="G41" t="s">
        <v>51</v>
      </c>
      <c r="H41" t="s">
        <v>648</v>
      </c>
      <c r="J41" t="str">
        <f t="shared" si="3"/>
        <v>Liddie, E</v>
      </c>
      <c r="K41">
        <v>10</v>
      </c>
      <c r="L41">
        <f>VLOOKUP(J41,[1]!Table6[[PLAYER]:[XBH]],26,FALSE)</f>
        <v>29</v>
      </c>
      <c r="M41">
        <f>VLOOKUP(J41,[1]!Table6[[PLAYER]:[XBH]],45,FALSE)</f>
        <v>-6.7908580542427961</v>
      </c>
      <c r="N41">
        <f>(M41/L41) * VLOOKUP(K41,LineupPA!$A$1:$B$10,2,FALSE)</f>
        <v>0</v>
      </c>
      <c r="O41">
        <f>IF(K41&lt;7, N41, (M41/L41)*(LineupPA!$C$10 * (3/$B$31)))</f>
        <v>-0.34063968112970039</v>
      </c>
      <c r="P41" s="13"/>
    </row>
    <row r="42" spans="1:18" x14ac:dyDescent="0.25">
      <c r="A42">
        <v>11</v>
      </c>
      <c r="B42" t="s">
        <v>649</v>
      </c>
      <c r="C42" t="s">
        <v>19</v>
      </c>
      <c r="D42" s="9">
        <v>44714</v>
      </c>
      <c r="E42">
        <v>220</v>
      </c>
      <c r="F42" t="s">
        <v>280</v>
      </c>
      <c r="G42" t="s">
        <v>26</v>
      </c>
      <c r="H42" t="s">
        <v>650</v>
      </c>
      <c r="J42" t="str">
        <f t="shared" si="3"/>
        <v>Steil, J</v>
      </c>
      <c r="K42">
        <v>8</v>
      </c>
      <c r="L42">
        <f>VLOOKUP(J42,[1]!Table6[[PLAYER]:[XBH]],26,FALSE)</f>
        <v>181</v>
      </c>
      <c r="M42">
        <f>VLOOKUP(J42,[1]!Table6[[PLAYER]:[XBH]],45,FALSE)</f>
        <v>-3.7202285969990134</v>
      </c>
      <c r="N42">
        <f>(M42/L42) * VLOOKUP(K42,LineupPA!$A$1:$B$10,2,FALSE)</f>
        <v>-8.9697613716405361E-2</v>
      </c>
      <c r="O42">
        <f>IF(K42&lt;7, N42, (M42/L42)*(LineupPA!$C$10 * (3/$B$31)))</f>
        <v>-2.9899204572135119E-2</v>
      </c>
      <c r="P42" s="13"/>
    </row>
    <row r="43" spans="1:18" x14ac:dyDescent="0.25">
      <c r="A43">
        <v>4</v>
      </c>
      <c r="B43" t="s">
        <v>651</v>
      </c>
      <c r="C43" t="s">
        <v>19</v>
      </c>
      <c r="D43" s="9">
        <v>44713</v>
      </c>
      <c r="E43">
        <v>210</v>
      </c>
      <c r="F43" t="s">
        <v>652</v>
      </c>
      <c r="G43" t="s">
        <v>51</v>
      </c>
      <c r="H43" t="s">
        <v>653</v>
      </c>
      <c r="J43" t="str">
        <f t="shared" ref="J43:J47" si="4">LEFT(B43,(FIND(",",B43,1)+1)) &amp; LEFT(RIGHT(B43,LEN(B43)-(FIND(",",B43)+1)),1)</f>
        <v>Trigiani, L</v>
      </c>
      <c r="K43">
        <v>10</v>
      </c>
      <c r="L43">
        <f>VLOOKUP(J43,[1]!Table6[[PLAYER]:[XBH]],26,FALSE)</f>
        <v>30</v>
      </c>
      <c r="M43">
        <f>VLOOKUP(J43,[1]!Table6[[PLAYER]:[XBH]],45,FALSE)</f>
        <v>-2.4125768565899528</v>
      </c>
      <c r="N43">
        <f>(M43/L43) * VLOOKUP(K43,LineupPA!$A$1:$B$10,2,FALSE)</f>
        <v>0</v>
      </c>
      <c r="O43">
        <f>IF(K43&lt;7, N43, (M43/L43)*(LineupPA!$C$10 * (3/$B$31)))</f>
        <v>-0.11698454369287913</v>
      </c>
    </row>
    <row r="44" spans="1:18" x14ac:dyDescent="0.25">
      <c r="A44">
        <v>6</v>
      </c>
      <c r="B44" t="s">
        <v>654</v>
      </c>
      <c r="C44" t="s">
        <v>19</v>
      </c>
      <c r="D44" s="10">
        <v>36678</v>
      </c>
      <c r="E44">
        <v>200</v>
      </c>
      <c r="F44" t="s">
        <v>341</v>
      </c>
      <c r="G44" t="s">
        <v>26</v>
      </c>
      <c r="H44" t="s">
        <v>655</v>
      </c>
      <c r="J44" t="str">
        <f t="shared" si="4"/>
        <v>Worthington, W</v>
      </c>
      <c r="K44">
        <v>7</v>
      </c>
      <c r="L44">
        <f>VLOOKUP(J44,[1]!Table6[[PLAYER]:[XBH]],26,FALSE)</f>
        <v>132</v>
      </c>
      <c r="M44">
        <f>VLOOKUP(J44,[1]!Table6[[PLAYER]:[XBH]],45,FALSE)</f>
        <v>-4.7878605612623799</v>
      </c>
      <c r="N44">
        <f>(M44/L44) * VLOOKUP(K44,LineupPA!$A$1:$B$10,2,FALSE)</f>
        <v>-0.16101180441165611</v>
      </c>
      <c r="O44">
        <f>IF(K44&lt;7, N44, (M44/L44)*(LineupPA!$C$10 * (3/$B$31)))</f>
        <v>-5.2763809697585685E-2</v>
      </c>
    </row>
    <row r="45" spans="1:18" x14ac:dyDescent="0.25">
      <c r="A45">
        <v>39</v>
      </c>
      <c r="B45" t="s">
        <v>656</v>
      </c>
      <c r="C45" t="s">
        <v>24</v>
      </c>
      <c r="D45" s="9">
        <v>44713</v>
      </c>
      <c r="E45">
        <v>195</v>
      </c>
      <c r="F45" t="s">
        <v>551</v>
      </c>
      <c r="G45" t="s">
        <v>26</v>
      </c>
      <c r="H45" t="s">
        <v>657</v>
      </c>
      <c r="J45" t="str">
        <f t="shared" si="4"/>
        <v>Mezzenga, I</v>
      </c>
      <c r="K45">
        <v>3</v>
      </c>
      <c r="L45">
        <f>VLOOKUP(J45,[1]!Table6[[PLAYER]:[XBH]],26,FALSE)</f>
        <v>71</v>
      </c>
      <c r="M45">
        <f>VLOOKUP(J45,[1]!Table6[[PLAYER]:[XBH]],45,FALSE)</f>
        <v>5.5957760816323034</v>
      </c>
      <c r="N45">
        <f>(M45/L45) * VLOOKUP(K45,LineupPA!$A$1:$B$10,2,FALSE)</f>
        <v>0.37350238548060855</v>
      </c>
      <c r="O45">
        <f>IF(K45&lt;7, N45, (M45/L45)*(LineupPA!$C$10 * (3/$B$31)))</f>
        <v>0.37350238548060855</v>
      </c>
    </row>
    <row r="46" spans="1:18" x14ac:dyDescent="0.25">
      <c r="A46">
        <v>7</v>
      </c>
      <c r="B46" t="s">
        <v>658</v>
      </c>
      <c r="C46" t="s">
        <v>19</v>
      </c>
      <c r="D46" s="9">
        <v>44692</v>
      </c>
      <c r="E46">
        <v>185</v>
      </c>
      <c r="F46" t="s">
        <v>537</v>
      </c>
      <c r="G46" t="s">
        <v>69</v>
      </c>
      <c r="H46" t="s">
        <v>659</v>
      </c>
      <c r="J46" t="str">
        <f t="shared" si="4"/>
        <v>Nett, J</v>
      </c>
      <c r="K46">
        <v>1</v>
      </c>
      <c r="L46">
        <f>VLOOKUP(J46,[1]!Table6[[PLAYER]:[XBH]],26,FALSE)</f>
        <v>314</v>
      </c>
      <c r="M46">
        <f>VLOOKUP(J46,[1]!Table6[[PLAYER]:[XBH]],45,FALSE)</f>
        <v>32.636111631742665</v>
      </c>
      <c r="N46">
        <f>(M46/L46) * VLOOKUP(K46,LineupPA!$A$1:$B$10,2,FALSE)</f>
        <v>0.50815165866643963</v>
      </c>
      <c r="O46">
        <f>IF(K46&lt;7, N46, (M46/L46)*(LineupPA!$C$10 * (3/$B$31)))</f>
        <v>0.50815165866643963</v>
      </c>
    </row>
    <row r="47" spans="1:18" x14ac:dyDescent="0.25">
      <c r="A47">
        <v>21</v>
      </c>
      <c r="B47" t="s">
        <v>660</v>
      </c>
      <c r="C47" t="s">
        <v>19</v>
      </c>
      <c r="D47" s="10">
        <v>36678</v>
      </c>
      <c r="E47">
        <v>210</v>
      </c>
      <c r="F47" t="s">
        <v>661</v>
      </c>
      <c r="G47" t="s">
        <v>21</v>
      </c>
      <c r="H47" t="s">
        <v>662</v>
      </c>
      <c r="J47" t="str">
        <f t="shared" si="4"/>
        <v>Pennington, G</v>
      </c>
      <c r="K47">
        <v>10</v>
      </c>
      <c r="L47">
        <f>VLOOKUP(J47,[1]!Table6[[PLAYER]:[XBH]],26,FALSE)</f>
        <v>48</v>
      </c>
      <c r="M47">
        <f>VLOOKUP(J47,[1]!Table6[[PLAYER]:[XBH]],45,FALSE)</f>
        <v>-2.2658686576486131</v>
      </c>
      <c r="N47">
        <f>(M47/L47) * VLOOKUP(K47,LineupPA!$A$1:$B$10,2,FALSE)</f>
        <v>0</v>
      </c>
      <c r="O47">
        <f>IF(K47&lt;7, N47, (M47/L47)*(LineupPA!$C$10 * (3/$B$31)))</f>
        <v>-6.8669214169016141E-2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7E8A-213F-4421-9F9F-877CB9484EF0}">
  <dimension ref="B1:D10"/>
  <sheetViews>
    <sheetView showGridLines="0" workbookViewId="0">
      <selection activeCell="A10" sqref="A10"/>
    </sheetView>
  </sheetViews>
  <sheetFormatPr defaultRowHeight="15" x14ac:dyDescent="0.25"/>
  <cols>
    <col min="2" max="2" width="2.7109375" customWidth="1"/>
    <col min="3" max="3" width="36.7109375" customWidth="1"/>
    <col min="4" max="4" width="8.7109375" customWidth="1"/>
  </cols>
  <sheetData>
    <row r="1" spans="2:4" ht="15.75" thickBot="1" x14ac:dyDescent="0.3"/>
    <row r="2" spans="2:4" ht="48" customHeight="1" x14ac:dyDescent="0.3">
      <c r="B2" s="50" t="s">
        <v>686</v>
      </c>
      <c r="C2" s="51"/>
      <c r="D2" s="52"/>
    </row>
    <row r="3" spans="2:4" ht="20.100000000000001" customHeight="1" x14ac:dyDescent="0.25">
      <c r="B3" s="53">
        <v>1</v>
      </c>
      <c r="C3" s="55" t="s">
        <v>6</v>
      </c>
      <c r="D3" s="57">
        <v>80.566279323745817</v>
      </c>
    </row>
    <row r="4" spans="2:4" ht="20.100000000000001" customHeight="1" x14ac:dyDescent="0.25">
      <c r="B4" s="53">
        <v>2</v>
      </c>
      <c r="C4" s="55" t="s">
        <v>0</v>
      </c>
      <c r="D4" s="58">
        <v>63.043095045025851</v>
      </c>
    </row>
    <row r="5" spans="2:4" ht="20.100000000000001" customHeight="1" x14ac:dyDescent="0.25">
      <c r="B5" s="53">
        <v>3</v>
      </c>
      <c r="C5" s="55" t="s">
        <v>1</v>
      </c>
      <c r="D5" s="58">
        <v>62.367797973462991</v>
      </c>
    </row>
    <row r="6" spans="2:4" ht="20.100000000000001" customHeight="1" x14ac:dyDescent="0.25">
      <c r="B6" s="53">
        <v>4</v>
      </c>
      <c r="C6" s="55" t="s">
        <v>7</v>
      </c>
      <c r="D6" s="58">
        <v>55.840030770893513</v>
      </c>
    </row>
    <row r="7" spans="2:4" ht="20.100000000000001" customHeight="1" x14ac:dyDescent="0.25">
      <c r="B7" s="53">
        <v>5</v>
      </c>
      <c r="C7" s="55" t="s">
        <v>4</v>
      </c>
      <c r="D7" s="58">
        <v>54.319588821674799</v>
      </c>
    </row>
    <row r="8" spans="2:4" ht="20.100000000000001" customHeight="1" x14ac:dyDescent="0.25">
      <c r="B8" s="53">
        <v>6</v>
      </c>
      <c r="C8" s="55" t="s">
        <v>2</v>
      </c>
      <c r="D8" s="58">
        <v>53.462256136454087</v>
      </c>
    </row>
    <row r="9" spans="2:4" ht="20.100000000000001" customHeight="1" x14ac:dyDescent="0.25">
      <c r="B9" s="53">
        <v>7</v>
      </c>
      <c r="C9" s="55" t="s">
        <v>3</v>
      </c>
      <c r="D9" s="58">
        <v>53.406125471206941</v>
      </c>
    </row>
    <row r="10" spans="2:4" ht="20.100000000000001" customHeight="1" thickBot="1" x14ac:dyDescent="0.3">
      <c r="B10" s="54">
        <v>8</v>
      </c>
      <c r="C10" s="56" t="s">
        <v>5</v>
      </c>
      <c r="D10" s="59">
        <v>44.076246369964593</v>
      </c>
    </row>
  </sheetData>
  <sortState xmlns:xlrd2="http://schemas.microsoft.com/office/spreadsheetml/2017/richdata2" ref="K3:L10">
    <sortCondition descending="1" ref="L3:L10"/>
  </sortState>
  <mergeCells count="1">
    <mergeCell ref="B2:D2"/>
  </mergeCells>
  <conditionalFormatting sqref="D3:D10">
    <cfRule type="aboveAverage" dxfId="0" priority="4"/>
    <cfRule type="top10" dxfId="1" priority="3" percent="1" rank="10"/>
    <cfRule type="aboveAverage" dxfId="2" priority="2" aboveAverage="0"/>
    <cfRule type="top10" dxfId="3" priority="1" percent="1" bottom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862C-FD29-4BF8-B094-DD877CD3E591}">
  <dimension ref="A1:S21"/>
  <sheetViews>
    <sheetView workbookViewId="0">
      <selection activeCell="A2" sqref="A2:H9"/>
    </sheetView>
  </sheetViews>
  <sheetFormatPr defaultRowHeight="15" x14ac:dyDescent="0.25"/>
  <sheetData>
    <row r="1" spans="1:19" x14ac:dyDescent="0.25">
      <c r="A1" t="s">
        <v>125</v>
      </c>
      <c r="B1" t="s">
        <v>436</v>
      </c>
      <c r="C1" t="s">
        <v>437</v>
      </c>
      <c r="D1" t="s">
        <v>438</v>
      </c>
      <c r="E1" t="s">
        <v>439</v>
      </c>
      <c r="F1" t="s">
        <v>443</v>
      </c>
      <c r="G1" t="s">
        <v>444</v>
      </c>
      <c r="H1" t="s">
        <v>674</v>
      </c>
      <c r="I1" t="s">
        <v>670</v>
      </c>
      <c r="J1" t="s">
        <v>671</v>
      </c>
      <c r="K1" t="s">
        <v>672</v>
      </c>
      <c r="L1" t="s">
        <v>673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681</v>
      </c>
      <c r="S1" t="s">
        <v>682</v>
      </c>
    </row>
    <row r="2" spans="1:19" x14ac:dyDescent="0.25">
      <c r="A2" s="14" t="s">
        <v>126</v>
      </c>
      <c r="B2" s="13">
        <f>[1]Coef!$H$16 + TVC!Q$33</f>
        <v>6.9691949306871592</v>
      </c>
      <c r="C2">
        <f>[1]Coef!$H$16 + TVC!R$33</f>
        <v>7.2957640361717964</v>
      </c>
      <c r="D2">
        <f>TVC!$U$2</f>
        <v>5.9156150438864215</v>
      </c>
      <c r="E2">
        <f>TVC!$U$5</f>
        <v>6.1243480392922462</v>
      </c>
      <c r="F2">
        <f>(B2^1.81) / ((B2^1.81) +(D2^1.81))</f>
        <v>0.57362745651478353</v>
      </c>
      <c r="G2">
        <f>(C2^1.81) / ((C2^1.81) +(E2^1.81))</f>
        <v>0.57854153266009622</v>
      </c>
      <c r="H2">
        <f>((G2-0.2)/0.6) * 100</f>
        <v>63.090255443349378</v>
      </c>
      <c r="I2">
        <v>4</v>
      </c>
      <c r="J2">
        <v>0</v>
      </c>
      <c r="K2">
        <v>0</v>
      </c>
      <c r="L2">
        <f>1-L3</f>
        <v>0.51663452994559278</v>
      </c>
      <c r="M2">
        <f>($G2*(1-$G3)) / (($G2*(1-$G3))+((1-$G2)*$G3)) *1.08</f>
        <v>0.54473215841338307</v>
      </c>
      <c r="N2">
        <f>1-N3</f>
        <v>0.46473215841338311</v>
      </c>
      <c r="O2">
        <f>L2*M2</f>
        <v>0.28142744260814634</v>
      </c>
      <c r="P2">
        <f>(1-(O2+O3))*N2</f>
        <v>0.2316744662690467</v>
      </c>
      <c r="Q2">
        <f>O2+P2</f>
        <v>0.51310190887719309</v>
      </c>
      <c r="R2">
        <f>Q2 * (Q$4*D14 + Q$5*E14)</f>
        <v>0.28958323972877548</v>
      </c>
      <c r="S2">
        <f>R2 * (R$6*F14 + R$7*G14 + R$8*H14 + R$9*I14)</f>
        <v>0.12968752969139311</v>
      </c>
    </row>
    <row r="3" spans="1:19" x14ac:dyDescent="0.25">
      <c r="A3" s="14" t="s">
        <v>127</v>
      </c>
      <c r="B3" s="13">
        <f>[1]Coef!$H$16 + KZO!Q$33</f>
        <v>6.232293720296787</v>
      </c>
      <c r="C3">
        <f>[1]Coef!$H$16 + KZO!R$33</f>
        <v>7.0110975656865495</v>
      </c>
      <c r="D3">
        <f>KZO!$U$2</f>
        <v>5.9460179083895497</v>
      </c>
      <c r="E3">
        <f>KZO!$U$5</f>
        <v>5.9426553478172348</v>
      </c>
      <c r="F3">
        <f>(B3^1.81) / ((B3^1.81) +(E3^1.81))</f>
        <v>0.52152043667780434</v>
      </c>
      <c r="G3">
        <f t="shared" ref="G3:G9" si="0">(C3^1.81) / ((C3^1.81) +(E3^1.81))</f>
        <v>0.57426213071621368</v>
      </c>
      <c r="H3">
        <f t="shared" ref="H3:H9" si="1">((G3-0.2)/0.6) * 100</f>
        <v>62.377021786035613</v>
      </c>
      <c r="I3">
        <v>7</v>
      </c>
      <c r="J3">
        <v>1</v>
      </c>
      <c r="K3">
        <v>1</v>
      </c>
      <c r="L3">
        <f>((1-F2)*F3) / ((F2*(1-F3))+((1-F2)*F3)) * 1.08</f>
        <v>0.48336547005440716</v>
      </c>
      <c r="M3">
        <f>1-M2</f>
        <v>0.45526784158661693</v>
      </c>
      <c r="N3">
        <f>((1-$G2)*$G3) / (($G2*(1-$G3))+((1-$G2)*$G3)) * 1.08</f>
        <v>0.53526784158661689</v>
      </c>
      <c r="O3">
        <f>L3*M3</f>
        <v>0.22006075424917046</v>
      </c>
      <c r="P3">
        <f>(1-(O2+O3))*N3</f>
        <v>0.26683733687363648</v>
      </c>
      <c r="Q3">
        <f t="shared" ref="Q3:Q9" si="2">O3+P3</f>
        <v>0.48689809112280691</v>
      </c>
      <c r="R3">
        <f>Q3 * (Q$4*D15 + Q$5*E15)</f>
        <v>0.25231702243214782</v>
      </c>
      <c r="S3">
        <f t="shared" ref="S3:S5" si="3">R3 * (R$6*F15 + R$7*G15 + R$8*H15 + R$9*I15)</f>
        <v>0.1079686328675174</v>
      </c>
    </row>
    <row r="4" spans="1:19" x14ac:dyDescent="0.25">
      <c r="A4" s="14" t="s">
        <v>129</v>
      </c>
      <c r="B4" s="13">
        <f>[1]Coef!$H$16 + WAU!Q$33</f>
        <v>6.2213774036854481</v>
      </c>
      <c r="C4">
        <f>[1]Coef!$H$16 + WAU!R$33</f>
        <v>5.812597640307688</v>
      </c>
      <c r="D4">
        <f>WAU!$U$2</f>
        <v>5.4199024107417859</v>
      </c>
      <c r="E4">
        <f>WAU!$U$5</f>
        <v>5.5525776774803095</v>
      </c>
      <c r="F4">
        <f>(B4^1.81) / ((B4^1.81) +(E4^1.81))</f>
        <v>0.55128144538069013</v>
      </c>
      <c r="G4">
        <f t="shared" si="0"/>
        <v>0.52069696621306727</v>
      </c>
      <c r="H4">
        <f t="shared" si="1"/>
        <v>53.44949436884454</v>
      </c>
      <c r="I4">
        <v>6</v>
      </c>
      <c r="J4">
        <v>1</v>
      </c>
      <c r="K4">
        <v>0</v>
      </c>
      <c r="L4">
        <f>(F4*(1-F5)) / ((F4*(1-F5))+((1-F4)*F5)) * 1.08</f>
        <v>0.61802587460576675</v>
      </c>
      <c r="M4">
        <f>1-M5</f>
        <v>0.46001044063098262</v>
      </c>
      <c r="N4">
        <f>1-N5</f>
        <v>0.46001044063098262</v>
      </c>
      <c r="O4">
        <f t="shared" ref="O4:O9" si="4">L4*M4</f>
        <v>0.28429835489874716</v>
      </c>
      <c r="P4">
        <f t="shared" ref="P4" si="5">(1-(O4+O5))*N4</f>
        <v>0.23434753737298564</v>
      </c>
      <c r="Q4">
        <f t="shared" si="2"/>
        <v>0.51864589227173274</v>
      </c>
      <c r="R4">
        <f>Q4* (Q$2*B16 + Q$3*C16)</f>
        <v>0.22734635392693414</v>
      </c>
      <c r="S4">
        <f t="shared" si="3"/>
        <v>8.4644350285100228E-2</v>
      </c>
    </row>
    <row r="5" spans="1:19" x14ac:dyDescent="0.25">
      <c r="A5" s="14" t="s">
        <v>130</v>
      </c>
      <c r="B5" s="13">
        <f>[1]Coef!$H$16 + WIR!Q$33</f>
        <v>6.7200588907682572</v>
      </c>
      <c r="C5">
        <f>[1]Coef!$H$16 + WIR!R$33</f>
        <v>7.3735341250568727</v>
      </c>
      <c r="D5">
        <f>WIR!$U$2</f>
        <v>7.2660066258982487</v>
      </c>
      <c r="E5">
        <f>WIR!$U$5</f>
        <v>7.0438379225713517</v>
      </c>
      <c r="F5">
        <f>(B5^1.81) / ((B5^1.81) +(E5^1.81))</f>
        <v>0.47871990364947903</v>
      </c>
      <c r="G5">
        <f t="shared" si="0"/>
        <v>0.52068731551885861</v>
      </c>
      <c r="H5">
        <f t="shared" si="1"/>
        <v>53.447885919809771</v>
      </c>
      <c r="I5">
        <v>1</v>
      </c>
      <c r="J5">
        <v>0</v>
      </c>
      <c r="K5">
        <v>1</v>
      </c>
      <c r="L5">
        <f>1-L4</f>
        <v>0.38197412539423325</v>
      </c>
      <c r="M5">
        <f>((1-$G4)*$G5) / (($G4*(1-$G5))+((1-$G4)*$G5)) * 1.08</f>
        <v>0.53998955936901738</v>
      </c>
      <c r="N5">
        <f>((1-$G4)*$G5) / (($G4*(1-$G5))+((1-$G4)*$G5)) * 1.08</f>
        <v>0.53998955936901738</v>
      </c>
      <c r="O5">
        <f t="shared" si="4"/>
        <v>0.2062620396619978</v>
      </c>
      <c r="P5">
        <f t="shared" ref="P5" si="6">(1-(O4+O5))*N5</f>
        <v>0.2750920680662694</v>
      </c>
      <c r="Q5">
        <f t="shared" si="2"/>
        <v>0.4813541077282672</v>
      </c>
      <c r="R5">
        <f>Q5* (Q$2*B17 + Q$3*C17)</f>
        <v>0.23075338391214248</v>
      </c>
      <c r="S5">
        <f t="shared" si="3"/>
        <v>0.10234661008407148</v>
      </c>
    </row>
    <row r="6" spans="1:19" x14ac:dyDescent="0.25">
      <c r="A6" s="14" t="s">
        <v>131</v>
      </c>
      <c r="B6" s="13">
        <f>[1]Coef!$H$16 + EC!Q$33</f>
        <v>6.5373156211685535</v>
      </c>
      <c r="C6">
        <f>[1]Coef!$H$16 + EC!R$33</f>
        <v>6.2517487102649358</v>
      </c>
      <c r="D6">
        <f>EC!$U$2</f>
        <v>5.5246316875779007</v>
      </c>
      <c r="E6">
        <f>EC!$U$5</f>
        <v>5.8991545418720719</v>
      </c>
      <c r="F6">
        <f>(B6^1.81) / ((B6^1.81) +(E6^1.81))</f>
        <v>0.54634628345258285</v>
      </c>
      <c r="G6">
        <f t="shared" si="0"/>
        <v>0.52624446759661514</v>
      </c>
      <c r="H6">
        <f t="shared" si="1"/>
        <v>54.374077932769197</v>
      </c>
      <c r="I6">
        <v>5</v>
      </c>
      <c r="J6">
        <v>0</v>
      </c>
      <c r="K6">
        <v>0</v>
      </c>
      <c r="L6">
        <f>1-L7</f>
        <v>0.54538042752350946</v>
      </c>
      <c r="M6">
        <f>($G6*(1-$G7)) / (($G6*(1-$G7))+((1-$G6)*$G7)) * 1.08</f>
        <v>0.60653270434018514</v>
      </c>
      <c r="N6">
        <f>1-N7</f>
        <v>0.52653270434018506</v>
      </c>
      <c r="O6">
        <f t="shared" si="4"/>
        <v>0.33079106560004051</v>
      </c>
      <c r="P6">
        <f t="shared" ref="P6" si="7">(1-(O6+O7))*N6</f>
        <v>0.25817530780124154</v>
      </c>
      <c r="Q6">
        <f t="shared" si="2"/>
        <v>0.588966373401282</v>
      </c>
      <c r="R6">
        <f>Q6*(Q$8*H18 + Q$9*I18)</f>
        <v>0.19221199788799265</v>
      </c>
      <c r="S6">
        <f>R6* (R$2*B18 + R$3*C18 + R$4*D18 + R$5*E18)</f>
        <v>9.0617664405965456E-2</v>
      </c>
    </row>
    <row r="7" spans="1:19" x14ac:dyDescent="0.25">
      <c r="A7" s="14" t="s">
        <v>132</v>
      </c>
      <c r="B7" s="13">
        <f>[1]Coef!$H$16 + DUL!Q$33</f>
        <v>5.5854660190349223</v>
      </c>
      <c r="C7">
        <f>[1]Coef!$H$16 + DUL!R$33</f>
        <v>5.5558553716630659</v>
      </c>
      <c r="D7">
        <f>DUL!$U$2</f>
        <v>5.7943679280457525</v>
      </c>
      <c r="E7">
        <f>DUL!$U$5</f>
        <v>6.0112798635053206</v>
      </c>
      <c r="F7">
        <f>(B7^1.81) / ((B7^1.81) +(E7^1.81))</f>
        <v>0.46680381546263461</v>
      </c>
      <c r="G7">
        <f t="shared" si="0"/>
        <v>0.464409947508089</v>
      </c>
      <c r="H7">
        <f t="shared" si="1"/>
        <v>44.068324584681498</v>
      </c>
      <c r="I7">
        <v>8</v>
      </c>
      <c r="J7">
        <v>1</v>
      </c>
      <c r="K7">
        <v>1</v>
      </c>
      <c r="L7">
        <f>((1-F6)*F7) / ((F6*(1-F7))+((1-F6)*F7)) * 1.08</f>
        <v>0.45461957247649054</v>
      </c>
      <c r="M7">
        <f>1-M6</f>
        <v>0.39346729565981486</v>
      </c>
      <c r="N7">
        <f>((1-$G6)*$G7) / (($G6*(1-$G7))+((1-$G6)*$G7)) *1.08</f>
        <v>0.47346729565981499</v>
      </c>
      <c r="O7">
        <f t="shared" si="4"/>
        <v>0.17887793373634595</v>
      </c>
      <c r="P7">
        <f t="shared" ref="P7" si="8">(1-(O6+O7))*N7</f>
        <v>0.23215569286237206</v>
      </c>
      <c r="Q7">
        <f t="shared" si="2"/>
        <v>0.411033626598718</v>
      </c>
      <c r="R7">
        <f>Q7*(Q$8*H19 + Q$9*I19)</f>
        <v>0.10965383386068225</v>
      </c>
      <c r="S7">
        <f t="shared" ref="S7:S9" si="9">R7* (R$2*B19 + R$3*C19 + R$4*D19 + R$5*E19)</f>
        <v>4.0277448461884288E-2</v>
      </c>
    </row>
    <row r="8" spans="1:19" x14ac:dyDescent="0.25">
      <c r="A8" s="15" t="s">
        <v>133</v>
      </c>
      <c r="B8" s="13">
        <f>[1]Coef!$H$16 + WIL!Q$33</f>
        <v>7.6897737087394669</v>
      </c>
      <c r="C8">
        <f>[1]Coef!$H$16 + WIL!R$33</f>
        <v>8.3044093010630036</v>
      </c>
      <c r="D8">
        <f>WIL!$U$2</f>
        <v>5.5478722621750327</v>
      </c>
      <c r="E8">
        <f>WIL!$U$5</f>
        <v>5.423593908479388</v>
      </c>
      <c r="F8">
        <f>(B8^1.81) / ((B8^1.81) +(E8^1.81))</f>
        <v>0.6529269882687172</v>
      </c>
      <c r="G8">
        <f t="shared" si="0"/>
        <v>0.68376108223732612</v>
      </c>
      <c r="H8">
        <f t="shared" si="1"/>
        <v>80.626847039554349</v>
      </c>
      <c r="I8">
        <v>3</v>
      </c>
      <c r="J8">
        <v>1</v>
      </c>
      <c r="K8">
        <v>0</v>
      </c>
      <c r="L8">
        <f>(F8*(1-F9)) / ((F8*(1-F9))+((1-F8)*F9)) *1.08</f>
        <v>0.62478557073876684</v>
      </c>
      <c r="M8">
        <f>($G8*(1-$G9)) / (($G8*(1-$G9))+((1-$G8)*$G9)) *1.08</f>
        <v>0.70444056429294033</v>
      </c>
      <c r="N8">
        <f>($G8*(1-$G9)) / (($G8*(1-$G9))+((1-$G8)*$G9)) *1.08</f>
        <v>0.70444056429294033</v>
      </c>
      <c r="O8">
        <f t="shared" si="4"/>
        <v>0.44012430001330372</v>
      </c>
      <c r="P8">
        <f t="shared" ref="P8" si="10">(1-(O8+O9))*N8</f>
        <v>0.31627798811384583</v>
      </c>
      <c r="Q8">
        <f t="shared" si="2"/>
        <v>0.75640228812714949</v>
      </c>
      <c r="R8">
        <f>Q8*(Q$6*F20 + Q$7*G20)</f>
        <v>0.55751066291484241</v>
      </c>
      <c r="S8">
        <f t="shared" si="9"/>
        <v>0.37350365769832194</v>
      </c>
    </row>
    <row r="9" spans="1:19" x14ac:dyDescent="0.25">
      <c r="A9" s="14" t="s">
        <v>134</v>
      </c>
      <c r="B9" s="13">
        <f>[1]Coef!$H$16 + STC!Q$33</f>
        <v>6.8269376211269712</v>
      </c>
      <c r="C9">
        <f>[1]Coef!$H$16 + STC!R$33</f>
        <v>6.2040598535358225</v>
      </c>
      <c r="D9">
        <f>STC!$U$2</f>
        <v>6.2150317229377592</v>
      </c>
      <c r="E9">
        <f>STC!$U$5</f>
        <v>5.7355446029647386</v>
      </c>
      <c r="F9">
        <f>(B9^1.81) / ((B9^1.81) +(E9^1.81))</f>
        <v>0.57817601680238884</v>
      </c>
      <c r="G9">
        <f t="shared" si="0"/>
        <v>0.53547114957490327</v>
      </c>
      <c r="H9">
        <f t="shared" si="1"/>
        <v>55.911858262483882</v>
      </c>
      <c r="I9">
        <v>2</v>
      </c>
      <c r="J9">
        <v>0</v>
      </c>
      <c r="K9">
        <v>1</v>
      </c>
      <c r="L9">
        <f>1-L8</f>
        <v>0.37521442926123316</v>
      </c>
      <c r="M9">
        <f>1-M8</f>
        <v>0.29555943570705967</v>
      </c>
      <c r="N9">
        <f>1-N8</f>
        <v>0.29555943570705967</v>
      </c>
      <c r="O9">
        <f t="shared" si="4"/>
        <v>0.11089816498159653</v>
      </c>
      <c r="P9">
        <f t="shared" ref="P9" si="11">(1-(O8+O9))*N9</f>
        <v>0.13269954689125391</v>
      </c>
      <c r="Q9">
        <f t="shared" si="2"/>
        <v>0.24359771187285045</v>
      </c>
      <c r="R9">
        <f>Q9*(Q$6*F21 + Q$7*G21)</f>
        <v>0.1406235053364826</v>
      </c>
      <c r="S9">
        <f t="shared" si="9"/>
        <v>7.0954106505745962E-2</v>
      </c>
    </row>
    <row r="10" spans="1:19" x14ac:dyDescent="0.25">
      <c r="B10" s="13"/>
    </row>
    <row r="13" spans="1:19" x14ac:dyDescent="0.25">
      <c r="A13" s="16"/>
      <c r="B13" s="16" t="s">
        <v>126</v>
      </c>
      <c r="C13" s="16" t="s">
        <v>127</v>
      </c>
      <c r="D13" s="16" t="s">
        <v>129</v>
      </c>
      <c r="E13" s="16" t="s">
        <v>130</v>
      </c>
      <c r="F13" s="16" t="s">
        <v>131</v>
      </c>
      <c r="G13" s="16" t="s">
        <v>132</v>
      </c>
      <c r="H13" s="16" t="s">
        <v>133</v>
      </c>
      <c r="I13" s="16" t="s">
        <v>134</v>
      </c>
    </row>
    <row r="14" spans="1:19" x14ac:dyDescent="0.25">
      <c r="A14" s="16" t="s">
        <v>126</v>
      </c>
      <c r="B14" s="17" t="s">
        <v>680</v>
      </c>
      <c r="C14" s="1">
        <f>IF($I2&lt;VLOOKUP(C$13,$A$2:$I$9,9,FALSE),(($G2*(1-VLOOKUP(C$13,$A$2:$I$9,7,FALSE)))/(($G2*(1-VLOOKUP(C$13,$A$2:$I$9,7,FALSE)))+((1-$G2)*VLOOKUP(C$13,$A$2:$I$9,7,FALSE))))*1.08,1-B15)</f>
        <v>0.54473215841338307</v>
      </c>
      <c r="D14" s="1">
        <f t="shared" ref="D14:I14" si="12">IF($I2&lt;VLOOKUP(D13,$A$2:$I$9,9,FALSE),(($G2*(1-VLOOKUP(D13,$A$2:$I$9,7,FALSE)))/(($G2*(1-VLOOKUP(D13,$A$2:$I$9,7,FALSE)))+((1-$G2)*VLOOKUP(D13,$A$2:$I$9,7,FALSE))))*1.08,1-C15)</f>
        <v>0.60288100200868588</v>
      </c>
      <c r="E14" s="1">
        <f>IF($I2&lt;VLOOKUP(E13,$A$2:$I$9,9,FALSE),(($G2*(1-VLOOKUP(E13,$A$2:$I$9,7,FALSE)))/(($G2*(1-VLOOKUP(E13,$A$2:$I$9,7,FALSE)))+((1-$G2)*VLOOKUP(E13,$A$2:$I$9,7,FALSE))))*1.08,1-B17)</f>
        <v>0.52289130104423109</v>
      </c>
      <c r="F14" s="1">
        <f t="shared" si="12"/>
        <v>0.59695039325649202</v>
      </c>
      <c r="G14" s="1">
        <f t="shared" si="12"/>
        <v>0.66189913469042394</v>
      </c>
      <c r="H14" s="1">
        <f>IF($I2&lt;VLOOKUP(H13,$A$2:$I$9,9,FALSE),(($G2*(1-VLOOKUP(H13,$A$2:$I$9,7,FALSE)))/(($G2*(1-VLOOKUP(H13,$A$2:$I$9,7,FALSE)))+((1-$G2)*VLOOKUP(H13,$A$2:$I$9,7,FALSE))))*1.08,1-B20)</f>
        <v>0.33940049515763249</v>
      </c>
      <c r="I14" s="1">
        <f>IF($I2&lt;VLOOKUP(I13,$A$2:$I$9,9,FALSE),(($G2*(1-VLOOKUP(I13,$A$2:$I$9,7,FALSE)))/(($G2*(1-VLOOKUP(I13,$A$2:$I$9,7,FALSE)))+((1-$G2)*VLOOKUP(I13,$A$2:$I$9,7,FALSE))))*1.08,1-B21)</f>
        <v>0.50704022215009625</v>
      </c>
    </row>
    <row r="15" spans="1:19" x14ac:dyDescent="0.25">
      <c r="A15" s="16" t="s">
        <v>127</v>
      </c>
      <c r="B15" s="1">
        <f>IF($I3&lt;VLOOKUP(B$13,$A$2:$I$9,9,FALSE),(($G3*(1-VLOOKUP(B$13,$A$2:$I$9,7,FALSE)))/(($G3*(1-VLOOKUP(B$13,$A$2:$I$9,7,FALSE)))+((1-$G3)*VLOOKUP(B$13,$A$2:$I$9,7,FALSE))))*1.08,1-C14)</f>
        <v>0.45526784158661693</v>
      </c>
      <c r="C15" s="17" t="s">
        <v>680</v>
      </c>
      <c r="D15" s="1">
        <f>IF($I3&lt;VLOOKUP(D$13,$A$2:$I$9,9,FALSE),(($G3*(1-VLOOKUP(D$13,$A$2:$I$9,7,FALSE)))/(($G3*(1-VLOOKUP(D$13,$A$2:$I$9,7,FALSE)))+((1-$G3)*VLOOKUP(D$13,$A$2:$I$9,7,FALSE))))*1.08,1-C16)</f>
        <v>0.51820824212465522</v>
      </c>
      <c r="E15" s="1">
        <f>IF($I3&lt;VLOOKUP(E$13,$A$2:$I$9,9,FALSE),(($G3*(1-VLOOKUP(E$13,$A$2:$I$9,7,FALSE)))/(($G3*(1-VLOOKUP(E$13,$A$2:$I$9,7,FALSE)))+((1-$G3)*VLOOKUP(E$13,$A$2:$I$9,7,FALSE))))*1.08,1-C17)</f>
        <v>0.5182185614208934</v>
      </c>
      <c r="F15" s="1">
        <f>IF($I3&lt;VLOOKUP(F$13,$A$2:$I$9,9,FALSE),(($G3*(1-VLOOKUP(F$13,$A$2:$I$9,7,FALSE)))/(($G3*(1-VLOOKUP(F$13,$A$2:$I$9,7,FALSE)))+((1-$G3)*VLOOKUP(F$13,$A$2:$I$9,7,FALSE))))*1.08,1-C18)</f>
        <v>0.51226653985932713</v>
      </c>
      <c r="G15" s="1">
        <f>IF($I3&lt;VLOOKUP(G$13,$A$2:$I$9,9,FALSE),(($G3*(1-VLOOKUP(G$13,$A$2:$I$9,7,FALSE)))/(($G3*(1-VLOOKUP(G$13,$A$2:$I$9,7,FALSE)))+((1-$G3)*VLOOKUP(G$13,$A$2:$I$9,7,FALSE))))*1.08,1-C19)</f>
        <v>0.65739921657312916</v>
      </c>
      <c r="H15" s="1">
        <f>IF($I3&lt;VLOOKUP(H$13,$A$2:$I$9,9,FALSE),(($G3*(1-VLOOKUP(H$13,$A$2:$I$9,7,FALSE)))/(($G3*(1-VLOOKUP(H$13,$A$2:$I$9,7,FALSE)))+((1-$G3)*VLOOKUP(H$13,$A$2:$I$9,7,FALSE))))*1.08,1-C20)</f>
        <v>0.33491314662783966</v>
      </c>
      <c r="I15" s="1">
        <f>IF($I3&lt;VLOOKUP(I$13,$A$2:$I$9,9,FALSE),(($G3*(1-VLOOKUP(I$13,$A$2:$I$9,7,FALSE)))/(($G3*(1-VLOOKUP(I$13,$A$2:$I$9,7,FALSE)))+((1-$G3)*VLOOKUP(I$13,$A$2:$I$9,7,FALSE))))*1.08,1-C21)</f>
        <v>0.50234038556565852</v>
      </c>
    </row>
    <row r="16" spans="1:19" x14ac:dyDescent="0.25">
      <c r="A16" s="16" t="s">
        <v>129</v>
      </c>
      <c r="B16" s="1">
        <f>IF($I4&lt;VLOOKUP(B$13,$A$2:$I$9,9,FALSE),(($G4*(1-VLOOKUP(B$13,$A$2:$I$9,7,FALSE)))/(($G4*(1-VLOOKUP(B$13,$A$2:$I$9,7,FALSE)))+((1-$G4)*VLOOKUP(B$13,$A$2:$I$9,7,FALSE))))*1.08,1-D14)</f>
        <v>0.39711899799131412</v>
      </c>
      <c r="C16" s="1">
        <f>IF($I4&lt;VLOOKUP(C$13,$A$2:$I$9,9,FALSE),(($G4*(1-VLOOKUP(C$13,$A$2:$I$9,7,FALSE)))/(($G4*(1-VLOOKUP(C$13,$A$2:$I$9,7,FALSE)))+((1-$G4)*VLOOKUP(C$13,$A$2:$I$9,7,FALSE))))*1.08,1-D15)</f>
        <v>0.48179175787534478</v>
      </c>
      <c r="D16" s="17" t="s">
        <v>680</v>
      </c>
      <c r="E16" s="1">
        <f>IF($I4&lt;VLOOKUP(E$13,$A$2:$I$9,9,FALSE),(($G4*(1-VLOOKUP(E$13,$A$2:$I$9,7,FALSE)))/(($G4*(1-VLOOKUP(E$13,$A$2:$I$9,7,FALSE)))+((1-$G4)*VLOOKUP(E$13,$A$2:$I$9,7,FALSE))))*1.08,1-D17)</f>
        <v>0.46001044063098262</v>
      </c>
      <c r="F16" s="1">
        <f>IF($I4&lt;VLOOKUP(F$13,$A$2:$I$9,9,FALSE),(($G4*(1-VLOOKUP(F$13,$A$2:$I$9,7,FALSE)))/(($G4*(1-VLOOKUP(F$13,$A$2:$I$9,7,FALSE)))+((1-$G4)*VLOOKUP(F$13,$A$2:$I$9,7,FALSE))))*1.08,1-D18)</f>
        <v>0.45399565271971143</v>
      </c>
      <c r="G16" s="1">
        <f>IF($I4&lt;VLOOKUP(G$13,$A$2:$I$9,9,FALSE),(($G4*(1-VLOOKUP(G$13,$A$2:$I$9,7,FALSE)))/(($G4*(1-VLOOKUP(G$13,$A$2:$I$9,7,FALSE)))+((1-$G4)*VLOOKUP(G$13,$A$2:$I$9,7,FALSE))))*1.08,1-D19)</f>
        <v>0.60061139330982927</v>
      </c>
      <c r="H16" s="1">
        <f>IF($I4&lt;VLOOKUP(H$13,$A$2:$I$9,9,FALSE),(($G4*(1-VLOOKUP(H$13,$A$2:$I$9,7,FALSE)))/(($G4*(1-VLOOKUP(H$13,$A$2:$I$9,7,FALSE)))+((1-$G4)*VLOOKUP(H$13,$A$2:$I$9,7,FALSE))))*1.08,1-D20)</f>
        <v>0.28117018313394526</v>
      </c>
      <c r="I16" s="1">
        <f>IF($I4&lt;VLOOKUP(I$13,$A$2:$I$9,9,FALSE),(($G4*(1-VLOOKUP(I$13,$A$2:$I$9,7,FALSE)))/(($G4*(1-VLOOKUP(I$13,$A$2:$I$9,7,FALSE)))+((1-$G4)*VLOOKUP(I$13,$A$2:$I$9,7,FALSE))))*1.08,1-D21)</f>
        <v>0.44399688753742494</v>
      </c>
    </row>
    <row r="17" spans="1:9" x14ac:dyDescent="0.25">
      <c r="A17" s="16" t="s">
        <v>130</v>
      </c>
      <c r="B17" s="1">
        <f>IF($I5&lt;VLOOKUP(B$13,$A$2:$I$9,9,FALSE),(($G5*(1-VLOOKUP(B$13,$A$2:$I$9,7,FALSE)))/(($G5*(1-VLOOKUP(B$13,$A$2:$I$9,7,FALSE)))+((1-$G5)*VLOOKUP(B$13,$A$2:$I$9,7,FALSE))))*1.08,1-D15)</f>
        <v>0.47710869895576891</v>
      </c>
      <c r="C17" s="1">
        <f>IF($I5&lt;VLOOKUP(C$13,$A$2:$I$9,9,FALSE),(($G5*(1-VLOOKUP(C$13,$A$2:$I$9,7,FALSE)))/(($G5*(1-VLOOKUP(C$13,$A$2:$I$9,7,FALSE)))+((1-$G5)*VLOOKUP(C$13,$A$2:$I$9,7,FALSE))))*1.08,1-E15)</f>
        <v>0.48178143857910666</v>
      </c>
      <c r="D17" s="1">
        <f>IF($I5&lt;VLOOKUP(D$13,$A$2:$I$9,9,FALSE),(($G5*(1-VLOOKUP(D$13,$A$2:$I$9,7,FALSE)))/(($G5*(1-VLOOKUP(D$13,$A$2:$I$9,7,FALSE)))+((1-$G5)*VLOOKUP(D$13,$A$2:$I$9,7,FALSE))))*1.08,1-E16)</f>
        <v>0.53998955936901738</v>
      </c>
      <c r="E17" s="17" t="s">
        <v>680</v>
      </c>
      <c r="F17" s="1">
        <f>IF($I5&lt;VLOOKUP(F$13,$A$2:$I$9,9,FALSE),(($G5*(1-VLOOKUP(F$13,$A$2:$I$9,7,FALSE)))/(($G5*(1-VLOOKUP(F$13,$A$2:$I$9,7,FALSE)))+((1-$G5)*VLOOKUP(F$13,$A$2:$I$9,7,FALSE))))*1.08,1-E18)</f>
        <v>0.53398521338180849</v>
      </c>
      <c r="G17" s="1">
        <f>IF($I5&lt;VLOOKUP(G$13,$A$2:$I$9,9,FALSE),(($G5*(1-VLOOKUP(G$13,$A$2:$I$9,7,FALSE)))/(($G5*(1-VLOOKUP(G$13,$A$2:$I$9,7,FALSE)))+((1-$G5)*VLOOKUP(G$13,$A$2:$I$9,7,FALSE))))*1.08,1-E19)</f>
        <v>0.6006010841934224</v>
      </c>
      <c r="H17" s="1">
        <f>IF($I5&lt;VLOOKUP(H$13,$A$2:$I$9,9,FALSE),(($G5*(1-VLOOKUP(H$13,$A$2:$I$9,7,FALSE)))/(($G5*(1-VLOOKUP(H$13,$A$2:$I$9,7,FALSE)))+((1-$G5)*VLOOKUP(H$13,$A$2:$I$9,7,FALSE))))*1.08,1-E20)</f>
        <v>0.36116088759834691</v>
      </c>
      <c r="I17" s="1">
        <f>IF($I5&lt;VLOOKUP(I$13,$A$2:$I$9,9,FALSE),(($G5*(1-VLOOKUP(I$13,$A$2:$I$9,7,FALSE)))/(($G5*(1-VLOOKUP(I$13,$A$2:$I$9,7,FALSE)))+((1-$G5)*VLOOKUP(I$13,$A$2:$I$9,7,FALSE))))*1.08,1-E21)</f>
        <v>0.52398645608197192</v>
      </c>
    </row>
    <row r="18" spans="1:9" x14ac:dyDescent="0.25">
      <c r="A18" s="16" t="s">
        <v>131</v>
      </c>
      <c r="B18" s="1">
        <f>IF($I6&lt;VLOOKUP(B$13,$A$2:$I$9,9,FALSE),(($G6*(1-VLOOKUP(B$13,$A$2:$I$9,7,FALSE)))/(($G6*(1-VLOOKUP(B$13,$A$2:$I$9,7,FALSE)))+((1-$G6)*VLOOKUP(B$13,$A$2:$I$9,7,FALSE))))*1.08,1-F14)</f>
        <v>0.40304960674350798</v>
      </c>
      <c r="C18" s="1">
        <f>IF($I6&lt;VLOOKUP(C$13,$A$2:$I$9,9,FALSE),(($G6*(1-VLOOKUP(C$13,$A$2:$I$9,7,FALSE)))/(($G6*(1-VLOOKUP(C$13,$A$2:$I$9,7,FALSE)))+((1-$G6)*VLOOKUP(C$13,$A$2:$I$9,7,FALSE))))*1.08,1-F15)</f>
        <v>0.48773346014067293</v>
      </c>
      <c r="D18" s="1">
        <f>IF($I6&lt;VLOOKUP(D$13,$A$2:$I$9,9,FALSE),(($G6*(1-VLOOKUP(D$13,$A$2:$I$9,7,FALSE)))/(($G6*(1-VLOOKUP(D$13,$A$2:$I$9,7,FALSE)))+((1-$G6)*VLOOKUP(D$13,$A$2:$I$9,7,FALSE))))*1.08,1-F16)</f>
        <v>0.54600434728028857</v>
      </c>
      <c r="E18" s="1">
        <f>IF($I6&lt;VLOOKUP(E$13,$A$2:$I$9,9,FALSE),(($G6*(1-VLOOKUP(E$13,$A$2:$I$9,7,FALSE)))/(($G6*(1-VLOOKUP(E$13,$A$2:$I$9,7,FALSE)))+((1-$G6)*VLOOKUP(E$13,$A$2:$I$9,7,FALSE))))*1.08,1-F17)</f>
        <v>0.46601478661819151</v>
      </c>
      <c r="F18" s="17" t="s">
        <v>680</v>
      </c>
      <c r="G18" s="1">
        <f>IF($I6&lt;VLOOKUP(G$13,$A$2:$I$9,9,FALSE),(($G6*(1-VLOOKUP(G$13,$A$2:$I$9,7,FALSE)))/(($G6*(1-VLOOKUP(G$13,$A$2:$I$9,7,FALSE)))+((1-$G6)*VLOOKUP(G$13,$A$2:$I$9,7,FALSE))))*1.08,1-F19)</f>
        <v>0.60653270434018514</v>
      </c>
      <c r="H18" s="1">
        <f>IF($I6&lt;VLOOKUP(H$13,$A$2:$I$9,9,FALSE),(($G6*(1-VLOOKUP(H$13,$A$2:$I$9,7,FALSE)))/(($G6*(1-VLOOKUP(H$13,$A$2:$I$9,7,FALSE)))+((1-$G6)*VLOOKUP(H$13,$A$2:$I$9,7,FALSE))))*1.08,1-F20)</f>
        <v>0.2865357845348232</v>
      </c>
      <c r="I18" s="1">
        <f>IF($I6&lt;VLOOKUP(I$13,$A$2:$I$9,9,FALSE),(($G6*(1-VLOOKUP(I$13,$A$2:$I$9,7,FALSE)))/(($G6*(1-VLOOKUP(I$13,$A$2:$I$9,7,FALSE)))+((1-$G6)*VLOOKUP(I$13,$A$2:$I$9,7,FALSE))))*1.08,1-F21)</f>
        <v>0.44999793893125106</v>
      </c>
    </row>
    <row r="19" spans="1:9" x14ac:dyDescent="0.25">
      <c r="A19" s="16" t="s">
        <v>132</v>
      </c>
      <c r="B19" s="1">
        <f>IF($I7&lt;VLOOKUP(B$13,$A$2:$I$9,9,FALSE),(($G7*(1-VLOOKUP(B$13,$A$2:$I$9,7,FALSE)))/(($G7*(1-VLOOKUP(B$13,$A$2:$I$9,7,FALSE)))+((1-$G7)*VLOOKUP(B$13,$A$2:$I$9,7,FALSE))))*1.08,1-G14)</f>
        <v>0.33810086530957606</v>
      </c>
      <c r="C19" s="1">
        <f>IF($I7&lt;VLOOKUP(C$13,$A$2:$I$9,9,FALSE),(($G7*(1-VLOOKUP(C$13,$A$2:$I$9,7,FALSE)))/(($G7*(1-VLOOKUP(C$13,$A$2:$I$9,7,FALSE)))+((1-$G7)*VLOOKUP(C$13,$A$2:$I$9,7,FALSE))))*1.08,1-G15)</f>
        <v>0.34260078342687084</v>
      </c>
      <c r="D19" s="1">
        <f>IF($I7&lt;VLOOKUP(D$13,$A$2:$I$9,9,FALSE),(($G7*(1-VLOOKUP(D$13,$A$2:$I$9,7,FALSE)))/(($G7*(1-VLOOKUP(D$13,$A$2:$I$9,7,FALSE)))+((1-$G7)*VLOOKUP(D$13,$A$2:$I$9,7,FALSE))))*1.08,1-G16)</f>
        <v>0.39938860669017073</v>
      </c>
      <c r="E19" s="1">
        <f>IF($I7&lt;VLOOKUP(E$13,$A$2:$I$9,9,FALSE),(($G7*(1-VLOOKUP(E$13,$A$2:$I$9,7,FALSE)))/(($G7*(1-VLOOKUP(E$13,$A$2:$I$9,7,FALSE)))+((1-$G7)*VLOOKUP(E$13,$A$2:$I$9,7,FALSE))))*1.08,1-G17)</f>
        <v>0.3993989158065776</v>
      </c>
      <c r="F19" s="1">
        <f>IF($I7&lt;VLOOKUP(F$13,$A$2:$I$9,9,FALSE),(($G7*(1-VLOOKUP(F$13,$A$2:$I$9,7,FALSE)))/(($G7*(1-VLOOKUP(F$13,$A$2:$I$9,7,FALSE)))+((1-$G7)*VLOOKUP(F$13,$A$2:$I$9,7,FALSE))))*1.08,1-G18)</f>
        <v>0.39346729565981486</v>
      </c>
      <c r="G19" s="17" t="s">
        <v>680</v>
      </c>
      <c r="H19" s="1">
        <f>IF($I7&lt;VLOOKUP(H$13,$A$2:$I$9,9,FALSE),(($G7*(1-VLOOKUP(H$13,$A$2:$I$9,7,FALSE)))/(($G7*(1-VLOOKUP(H$13,$A$2:$I$9,7,FALSE)))+((1-$G7)*VLOOKUP(H$13,$A$2:$I$9,7,FALSE))))*1.08,1-G20)</f>
        <v>0.22914013015430168</v>
      </c>
      <c r="I19" s="1">
        <f>IF($I7&lt;VLOOKUP(I$13,$A$2:$I$9,9,FALSE),(($G7*(1-VLOOKUP(I$13,$A$2:$I$9,7,FALSE)))/(($G7*(1-VLOOKUP(I$13,$A$2:$I$9,7,FALSE)))+((1-$G7)*VLOOKUP(I$13,$A$2:$I$9,7,FALSE))))*1.08,1-G21)</f>
        <v>0.38363949789113527</v>
      </c>
    </row>
    <row r="20" spans="1:9" x14ac:dyDescent="0.25">
      <c r="A20" s="16" t="s">
        <v>133</v>
      </c>
      <c r="B20" s="1">
        <f>IF($I8&lt;VLOOKUP(B$13,$A$2:$I$9,9,FALSE),(($G8*(1-VLOOKUP(B$13,$A$2:$I$9,7,FALSE)))/(($G8*(1-VLOOKUP(B$13,$A$2:$I$9,7,FALSE)))+((1-$G8)*VLOOKUP(B$13,$A$2:$I$9,7,FALSE))))*1.08,1-H14)</f>
        <v>0.66059950484236751</v>
      </c>
      <c r="C20" s="1">
        <f>IF($I8&lt;VLOOKUP(C$13,$A$2:$I$9,9,FALSE),(($G8*(1-VLOOKUP(C$13,$A$2:$I$9,7,FALSE)))/(($G8*(1-VLOOKUP(C$13,$A$2:$I$9,7,FALSE)))+((1-$G8)*VLOOKUP(C$13,$A$2:$I$9,7,FALSE))))*1.08,1-H15)</f>
        <v>0.66508685337216034</v>
      </c>
      <c r="D20" s="1">
        <f>IF($I8&lt;VLOOKUP(D$13,$A$2:$I$9,9,FALSE),(($G8*(1-VLOOKUP(D$13,$A$2:$I$9,7,FALSE)))/(($G8*(1-VLOOKUP(D$13,$A$2:$I$9,7,FALSE)))+((1-$G8)*VLOOKUP(D$13,$A$2:$I$9,7,FALSE))))*1.08,1-H16)</f>
        <v>0.71882981686605474</v>
      </c>
      <c r="E20" s="1">
        <f>IF($I8&lt;VLOOKUP(E$13,$A$2:$I$9,9,FALSE),(($G8*(1-VLOOKUP(E$13,$A$2:$I$9,7,FALSE)))/(($G8*(1-VLOOKUP(E$13,$A$2:$I$9,7,FALSE)))+((1-$G8)*VLOOKUP(E$13,$A$2:$I$9,7,FALSE))))*1.08,1-H17)</f>
        <v>0.63883911240165303</v>
      </c>
      <c r="F20" s="1">
        <f>IF($I8&lt;VLOOKUP(F$13,$A$2:$I$9,9,FALSE),(($G8*(1-VLOOKUP(F$13,$A$2:$I$9,7,FALSE)))/(($G8*(1-VLOOKUP(F$13,$A$2:$I$9,7,FALSE)))+((1-$G8)*VLOOKUP(F$13,$A$2:$I$9,7,FALSE))))*1.08,1-H18)</f>
        <v>0.7134642154651768</v>
      </c>
      <c r="G20" s="1">
        <f>IF($I8&lt;VLOOKUP(G$13,$A$2:$I$9,9,FALSE),(($G8*(1-VLOOKUP(G$13,$A$2:$I$9,7,FALSE)))/(($G8*(1-VLOOKUP(G$13,$A$2:$I$9,7,FALSE)))+((1-$G8)*VLOOKUP(G$13,$A$2:$I$9,7,FALSE))))*1.08,1-H19)</f>
        <v>0.77085986984569832</v>
      </c>
      <c r="H20" s="17" t="s">
        <v>680</v>
      </c>
      <c r="I20" s="1">
        <f>IF($I8&lt;VLOOKUP(I$13,$A$2:$I$9,9,FALSE),(($G8*(1-VLOOKUP(I$13,$A$2:$I$9,7,FALSE)))/(($G8*(1-VLOOKUP(I$13,$A$2:$I$9,7,FALSE)))+((1-$G8)*VLOOKUP(I$13,$A$2:$I$9,7,FALSE))))*1.08,1-H21)</f>
        <v>0.62444056429294026</v>
      </c>
    </row>
    <row r="21" spans="1:9" x14ac:dyDescent="0.25">
      <c r="A21" s="16" t="s">
        <v>134</v>
      </c>
      <c r="B21" s="1">
        <f>IF($I9&lt;VLOOKUP(B$13,$A$2:$I$9,9,FALSE),(($G9*(1-VLOOKUP(B$13,$A$2:$I$9,7,FALSE)))/(($G9*(1-VLOOKUP(B$13,$A$2:$I$9,7,FALSE)))+((1-$G9)*VLOOKUP(B$13,$A$2:$I$9,7,FALSE))))*1.08,1-H15)</f>
        <v>0.49295977784990369</v>
      </c>
      <c r="C21" s="1">
        <f t="shared" ref="C21:H21" si="13">IF($I9&lt;VLOOKUP(C$13,$A$2:$I$9,9,FALSE),(($G9*(1-VLOOKUP(C$13,$A$2:$I$9,7,FALSE)))/(($G9*(1-VLOOKUP(C$13,$A$2:$I$9,7,FALSE)))+((1-$G9)*VLOOKUP(C$13,$A$2:$I$9,7,FALSE))))*1.08,1-I15)</f>
        <v>0.49765961443434142</v>
      </c>
      <c r="D21" s="1">
        <f t="shared" si="13"/>
        <v>0.55600311246257506</v>
      </c>
      <c r="E21" s="1">
        <f>IF($I9&lt;VLOOKUP(E$13,$A$2:$I$9,9,FALSE),(($G9*(1-VLOOKUP(E$13,$A$2:$I$9,7,FALSE)))/(($G9*(1-VLOOKUP(E$13,$A$2:$I$9,7,FALSE)))+((1-$G9)*VLOOKUP(E$13,$A$2:$I$9,7,FALSE))))*1.08,1-I17)</f>
        <v>0.47601354391802808</v>
      </c>
      <c r="F21" s="1">
        <f t="shared" si="13"/>
        <v>0.55000206106874894</v>
      </c>
      <c r="G21" s="1">
        <f t="shared" si="13"/>
        <v>0.61636050210886473</v>
      </c>
      <c r="H21" s="1">
        <f t="shared" si="13"/>
        <v>0.3755594357070598</v>
      </c>
      <c r="I21" s="17" t="s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4BC1-64AB-434F-B20E-EFBD9E53AA4B}">
  <dimension ref="A1:F10"/>
  <sheetViews>
    <sheetView workbookViewId="0">
      <selection activeCell="C10" sqref="C10"/>
    </sheetView>
  </sheetViews>
  <sheetFormatPr defaultRowHeight="15" x14ac:dyDescent="0.25"/>
  <sheetData>
    <row r="1" spans="1:6" x14ac:dyDescent="0.25">
      <c r="A1">
        <v>1</v>
      </c>
      <c r="B1">
        <f>$D$2+4*F2</f>
        <v>4.8890512025970194</v>
      </c>
      <c r="C1">
        <v>4.8890512025970194</v>
      </c>
      <c r="D1" t="s">
        <v>665</v>
      </c>
      <c r="F1" t="s">
        <v>667</v>
      </c>
    </row>
    <row r="2" spans="1:6" x14ac:dyDescent="0.25">
      <c r="A2">
        <v>2</v>
      </c>
      <c r="B2">
        <f>$D$2 +3*F2</f>
        <v>4.8140512025970192</v>
      </c>
      <c r="C2">
        <v>4.8140512025970192</v>
      </c>
      <c r="D2">
        <f>[1]Coef!$K$15</f>
        <v>4.5890512025970196</v>
      </c>
      <c r="F2">
        <v>7.4999999999999997E-2</v>
      </c>
    </row>
    <row r="3" spans="1:6" x14ac:dyDescent="0.25">
      <c r="A3">
        <v>3</v>
      </c>
      <c r="B3">
        <f>$D$2 + 2*F2</f>
        <v>4.73905120259702</v>
      </c>
      <c r="C3">
        <v>4.73905120259702</v>
      </c>
    </row>
    <row r="4" spans="1:6" x14ac:dyDescent="0.25">
      <c r="A4">
        <v>4</v>
      </c>
      <c r="B4">
        <f>$D$2 +F2</f>
        <v>4.6640512025970198</v>
      </c>
      <c r="C4">
        <v>4.6640512025970198</v>
      </c>
      <c r="D4" t="s">
        <v>666</v>
      </c>
    </row>
    <row r="5" spans="1:6" x14ac:dyDescent="0.25">
      <c r="A5">
        <v>5</v>
      </c>
      <c r="B5">
        <f>$D$2</f>
        <v>4.5890512025970196</v>
      </c>
      <c r="C5">
        <v>4.5890512025970196</v>
      </c>
      <c r="D5">
        <f>AVERAGE(B1:B9)</f>
        <v>4.5890512025970196</v>
      </c>
    </row>
    <row r="6" spans="1:6" x14ac:dyDescent="0.25">
      <c r="A6">
        <v>6</v>
      </c>
      <c r="B6">
        <f>$D$2 - F2</f>
        <v>4.5140512025970194</v>
      </c>
      <c r="C6">
        <v>4.5140512025970194</v>
      </c>
    </row>
    <row r="7" spans="1:6" x14ac:dyDescent="0.25">
      <c r="A7">
        <v>7</v>
      </c>
      <c r="B7">
        <f>$D$2-2*F2</f>
        <v>4.4390512025970192</v>
      </c>
      <c r="C7">
        <v>4.36405120259702</v>
      </c>
    </row>
    <row r="8" spans="1:6" x14ac:dyDescent="0.25">
      <c r="A8">
        <v>8</v>
      </c>
      <c r="B8">
        <f>$D$2-3*F2</f>
        <v>4.36405120259702</v>
      </c>
      <c r="C8">
        <v>4.36405120259702</v>
      </c>
    </row>
    <row r="9" spans="1:6" x14ac:dyDescent="0.25">
      <c r="A9">
        <v>9</v>
      </c>
      <c r="B9">
        <f>$D$2-4*F2</f>
        <v>4.2890512025970198</v>
      </c>
      <c r="C9">
        <v>4.36405120259702</v>
      </c>
    </row>
    <row r="10" spans="1:6" x14ac:dyDescent="0.25">
      <c r="A10">
        <v>10</v>
      </c>
      <c r="B10">
        <v>0</v>
      </c>
      <c r="C10">
        <v>4.36405120259702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A890-2882-49FC-BAE3-3BC67ABA9766}">
  <dimension ref="A1:U44"/>
  <sheetViews>
    <sheetView topLeftCell="C1" workbookViewId="0">
      <selection activeCell="U5" sqref="U5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36</v>
      </c>
      <c r="B2" t="s">
        <v>64</v>
      </c>
      <c r="C2" t="s">
        <v>54</v>
      </c>
      <c r="D2" s="9">
        <v>44716</v>
      </c>
      <c r="E2">
        <v>230</v>
      </c>
      <c r="F2" t="s">
        <v>65</v>
      </c>
      <c r="G2" t="s">
        <v>26</v>
      </c>
      <c r="H2" t="s">
        <v>66</v>
      </c>
      <c r="J2" t="str">
        <f>LEFT(B2,(FIND(",",B2,1)+1)) &amp; LEFT(RIGHT(B2,LEN(B2)-(FIND(",",B2)+1)),1)</f>
        <v>Abbey, Z</v>
      </c>
      <c r="L2">
        <f>VLOOKUP($J2,[1]!Table7[[PLAYER]:[WAR]],4, FALSE)</f>
        <v>3</v>
      </c>
      <c r="M2">
        <f>VLOOKUP($J2,[1]!Table7[[PLAYER]:[WAR]],5, FALSE)</f>
        <v>1</v>
      </c>
      <c r="N2">
        <f>VLOOKUP($J2,[1]!Table7[[PLAYER]:[WAR]],34, FALSE)</f>
        <v>9</v>
      </c>
      <c r="O2">
        <f>VLOOKUP($J2,[1]!Table7[[PLAYER]:[WAR]],48, FALSE)</f>
        <v>7.17515280152735</v>
      </c>
      <c r="P2">
        <f>O2 * (N2/9)</f>
        <v>7.17515280152735</v>
      </c>
      <c r="R2">
        <v>1</v>
      </c>
      <c r="S2">
        <f>SUMIF($Q$2:$Q$25,R2,$O$2:$O$25)</f>
        <v>5.2442191788415826</v>
      </c>
      <c r="T2" s="11">
        <f>(SUM(P2,P4,P6:P7,P9:P19) / SUM(N2,N4,N6:N7,N9:N19)) * 9</f>
        <v>6.9706656889568812</v>
      </c>
      <c r="U2" s="11">
        <f>(5.5/9)*$S$2 + (3.5/9)*$T$2</f>
        <v>5.9156150438864215</v>
      </c>
    </row>
    <row r="3" spans="1:21" x14ac:dyDescent="0.25">
      <c r="A3" s="11">
        <v>15</v>
      </c>
      <c r="B3" s="11" t="s">
        <v>67</v>
      </c>
      <c r="C3" s="11" t="s">
        <v>19</v>
      </c>
      <c r="D3" s="12">
        <v>36678</v>
      </c>
      <c r="E3" s="11">
        <v>200</v>
      </c>
      <c r="F3" s="11" t="s">
        <v>68</v>
      </c>
      <c r="G3" s="11" t="s">
        <v>69</v>
      </c>
      <c r="H3" s="11" t="s">
        <v>70</v>
      </c>
      <c r="I3" s="11"/>
      <c r="J3" s="11" t="str">
        <f t="shared" ref="J3:J19" si="0">LEFT(B3,(FIND(",",B3,1)+1)) &amp; LEFT(RIGHT(B3,LEN(B3)-(FIND(",",B3)+1)),1)</f>
        <v>Blain, N</v>
      </c>
      <c r="K3" s="11"/>
      <c r="L3" s="11">
        <f>VLOOKUP($J3,[1]!Table7[[PLAYER]:[WAR]],4, FALSE)</f>
        <v>9</v>
      </c>
      <c r="M3" s="11">
        <f>VLOOKUP($J3,[1]!Table7[[PLAYER]:[WAR]],5, FALSE)</f>
        <v>6</v>
      </c>
      <c r="N3" s="11">
        <f>VLOOKUP($J3,[1]!Table7[[PLAYER]:[WAR]],34, FALSE)</f>
        <v>30.333333333333339</v>
      </c>
      <c r="O3" s="11">
        <f>VLOOKUP($J3,[1]!Table7[[PLAYER]:[WAR]],48, FALSE)</f>
        <v>5.6650483647300378</v>
      </c>
      <c r="P3" s="11">
        <f t="shared" ref="P3:P19" si="1">O3 * (N3/9)</f>
        <v>19.093311155201242</v>
      </c>
      <c r="Q3">
        <v>2</v>
      </c>
      <c r="R3">
        <v>2</v>
      </c>
      <c r="S3">
        <f t="shared" ref="S3:S4" si="2">SUMIF($Q$2:$Q$25,R3,$O$2:$O$25)</f>
        <v>5.6650483647300378</v>
      </c>
    </row>
    <row r="4" spans="1:21" x14ac:dyDescent="0.25">
      <c r="A4">
        <v>33</v>
      </c>
      <c r="B4" t="s">
        <v>71</v>
      </c>
      <c r="C4" t="s">
        <v>19</v>
      </c>
      <c r="D4" s="9">
        <v>44714</v>
      </c>
      <c r="E4">
        <v>190</v>
      </c>
      <c r="F4" t="s">
        <v>72</v>
      </c>
      <c r="G4" t="s">
        <v>26</v>
      </c>
      <c r="H4" t="s">
        <v>73</v>
      </c>
      <c r="J4" t="str">
        <f t="shared" si="0"/>
        <v>Buxton, J</v>
      </c>
      <c r="L4">
        <f>VLOOKUP($J4,[1]!Table7[[PLAYER]:[WAR]],4, FALSE)</f>
        <v>11</v>
      </c>
      <c r="M4">
        <f>VLOOKUP($J4,[1]!Table7[[PLAYER]:[WAR]],5, FALSE)</f>
        <v>0</v>
      </c>
      <c r="N4">
        <f>VLOOKUP($J4,[1]!Table7[[PLAYER]:[WAR]],34, FALSE)</f>
        <v>9.6666666666666643</v>
      </c>
      <c r="O4">
        <f>VLOOKUP($J4,[1]!Table7[[PLAYER]:[WAR]],48, FALSE)</f>
        <v>9.7984647635830822</v>
      </c>
      <c r="P4">
        <f t="shared" si="1"/>
        <v>10.524276968292936</v>
      </c>
      <c r="R4">
        <v>3</v>
      </c>
      <c r="S4">
        <f t="shared" si="2"/>
        <v>5.8480792431271773</v>
      </c>
      <c r="U4" t="s">
        <v>446</v>
      </c>
    </row>
    <row r="5" spans="1:21" x14ac:dyDescent="0.25">
      <c r="A5" s="11">
        <v>35</v>
      </c>
      <c r="B5" s="11" t="s">
        <v>74</v>
      </c>
      <c r="C5" s="11" t="s">
        <v>19</v>
      </c>
      <c r="D5" s="12">
        <v>44714</v>
      </c>
      <c r="E5" s="11">
        <v>223</v>
      </c>
      <c r="F5" s="11" t="s">
        <v>75</v>
      </c>
      <c r="G5" s="11" t="s">
        <v>69</v>
      </c>
      <c r="H5" s="11" t="s">
        <v>76</v>
      </c>
      <c r="I5" s="11"/>
      <c r="J5" s="11" t="str">
        <f t="shared" si="0"/>
        <v>Forrest, A</v>
      </c>
      <c r="K5" s="11"/>
      <c r="L5" s="11">
        <f>VLOOKUP($J5,[1]!Table7[[PLAYER]:[WAR]],4, FALSE)</f>
        <v>11</v>
      </c>
      <c r="M5" s="11">
        <f>VLOOKUP($J5,[1]!Table7[[PLAYER]:[WAR]],5, FALSE)</f>
        <v>11</v>
      </c>
      <c r="N5" s="11">
        <f>VLOOKUP($J5,[1]!Table7[[PLAYER]:[WAR]],34, FALSE)</f>
        <v>49</v>
      </c>
      <c r="O5" s="11">
        <f>VLOOKUP($J5,[1]!Table7[[PLAYER]:[WAR]],48, FALSE)</f>
        <v>5.8480792431271773</v>
      </c>
      <c r="P5" s="11">
        <f t="shared" si="1"/>
        <v>31.839542545914632</v>
      </c>
      <c r="Q5">
        <v>3</v>
      </c>
      <c r="U5" s="11">
        <f>(5.5/9)*$S$6 + (3.5/9)*$T$2</f>
        <v>6.1243480392922462</v>
      </c>
    </row>
    <row r="6" spans="1:21" x14ac:dyDescent="0.25">
      <c r="A6">
        <v>22</v>
      </c>
      <c r="B6" t="s">
        <v>77</v>
      </c>
      <c r="C6" t="s">
        <v>19</v>
      </c>
      <c r="D6" s="9">
        <v>44715</v>
      </c>
      <c r="E6">
        <v>180</v>
      </c>
      <c r="F6" t="s">
        <v>78</v>
      </c>
      <c r="G6" t="s">
        <v>56</v>
      </c>
      <c r="H6" t="s">
        <v>79</v>
      </c>
      <c r="J6" t="str">
        <f t="shared" si="0"/>
        <v>Goldensoph, A</v>
      </c>
      <c r="L6">
        <f>VLOOKUP($J6,[1]!Table7[[PLAYER]:[WAR]],4, FALSE)</f>
        <v>11</v>
      </c>
      <c r="M6">
        <f>VLOOKUP($J6,[1]!Table7[[PLAYER]:[WAR]],5, FALSE)</f>
        <v>4</v>
      </c>
      <c r="N6">
        <f>VLOOKUP($J6,[1]!Table7[[PLAYER]:[WAR]],34, FALSE)</f>
        <v>26.666666666666664</v>
      </c>
      <c r="O6">
        <f>VLOOKUP($J6,[1]!Table7[[PLAYER]:[WAR]],48, FALSE)</f>
        <v>6.2496032326109008</v>
      </c>
      <c r="P6">
        <f t="shared" si="1"/>
        <v>18.517342911439705</v>
      </c>
      <c r="R6" t="s">
        <v>441</v>
      </c>
      <c r="S6" s="11">
        <f>AVERAGE(S2:S4)</f>
        <v>5.5857822622329323</v>
      </c>
    </row>
    <row r="7" spans="1:21" x14ac:dyDescent="0.25">
      <c r="A7">
        <v>6</v>
      </c>
      <c r="B7" t="s">
        <v>80</v>
      </c>
      <c r="C7" t="s">
        <v>19</v>
      </c>
      <c r="D7" s="9">
        <v>44713</v>
      </c>
      <c r="E7">
        <v>175</v>
      </c>
      <c r="F7" t="s">
        <v>81</v>
      </c>
      <c r="G7" t="s">
        <v>26</v>
      </c>
      <c r="H7" t="s">
        <v>82</v>
      </c>
      <c r="J7" t="str">
        <f t="shared" si="0"/>
        <v>Greiner, C</v>
      </c>
      <c r="L7">
        <f>VLOOKUP($J7,[1]!Table7[[PLAYER]:[WAR]],4, FALSE)</f>
        <v>19</v>
      </c>
      <c r="M7">
        <f>VLOOKUP($J7,[1]!Table7[[PLAYER]:[WAR]],5, FALSE)</f>
        <v>0</v>
      </c>
      <c r="N7">
        <f>VLOOKUP($J7,[1]!Table7[[PLAYER]:[WAR]],34, FALSE)</f>
        <v>23.666666666666664</v>
      </c>
      <c r="O7">
        <f>VLOOKUP($J7,[1]!Table7[[PLAYER]:[WAR]],48, FALSE)</f>
        <v>6.0195853934727985</v>
      </c>
      <c r="P7">
        <f t="shared" si="1"/>
        <v>15.829280108761802</v>
      </c>
    </row>
    <row r="8" spans="1:21" x14ac:dyDescent="0.25">
      <c r="A8" s="11">
        <v>20</v>
      </c>
      <c r="B8" s="11" t="s">
        <v>83</v>
      </c>
      <c r="C8" s="11" t="s">
        <v>54</v>
      </c>
      <c r="D8" s="12">
        <v>44716</v>
      </c>
      <c r="E8" s="11">
        <v>198</v>
      </c>
      <c r="F8" s="11" t="s">
        <v>84</v>
      </c>
      <c r="G8" s="11" t="s">
        <v>47</v>
      </c>
      <c r="H8" s="11" t="s">
        <v>85</v>
      </c>
      <c r="I8" s="11"/>
      <c r="J8" s="11" t="str">
        <f t="shared" si="0"/>
        <v>Gustafson, A</v>
      </c>
      <c r="K8" s="11"/>
      <c r="L8" s="11">
        <f>VLOOKUP($J8,[1]!Table7[[PLAYER]:[WAR]],4, FALSE)</f>
        <v>12</v>
      </c>
      <c r="M8" s="11">
        <f>VLOOKUP($J8,[1]!Table7[[PLAYER]:[WAR]],5, FALSE)</f>
        <v>10</v>
      </c>
      <c r="N8" s="11">
        <f>VLOOKUP($J8,[1]!Table7[[PLAYER]:[WAR]],34, FALSE)</f>
        <v>55.666666666666679</v>
      </c>
      <c r="O8" s="11">
        <f>VLOOKUP($J8,[1]!Table7[[PLAYER]:[WAR]],48, FALSE)</f>
        <v>5.2442191788415826</v>
      </c>
      <c r="P8" s="11">
        <f t="shared" si="1"/>
        <v>32.436466772834983</v>
      </c>
      <c r="Q8">
        <v>1</v>
      </c>
    </row>
    <row r="9" spans="1:21" x14ac:dyDescent="0.25">
      <c r="A9">
        <v>7</v>
      </c>
      <c r="B9" t="s">
        <v>86</v>
      </c>
      <c r="C9" t="s">
        <v>19</v>
      </c>
      <c r="D9" s="9">
        <v>44715</v>
      </c>
      <c r="E9">
        <v>205</v>
      </c>
      <c r="F9" t="s">
        <v>87</v>
      </c>
      <c r="G9" t="s">
        <v>21</v>
      </c>
      <c r="H9" t="s">
        <v>88</v>
      </c>
      <c r="J9" t="str">
        <f t="shared" si="0"/>
        <v>Horoszko, J</v>
      </c>
      <c r="L9">
        <f>VLOOKUP($J9,[1]!Table7[[PLAYER]:[WAR]],4, FALSE)</f>
        <v>15</v>
      </c>
      <c r="M9">
        <f>VLOOKUP($J9,[1]!Table7[[PLAYER]:[WAR]],5, FALSE)</f>
        <v>4</v>
      </c>
      <c r="N9">
        <f>VLOOKUP($J9,[1]!Table7[[PLAYER]:[WAR]],34, FALSE)</f>
        <v>32.333333333333336</v>
      </c>
      <c r="O9">
        <f>VLOOKUP($J9,[1]!Table7[[PLAYER]:[WAR]],48, FALSE)</f>
        <v>6.4851354751225561</v>
      </c>
      <c r="P9">
        <f t="shared" si="1"/>
        <v>23.298449669884739</v>
      </c>
    </row>
    <row r="10" spans="1:21" x14ac:dyDescent="0.25">
      <c r="A10">
        <v>29</v>
      </c>
      <c r="B10" t="s">
        <v>89</v>
      </c>
      <c r="C10" t="s">
        <v>19</v>
      </c>
      <c r="D10" s="9">
        <v>44714</v>
      </c>
      <c r="E10">
        <v>205</v>
      </c>
      <c r="F10" t="s">
        <v>90</v>
      </c>
      <c r="G10" t="s">
        <v>56</v>
      </c>
      <c r="H10" t="s">
        <v>91</v>
      </c>
      <c r="J10" t="str">
        <f t="shared" si="0"/>
        <v>Ignaciak, B</v>
      </c>
      <c r="L10">
        <f>VLOOKUP($J10,[1]!Table7[[PLAYER]:[WAR]],4, FALSE)</f>
        <v>13</v>
      </c>
      <c r="M10">
        <f>VLOOKUP($J10,[1]!Table7[[PLAYER]:[WAR]],5, FALSE)</f>
        <v>0</v>
      </c>
      <c r="N10">
        <f>VLOOKUP($J10,[1]!Table7[[PLAYER]:[WAR]],34, FALSE)</f>
        <v>16.333333333333339</v>
      </c>
      <c r="O10">
        <f>VLOOKUP($J10,[1]!Table7[[PLAYER]:[WAR]],48, FALSE)</f>
        <v>7.3876919261148775</v>
      </c>
      <c r="P10">
        <f t="shared" si="1"/>
        <v>13.407292754801079</v>
      </c>
    </row>
    <row r="11" spans="1:21" x14ac:dyDescent="0.25">
      <c r="A11">
        <v>34</v>
      </c>
      <c r="B11" t="s">
        <v>92</v>
      </c>
      <c r="C11" t="s">
        <v>19</v>
      </c>
      <c r="D11" s="9">
        <v>44692</v>
      </c>
      <c r="E11">
        <v>190</v>
      </c>
      <c r="F11" t="s">
        <v>93</v>
      </c>
      <c r="G11" t="s">
        <v>69</v>
      </c>
      <c r="H11" t="s">
        <v>94</v>
      </c>
      <c r="J11" t="str">
        <f t="shared" si="0"/>
        <v>Insco, R</v>
      </c>
      <c r="L11">
        <f>VLOOKUP($J11,[1]!Table7[[PLAYER]:[WAR]],4, FALSE)</f>
        <v>18</v>
      </c>
      <c r="M11">
        <f>VLOOKUP($J11,[1]!Table7[[PLAYER]:[WAR]],5, FALSE)</f>
        <v>0</v>
      </c>
      <c r="N11">
        <f>VLOOKUP($J11,[1]!Table7[[PLAYER]:[WAR]],34, FALSE)</f>
        <v>36.666666666666679</v>
      </c>
      <c r="O11">
        <f>VLOOKUP($J11,[1]!Table7[[PLAYER]:[WAR]],48, FALSE)</f>
        <v>5.3728351628826267</v>
      </c>
      <c r="P11">
        <f t="shared" si="1"/>
        <v>21.889328441373671</v>
      </c>
    </row>
    <row r="12" spans="1:21" x14ac:dyDescent="0.25">
      <c r="A12">
        <v>24</v>
      </c>
      <c r="B12" t="s">
        <v>95</v>
      </c>
      <c r="C12" t="s">
        <v>19</v>
      </c>
      <c r="D12" s="9">
        <v>44716</v>
      </c>
      <c r="E12">
        <v>225</v>
      </c>
      <c r="F12" t="s">
        <v>96</v>
      </c>
      <c r="G12" t="s">
        <v>26</v>
      </c>
      <c r="H12" t="s">
        <v>97</v>
      </c>
      <c r="J12" t="str">
        <f t="shared" si="0"/>
        <v>Jatczak, H</v>
      </c>
      <c r="L12">
        <f>VLOOKUP($J12,[1]!Table7[[PLAYER]:[WAR]],4, FALSE)</f>
        <v>5</v>
      </c>
      <c r="M12">
        <f>VLOOKUP($J12,[1]!Table7[[PLAYER]:[WAR]],5, FALSE)</f>
        <v>0</v>
      </c>
      <c r="N12">
        <f>VLOOKUP($J12,[1]!Table7[[PLAYER]:[WAR]],34, FALSE)</f>
        <v>6</v>
      </c>
      <c r="O12">
        <f>VLOOKUP($J12,[1]!Table7[[PLAYER]:[WAR]],48, FALSE)</f>
        <v>4.8255586986176686</v>
      </c>
      <c r="P12">
        <f t="shared" si="1"/>
        <v>3.2170391324117791</v>
      </c>
    </row>
    <row r="13" spans="1:21" x14ac:dyDescent="0.25">
      <c r="A13">
        <v>28</v>
      </c>
      <c r="B13" t="s">
        <v>98</v>
      </c>
      <c r="C13" t="s">
        <v>19</v>
      </c>
      <c r="D13" s="9">
        <v>44716</v>
      </c>
      <c r="E13">
        <v>220</v>
      </c>
      <c r="F13" t="s">
        <v>99</v>
      </c>
      <c r="G13" t="s">
        <v>56</v>
      </c>
      <c r="H13" t="s">
        <v>100</v>
      </c>
      <c r="J13" t="str">
        <f t="shared" si="0"/>
        <v>Johnson, E</v>
      </c>
      <c r="L13">
        <f>VLOOKUP($J13,[1]!Table7[[PLAYER]:[WAR]],4, FALSE)</f>
        <v>16</v>
      </c>
      <c r="M13">
        <f>VLOOKUP($J13,[1]!Table7[[PLAYER]:[WAR]],5, FALSE)</f>
        <v>1</v>
      </c>
      <c r="N13">
        <f>VLOOKUP($J13,[1]!Table7[[PLAYER]:[WAR]],34, FALSE)</f>
        <v>29.666666666666664</v>
      </c>
      <c r="O13">
        <f>VLOOKUP($J13,[1]!Table7[[PLAYER]:[WAR]],48, FALSE)</f>
        <v>7.1651636374093011</v>
      </c>
      <c r="P13">
        <f t="shared" si="1"/>
        <v>23.618502360349176</v>
      </c>
    </row>
    <row r="14" spans="1:21" x14ac:dyDescent="0.25">
      <c r="A14">
        <v>21</v>
      </c>
      <c r="B14" t="s">
        <v>101</v>
      </c>
      <c r="C14" t="s">
        <v>19</v>
      </c>
      <c r="D14" s="10">
        <v>36678</v>
      </c>
      <c r="E14">
        <v>190</v>
      </c>
      <c r="F14" t="s">
        <v>59</v>
      </c>
      <c r="G14" t="s">
        <v>21</v>
      </c>
      <c r="H14" t="s">
        <v>102</v>
      </c>
      <c r="J14" t="str">
        <f t="shared" si="0"/>
        <v>McWilliams IV, O</v>
      </c>
      <c r="L14">
        <f>VLOOKUP($J14,[1]!Table7[[PLAYER]:[WAR]],4, FALSE)</f>
        <v>9</v>
      </c>
      <c r="M14">
        <f>VLOOKUP($J14,[1]!Table7[[PLAYER]:[WAR]],5, FALSE)</f>
        <v>1</v>
      </c>
      <c r="N14">
        <f>VLOOKUP($J14,[1]!Table7[[PLAYER]:[WAR]],34, FALSE)</f>
        <v>15</v>
      </c>
      <c r="O14">
        <f>VLOOKUP($J14,[1]!Table7[[PLAYER]:[WAR]],48, FALSE)</f>
        <v>7.5307670441298962</v>
      </c>
      <c r="P14">
        <f t="shared" si="1"/>
        <v>12.55127840688316</v>
      </c>
    </row>
    <row r="15" spans="1:21" x14ac:dyDescent="0.25">
      <c r="A15">
        <v>25</v>
      </c>
      <c r="B15" t="s">
        <v>103</v>
      </c>
      <c r="C15" t="s">
        <v>19</v>
      </c>
      <c r="D15" s="9">
        <v>44713</v>
      </c>
      <c r="E15">
        <v>215</v>
      </c>
      <c r="F15" t="s">
        <v>104</v>
      </c>
      <c r="G15" t="s">
        <v>21</v>
      </c>
      <c r="H15" t="s">
        <v>105</v>
      </c>
      <c r="J15" t="str">
        <f t="shared" si="0"/>
        <v>Ramirez, A</v>
      </c>
      <c r="L15">
        <f>VLOOKUP($J15,[1]!Table7[[PLAYER]:[WAR]],4, FALSE)</f>
        <v>18</v>
      </c>
      <c r="M15">
        <f>VLOOKUP($J15,[1]!Table7[[PLAYER]:[WAR]],5, FALSE)</f>
        <v>2</v>
      </c>
      <c r="N15">
        <f>VLOOKUP($J15,[1]!Table7[[PLAYER]:[WAR]],34, FALSE)</f>
        <v>33</v>
      </c>
      <c r="O15">
        <f>VLOOKUP($J15,[1]!Table7[[PLAYER]:[WAR]],48, FALSE)</f>
        <v>6.678678371919899</v>
      </c>
      <c r="P15">
        <f t="shared" si="1"/>
        <v>24.488487363706295</v>
      </c>
    </row>
    <row r="16" spans="1:21" x14ac:dyDescent="0.25">
      <c r="A16">
        <v>17</v>
      </c>
      <c r="B16" t="s">
        <v>106</v>
      </c>
      <c r="C16" t="s">
        <v>19</v>
      </c>
      <c r="D16" s="9">
        <v>44717</v>
      </c>
      <c r="E16">
        <v>180</v>
      </c>
      <c r="F16" t="s">
        <v>107</v>
      </c>
      <c r="G16" t="s">
        <v>26</v>
      </c>
      <c r="H16" t="s">
        <v>108</v>
      </c>
      <c r="J16" t="str">
        <f t="shared" si="0"/>
        <v>Russell, B</v>
      </c>
      <c r="L16">
        <f>VLOOKUP($J16,[1]!Table7[[PLAYER]:[WAR]],4, FALSE)</f>
        <v>4</v>
      </c>
      <c r="M16">
        <f>VLOOKUP($J16,[1]!Table7[[PLAYER]:[WAR]],5, FALSE)</f>
        <v>0</v>
      </c>
      <c r="N16">
        <f>VLOOKUP($J16,[1]!Table7[[PLAYER]:[WAR]],34, FALSE)</f>
        <v>7.666666666666667</v>
      </c>
      <c r="O16">
        <f>VLOOKUP($J16,[1]!Table7[[PLAYER]:[WAR]],48, FALSE)</f>
        <v>10.399977610221249</v>
      </c>
      <c r="P16">
        <f t="shared" si="1"/>
        <v>8.8592401864847687</v>
      </c>
    </row>
    <row r="17" spans="1:18" x14ac:dyDescent="0.25">
      <c r="A17">
        <v>4</v>
      </c>
      <c r="B17" t="s">
        <v>109</v>
      </c>
      <c r="C17" t="s">
        <v>19</v>
      </c>
      <c r="D17" s="9">
        <v>44715</v>
      </c>
      <c r="E17">
        <v>225</v>
      </c>
      <c r="F17" t="s">
        <v>110</v>
      </c>
      <c r="G17" t="s">
        <v>56</v>
      </c>
      <c r="H17" t="s">
        <v>111</v>
      </c>
      <c r="J17" t="str">
        <f t="shared" si="0"/>
        <v>Whelton, C</v>
      </c>
      <c r="L17">
        <f>VLOOKUP($J17,[1]!Table7[[PLAYER]:[WAR]],4, FALSE)</f>
        <v>12</v>
      </c>
      <c r="M17">
        <f>VLOOKUP($J17,[1]!Table7[[PLAYER]:[WAR]],5, FALSE)</f>
        <v>0</v>
      </c>
      <c r="N17">
        <f>VLOOKUP($J17,[1]!Table7[[PLAYER]:[WAR]],34, FALSE)</f>
        <v>11.666666666666664</v>
      </c>
      <c r="O17">
        <f>VLOOKUP($J17,[1]!Table7[[PLAYER]:[WAR]],48, FALSE)</f>
        <v>11.460667296564161</v>
      </c>
      <c r="P17">
        <f t="shared" si="1"/>
        <v>14.856420569620205</v>
      </c>
    </row>
    <row r="18" spans="1:18" x14ac:dyDescent="0.25">
      <c r="A18">
        <v>30</v>
      </c>
      <c r="B18" t="s">
        <v>112</v>
      </c>
      <c r="C18" t="s">
        <v>19</v>
      </c>
      <c r="D18" s="9">
        <v>44713</v>
      </c>
      <c r="E18">
        <v>185</v>
      </c>
      <c r="F18" t="s">
        <v>113</v>
      </c>
      <c r="G18" t="s">
        <v>21</v>
      </c>
      <c r="H18" t="s">
        <v>114</v>
      </c>
      <c r="J18" t="str">
        <f t="shared" si="0"/>
        <v>White, M</v>
      </c>
      <c r="L18">
        <f>VLOOKUP($J18,[1]!Table7[[PLAYER]:[WAR]],4, FALSE)</f>
        <v>21</v>
      </c>
      <c r="M18">
        <f>VLOOKUP($J18,[1]!Table7[[PLAYER]:[WAR]],5, FALSE)</f>
        <v>0</v>
      </c>
      <c r="N18">
        <f>VLOOKUP($J18,[1]!Table7[[PLAYER]:[WAR]],34, FALSE)</f>
        <v>25.666666666666664</v>
      </c>
      <c r="O18">
        <f>VLOOKUP($J18,[1]!Table7[[PLAYER]:[WAR]],48, FALSE)</f>
        <v>5.51089134148111</v>
      </c>
      <c r="P18">
        <f t="shared" si="1"/>
        <v>15.716245677557239</v>
      </c>
    </row>
    <row r="19" spans="1:18" x14ac:dyDescent="0.25">
      <c r="A19">
        <v>18</v>
      </c>
      <c r="B19" t="s">
        <v>115</v>
      </c>
      <c r="C19" t="s">
        <v>24</v>
      </c>
      <c r="D19" s="9">
        <v>44714</v>
      </c>
      <c r="E19">
        <v>200</v>
      </c>
      <c r="F19" t="s">
        <v>107</v>
      </c>
      <c r="G19" t="s">
        <v>47</v>
      </c>
      <c r="H19" t="s">
        <v>116</v>
      </c>
      <c r="J19" t="str">
        <f t="shared" si="0"/>
        <v>Wright, C</v>
      </c>
      <c r="L19">
        <f>VLOOKUP($J19,[1]!Table7[[PLAYER]:[WAR]],4, FALSE)</f>
        <v>2</v>
      </c>
      <c r="M19">
        <f>VLOOKUP($J19,[1]!Table7[[PLAYER]:[WAR]],5, FALSE)</f>
        <v>0</v>
      </c>
      <c r="N19">
        <f>VLOOKUP($J19,[1]!Table7[[PLAYER]:[WAR]],34, FALSE)</f>
        <v>1.6666666666666665</v>
      </c>
      <c r="O19">
        <f>VLOOKUP($J19,[1]!Table7[[PLAYER]:[WAR]],48, FALSE)</f>
        <v>35.268677967128518</v>
      </c>
      <c r="P19">
        <f t="shared" si="1"/>
        <v>6.5312366605793546</v>
      </c>
    </row>
    <row r="31" spans="1:18" x14ac:dyDescent="0.25">
      <c r="A31" t="s">
        <v>117</v>
      </c>
      <c r="B31">
        <f>COUNTIF(K33:K44, "&gt;= 7")</f>
        <v>6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13</v>
      </c>
      <c r="B33" t="s">
        <v>18</v>
      </c>
      <c r="C33" t="s">
        <v>19</v>
      </c>
      <c r="D33" s="9">
        <v>44690</v>
      </c>
      <c r="E33">
        <v>170</v>
      </c>
      <c r="F33" t="s">
        <v>20</v>
      </c>
      <c r="G33" t="s">
        <v>21</v>
      </c>
      <c r="H33" t="s">
        <v>22</v>
      </c>
      <c r="J33" t="str">
        <f t="shared" ref="J33:J44" si="3">LEFT(B33,(FIND(",",B33,1)+1)) &amp; LEFT(RIGHT(B33,LEN(B33)-(FIND(",",B33)+1)),1)</f>
        <v>Duarte, D</v>
      </c>
      <c r="K33">
        <v>8</v>
      </c>
      <c r="L33">
        <f>VLOOKUP(J33,[1]!Table6[[PLAYER]:[XBH]],26,FALSE)</f>
        <v>153</v>
      </c>
      <c r="M33">
        <f>VLOOKUP(J33,[1]!Table6[[PLAYER]:[XBH]],45,FALSE)</f>
        <v>0.50246845473164437</v>
      </c>
      <c r="N33">
        <f>(M33/L33) * VLOOKUP(K33,LineupPA!$A$1:$B$10,2,FALSE)</f>
        <v>1.4332013491102608E-2</v>
      </c>
      <c r="O33">
        <f>IF(K33&lt;7, N33, (M33/L33)*(LineupPA!$C$10 * (3/$B$31)))</f>
        <v>7.1660067455513038E-3</v>
      </c>
      <c r="P33" s="13"/>
      <c r="Q33">
        <f>SUM(N33:N44)</f>
        <v>0.91009798513602991</v>
      </c>
      <c r="R33">
        <f>SUM(O33:O44)</f>
        <v>1.2366670906206676</v>
      </c>
    </row>
    <row r="34" spans="1:18" x14ac:dyDescent="0.25">
      <c r="A34">
        <v>5</v>
      </c>
      <c r="B34" t="s">
        <v>23</v>
      </c>
      <c r="C34" t="s">
        <v>24</v>
      </c>
      <c r="D34" s="10">
        <v>36678</v>
      </c>
      <c r="E34">
        <v>185</v>
      </c>
      <c r="F34" t="s">
        <v>25</v>
      </c>
      <c r="G34" t="s">
        <v>26</v>
      </c>
      <c r="H34" t="s">
        <v>27</v>
      </c>
      <c r="J34" t="str">
        <f t="shared" si="3"/>
        <v>Orzech, E</v>
      </c>
      <c r="K34">
        <v>1</v>
      </c>
      <c r="L34">
        <f>VLOOKUP(J34,[1]!Table6[[PLAYER]:[XBH]],26,FALSE)</f>
        <v>171</v>
      </c>
      <c r="M34">
        <f>VLOOKUP(J34,[1]!Table6[[PLAYER]:[XBH]],45,FALSE)</f>
        <v>8.8402898616252266</v>
      </c>
      <c r="N34">
        <f>(M34/L34) * VLOOKUP(K34,LineupPA!$A$1:$B$10,2,FALSE)</f>
        <v>0.25275222093149152</v>
      </c>
      <c r="O34">
        <f>IF(K34&lt;7, N34, (M34/L34)*(LineupPA!$C$10 * (3/$B$31)))</f>
        <v>0.25275222093149152</v>
      </c>
      <c r="P34" s="13"/>
    </row>
    <row r="35" spans="1:18" x14ac:dyDescent="0.25">
      <c r="A35">
        <v>27</v>
      </c>
      <c r="B35" t="s">
        <v>28</v>
      </c>
      <c r="C35" t="s">
        <v>19</v>
      </c>
      <c r="D35" s="9">
        <v>44714</v>
      </c>
      <c r="E35">
        <v>205</v>
      </c>
      <c r="F35" t="s">
        <v>29</v>
      </c>
      <c r="G35" t="s">
        <v>26</v>
      </c>
      <c r="H35" t="s">
        <v>30</v>
      </c>
      <c r="J35" t="str">
        <f t="shared" si="3"/>
        <v>Summerhill, C</v>
      </c>
      <c r="K35">
        <v>4</v>
      </c>
      <c r="L35">
        <f>VLOOKUP(J35,[1]!Table6[[PLAYER]:[XBH]],26,FALSE)</f>
        <v>236</v>
      </c>
      <c r="M35">
        <f>VLOOKUP(J35,[1]!Table6[[PLAYER]:[XBH]],45,FALSE)</f>
        <v>14.111739068537165</v>
      </c>
      <c r="N35">
        <f>(M35/L35) * VLOOKUP(K35,LineupPA!$A$1:$B$10,2,FALSE)</f>
        <v>0.27888929480231406</v>
      </c>
      <c r="O35">
        <f>IF(K35&lt;7, N35, (M35/L35)*(LineupPA!$C$10 * (3/$B$31)))</f>
        <v>0.27888929480231406</v>
      </c>
      <c r="P35" s="13"/>
    </row>
    <row r="36" spans="1:18" x14ac:dyDescent="0.25">
      <c r="A36">
        <v>11</v>
      </c>
      <c r="B36" t="s">
        <v>31</v>
      </c>
      <c r="C36" t="s">
        <v>19</v>
      </c>
      <c r="D36" s="9">
        <v>44692</v>
      </c>
      <c r="E36">
        <v>185</v>
      </c>
      <c r="F36" t="s">
        <v>32</v>
      </c>
      <c r="G36" t="s">
        <v>26</v>
      </c>
      <c r="H36" t="s">
        <v>33</v>
      </c>
      <c r="J36" t="str">
        <f t="shared" si="3"/>
        <v>Atkinson, A</v>
      </c>
      <c r="K36">
        <v>9</v>
      </c>
      <c r="L36">
        <f>VLOOKUP(J36,[1]!Table6[[PLAYER]:[XBH]],26,FALSE)</f>
        <v>234</v>
      </c>
      <c r="M36">
        <f>VLOOKUP(J36,[1]!Table6[[PLAYER]:[XBH]],45,FALSE)</f>
        <v>-8.8800007807141483</v>
      </c>
      <c r="N36">
        <f>(M36/L36) * VLOOKUP(K36,LineupPA!$A$1:$B$10,2,FALSE)</f>
        <v>-0.16276400866489099</v>
      </c>
      <c r="O36">
        <f>IF(K36&lt;7, N36, (M36/L36)*(LineupPA!$C$10 * (3/$B$31)))</f>
        <v>-8.2805081380636872E-2</v>
      </c>
      <c r="P36" s="13"/>
    </row>
    <row r="37" spans="1:18" x14ac:dyDescent="0.25">
      <c r="A37">
        <v>14</v>
      </c>
      <c r="B37" t="s">
        <v>34</v>
      </c>
      <c r="C37" t="s">
        <v>19</v>
      </c>
      <c r="D37" s="10">
        <v>36678</v>
      </c>
      <c r="E37">
        <v>185</v>
      </c>
      <c r="F37" t="s">
        <v>35</v>
      </c>
      <c r="G37" t="s">
        <v>21</v>
      </c>
      <c r="H37" t="s">
        <v>36</v>
      </c>
      <c r="J37" t="str">
        <f t="shared" si="3"/>
        <v>Miller, G</v>
      </c>
      <c r="K37">
        <v>7</v>
      </c>
      <c r="L37">
        <f>VLOOKUP(J37,[1]!Table6[[PLAYER]:[XBH]],26,FALSE)</f>
        <v>76</v>
      </c>
      <c r="M37">
        <f>VLOOKUP(J37,[1]!Table6[[PLAYER]:[XBH]],45,FALSE)</f>
        <v>-4.8703742688779759</v>
      </c>
      <c r="N37">
        <f>(M37/L37) * VLOOKUP(K37,LineupPA!$A$1:$B$10,2,FALSE)</f>
        <v>-0.28447158888632051</v>
      </c>
      <c r="O37">
        <f>IF(K37&lt;7, N37, (M37/L37)*(LineupPA!$C$10 * (3/$B$31)))</f>
        <v>-0.13983264924470074</v>
      </c>
      <c r="P37" s="13"/>
    </row>
    <row r="38" spans="1:18" x14ac:dyDescent="0.25">
      <c r="A38">
        <v>10</v>
      </c>
      <c r="B38" t="s">
        <v>37</v>
      </c>
      <c r="C38" t="s">
        <v>19</v>
      </c>
      <c r="D38" s="10">
        <v>36678</v>
      </c>
      <c r="E38">
        <v>195</v>
      </c>
      <c r="F38" t="s">
        <v>38</v>
      </c>
      <c r="G38" t="s">
        <v>39</v>
      </c>
      <c r="H38" t="s">
        <v>40</v>
      </c>
      <c r="J38" t="str">
        <f t="shared" si="3"/>
        <v>Tackett, S</v>
      </c>
      <c r="K38">
        <v>6</v>
      </c>
      <c r="L38">
        <f>VLOOKUP(J38,[1]!Table6[[PLAYER]:[XBH]],26,FALSE)</f>
        <v>164</v>
      </c>
      <c r="M38">
        <f>VLOOKUP(J38,[1]!Table6[[PLAYER]:[XBH]],45,FALSE)</f>
        <v>12.571188966175956</v>
      </c>
      <c r="N38">
        <f>(M38/L38) * VLOOKUP(K38,LineupPA!$A$1:$B$10,2,FALSE)</f>
        <v>0.34601823579781077</v>
      </c>
      <c r="O38">
        <f>IF(K38&lt;7, N38, (M38/L38)*(LineupPA!$C$10 * (3/$B$31)))</f>
        <v>0.34601823579781077</v>
      </c>
      <c r="P38" s="13"/>
    </row>
    <row r="39" spans="1:18" x14ac:dyDescent="0.25">
      <c r="A39">
        <v>1</v>
      </c>
      <c r="B39" t="s">
        <v>41</v>
      </c>
      <c r="C39" t="s">
        <v>42</v>
      </c>
      <c r="D39" s="9">
        <v>44713</v>
      </c>
      <c r="E39">
        <v>193</v>
      </c>
      <c r="F39" t="s">
        <v>43</v>
      </c>
      <c r="G39" t="s">
        <v>26</v>
      </c>
      <c r="H39" t="s">
        <v>44</v>
      </c>
      <c r="J39" t="str">
        <f t="shared" si="3"/>
        <v>Traficante, C</v>
      </c>
      <c r="K39">
        <v>5</v>
      </c>
      <c r="L39">
        <f>VLOOKUP(J39,[1]!Table6[[PLAYER]:[XBH]],26,FALSE)</f>
        <v>332</v>
      </c>
      <c r="M39">
        <f>VLOOKUP(J39,[1]!Table6[[PLAYER]:[XBH]],45,FALSE)</f>
        <v>4.4580731803195803</v>
      </c>
      <c r="N39">
        <f>(M39/L39) * VLOOKUP(K39,LineupPA!$A$1:$B$10,2,FALSE)</f>
        <v>6.1621464124732198E-2</v>
      </c>
      <c r="O39">
        <f>IF(K39&lt;7, N39, (M39/L39)*(LineupPA!$C$10 * (3/$B$31)))</f>
        <v>6.1621464124732198E-2</v>
      </c>
      <c r="P39" s="13"/>
    </row>
    <row r="40" spans="1:18" x14ac:dyDescent="0.25">
      <c r="A40">
        <v>2</v>
      </c>
      <c r="B40" t="s">
        <v>45</v>
      </c>
      <c r="C40" t="s">
        <v>19</v>
      </c>
      <c r="D40" s="9">
        <v>44713</v>
      </c>
      <c r="E40">
        <v>190</v>
      </c>
      <c r="F40" t="s">
        <v>46</v>
      </c>
      <c r="G40" t="s">
        <v>47</v>
      </c>
      <c r="H40" t="s">
        <v>48</v>
      </c>
      <c r="J40" t="str">
        <f t="shared" si="3"/>
        <v>Charon, J</v>
      </c>
      <c r="K40">
        <v>10</v>
      </c>
      <c r="L40">
        <f>VLOOKUP(J40,[1]!Table6[[PLAYER]:[XBH]],26,FALSE)</f>
        <v>60</v>
      </c>
      <c r="M40">
        <f>VLOOKUP(J40,[1]!Table6[[PLAYER]:[XBH]],45,FALSE)</f>
        <v>-4.0780977549492725</v>
      </c>
      <c r="N40">
        <f>(M40/L40) * VLOOKUP(K40,LineupPA!$A$1:$B$10,2,FALSE)</f>
        <v>0</v>
      </c>
      <c r="O40">
        <f>IF(K40&lt;7, N40, (M40/L40)*(LineupPA!$C$10 * (3/$B$31)))</f>
        <v>-0.14830856176495483</v>
      </c>
      <c r="P40" s="13"/>
    </row>
    <row r="41" spans="1:18" x14ac:dyDescent="0.25">
      <c r="A41">
        <v>39</v>
      </c>
      <c r="B41" t="s">
        <v>49</v>
      </c>
      <c r="C41" t="s">
        <v>24</v>
      </c>
      <c r="D41" s="9">
        <v>44714</v>
      </c>
      <c r="E41">
        <v>225</v>
      </c>
      <c r="F41" t="s">
        <v>50</v>
      </c>
      <c r="G41" t="s">
        <v>51</v>
      </c>
      <c r="H41" t="s">
        <v>52</v>
      </c>
      <c r="J41" t="str">
        <f t="shared" si="3"/>
        <v>Dorighi, B</v>
      </c>
      <c r="K41">
        <v>3</v>
      </c>
      <c r="L41">
        <f>VLOOKUP(J41,[1]!Table6[[PLAYER]:[XBH]],26,FALSE)</f>
        <v>133</v>
      </c>
      <c r="M41">
        <f>VLOOKUP(J41,[1]!Table6[[PLAYER]:[XBH]],45,FALSE)</f>
        <v>4.5759365551371669</v>
      </c>
      <c r="N41">
        <f>(M41/L41) * VLOOKUP(K41,LineupPA!$A$1:$B$10,2,FALSE)</f>
        <v>0.16304960627541695</v>
      </c>
      <c r="O41">
        <f>IF(K41&lt;7, N41, (M41/L41)*(LineupPA!$C$10 * (3/$B$31)))</f>
        <v>0.16304960627541695</v>
      </c>
      <c r="P41" s="13"/>
    </row>
    <row r="42" spans="1:18" x14ac:dyDescent="0.25">
      <c r="A42">
        <v>38</v>
      </c>
      <c r="B42" t="s">
        <v>53</v>
      </c>
      <c r="C42" t="s">
        <v>54</v>
      </c>
      <c r="D42" s="9">
        <v>44716</v>
      </c>
      <c r="E42">
        <v>190</v>
      </c>
      <c r="F42" t="s">
        <v>55</v>
      </c>
      <c r="G42" t="s">
        <v>56</v>
      </c>
      <c r="H42" t="s">
        <v>57</v>
      </c>
      <c r="J42" t="str">
        <f t="shared" si="3"/>
        <v>Tchavdarov, M</v>
      </c>
      <c r="K42">
        <v>10</v>
      </c>
      <c r="L42">
        <f>VLOOKUP(J42,[1]!Table6[[PLAYER]:[XBH]],26,FALSE)</f>
        <v>42</v>
      </c>
      <c r="M42">
        <f>VLOOKUP(J42,[1]!Table6[[PLAYER]:[XBH]],45,FALSE)</f>
        <v>1.9210328349624157</v>
      </c>
      <c r="N42">
        <f>(M42/L42) * VLOOKUP(K42,LineupPA!$A$1:$B$10,2,FALSE)</f>
        <v>0</v>
      </c>
      <c r="O42">
        <f>IF(K42&lt;7, N42, (M42/L42)*(LineupPA!$C$10 * (3/$B$31)))</f>
        <v>9.9803400638643958E-2</v>
      </c>
      <c r="P42" s="13"/>
    </row>
    <row r="43" spans="1:18" x14ac:dyDescent="0.25">
      <c r="A43">
        <v>23</v>
      </c>
      <c r="B43" t="s">
        <v>58</v>
      </c>
      <c r="C43" t="s">
        <v>24</v>
      </c>
      <c r="D43" s="9">
        <v>44692</v>
      </c>
      <c r="E43">
        <v>180</v>
      </c>
      <c r="F43" t="s">
        <v>59</v>
      </c>
      <c r="G43" t="s">
        <v>56</v>
      </c>
      <c r="H43" t="s">
        <v>60</v>
      </c>
      <c r="J43" t="str">
        <f t="shared" si="3"/>
        <v>Toole, M</v>
      </c>
      <c r="K43">
        <v>2</v>
      </c>
      <c r="L43">
        <f>VLOOKUP(J43,[1]!Table6[[PLAYER]:[XBH]],26,FALSE)</f>
        <v>219</v>
      </c>
      <c r="M43">
        <f>VLOOKUP(J43,[1]!Table6[[PLAYER]:[XBH]],45,FALSE)</f>
        <v>10.948552774524741</v>
      </c>
      <c r="N43">
        <f>(M43/L43) * VLOOKUP(K43,LineupPA!$A$1:$B$10,2,FALSE)</f>
        <v>0.24067074726437332</v>
      </c>
      <c r="O43">
        <f>IF(K43&lt;7, N43, (M43/L43)*(LineupPA!$C$10 * (3/$B$31)))</f>
        <v>0.24067074726437332</v>
      </c>
    </row>
    <row r="44" spans="1:18" x14ac:dyDescent="0.25">
      <c r="A44">
        <v>8</v>
      </c>
      <c r="B44" t="s">
        <v>61</v>
      </c>
      <c r="C44" t="s">
        <v>24</v>
      </c>
      <c r="D44" s="9">
        <v>44715</v>
      </c>
      <c r="E44">
        <v>215</v>
      </c>
      <c r="F44" t="s">
        <v>62</v>
      </c>
      <c r="G44" t="s">
        <v>26</v>
      </c>
      <c r="H44" t="s">
        <v>63</v>
      </c>
      <c r="J44" t="str">
        <f t="shared" si="3"/>
        <v>Truitt III, T</v>
      </c>
      <c r="K44">
        <v>10</v>
      </c>
      <c r="L44">
        <f>VLOOKUP(J44,[1]!Table6[[PLAYER]:[XBH]],26,FALSE)</f>
        <v>214</v>
      </c>
      <c r="M44">
        <f>VLOOKUP(J44,[1]!Table6[[PLAYER]:[XBH]],45,FALSE)</f>
        <v>15.460622898318949</v>
      </c>
      <c r="N44">
        <f>(M44/L44) * VLOOKUP(K44,LineupPA!$A$1:$B$10,2,FALSE)</f>
        <v>0</v>
      </c>
      <c r="O44">
        <f>IF(K44&lt;7, N44, (M44/L44)*(LineupPA!$C$10 * (3/$B$31)))</f>
        <v>0.15764240643062577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4B72-EB3D-4AAE-A47F-5645B085E20A}">
  <dimension ref="A1:U4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</v>
      </c>
      <c r="B2" t="s">
        <v>135</v>
      </c>
      <c r="C2" t="s">
        <v>19</v>
      </c>
      <c r="D2" s="9">
        <v>44717</v>
      </c>
      <c r="E2">
        <v>205</v>
      </c>
      <c r="F2" t="s">
        <v>136</v>
      </c>
      <c r="G2" t="s">
        <v>26</v>
      </c>
      <c r="H2" t="s">
        <v>137</v>
      </c>
      <c r="J2" t="str">
        <f>LEFT(B2,(FIND(",",B2,1)+1)) &amp; LEFT(RIGHT(B2,LEN(B2)-(FIND(",",B2)+1)),1)</f>
        <v>Berkenpas, J</v>
      </c>
      <c r="L2">
        <f>VLOOKUP($J2,[1]!Table7[[PLAYER]:[WAR]],4, FALSE)</f>
        <v>8</v>
      </c>
      <c r="M2">
        <f>VLOOKUP($J2,[1]!Table7[[PLAYER]:[WAR]],5, FALSE)</f>
        <v>3</v>
      </c>
      <c r="N2">
        <f>VLOOKUP($J2,[1]!Table7[[PLAYER]:[WAR]],34, FALSE)</f>
        <v>27.333333333333339</v>
      </c>
      <c r="O2">
        <f>VLOOKUP($J2,[1]!Table7[[PLAYER]:[WAR]],48, FALSE)</f>
        <v>7.0256764802744121</v>
      </c>
      <c r="P2">
        <f>O2 * (N2/9)</f>
        <v>21.337239680833402</v>
      </c>
      <c r="R2">
        <v>1</v>
      </c>
      <c r="S2">
        <f>SUMIF($Q$2:$Q$25,R2,$O$2:$O$25)</f>
        <v>5.5889513605328673</v>
      </c>
      <c r="T2" s="11">
        <f>(SUM(P2:P4,P6:P9,P12:P14,P16:P18) / SUM(N2:N4,N6:N9,N12:N14,N16:N18)) * 9</f>
        <v>6.507122483592906</v>
      </c>
      <c r="U2" s="11">
        <f>(5.5/9)*$S$2 + (3.5/9)*$T$2</f>
        <v>5.9460179083895497</v>
      </c>
    </row>
    <row r="3" spans="1:21" x14ac:dyDescent="0.25">
      <c r="A3">
        <v>22</v>
      </c>
      <c r="B3" t="s">
        <v>138</v>
      </c>
      <c r="C3" t="s">
        <v>19</v>
      </c>
      <c r="D3" s="9">
        <v>44716</v>
      </c>
      <c r="E3">
        <v>190</v>
      </c>
      <c r="F3" t="s">
        <v>55</v>
      </c>
      <c r="G3" t="s">
        <v>39</v>
      </c>
      <c r="H3" t="s">
        <v>139</v>
      </c>
      <c r="J3" t="str">
        <f t="shared" ref="J3:J18" si="0">LEFT(B3,(FIND(",",B3,1)+1)) &amp; LEFT(RIGHT(B3,LEN(B3)-(FIND(",",B3)+1)),1)</f>
        <v>Bursick-Harrington, L</v>
      </c>
      <c r="L3">
        <f>VLOOKUP($J3,[1]!Table7[[PLAYER]:[WAR]],4, FALSE)</f>
        <v>19</v>
      </c>
      <c r="M3">
        <f>VLOOKUP($J3,[1]!Table7[[PLAYER]:[WAR]],5, FALSE)</f>
        <v>0</v>
      </c>
      <c r="N3">
        <f>VLOOKUP($J3,[1]!Table7[[PLAYER]:[WAR]],34, FALSE)</f>
        <v>22.333333333333339</v>
      </c>
      <c r="O3">
        <f>VLOOKUP($J3,[1]!Table7[[PLAYER]:[WAR]],48, FALSE)</f>
        <v>5.6176220291499535</v>
      </c>
      <c r="P3">
        <f t="shared" ref="P3:P18" si="1">O3 * (N3/9)</f>
        <v>13.940025035298037</v>
      </c>
      <c r="R3">
        <v>2</v>
      </c>
      <c r="S3">
        <f t="shared" ref="S3:S4" si="2">SUMIF($Q$2:$Q$25,R3,$O$2:$O$25)</f>
        <v>5.6917536814916865</v>
      </c>
    </row>
    <row r="4" spans="1:21" x14ac:dyDescent="0.25">
      <c r="A4">
        <v>21</v>
      </c>
      <c r="B4" t="s">
        <v>140</v>
      </c>
      <c r="C4" t="s">
        <v>54</v>
      </c>
      <c r="D4" s="9">
        <v>44691</v>
      </c>
      <c r="E4">
        <v>150</v>
      </c>
      <c r="F4" t="s">
        <v>141</v>
      </c>
      <c r="G4" t="s">
        <v>56</v>
      </c>
      <c r="H4" t="s">
        <v>142</v>
      </c>
      <c r="J4" t="str">
        <f t="shared" si="0"/>
        <v>Fay, B</v>
      </c>
      <c r="L4">
        <f>VLOOKUP($J4,[1]!Table7[[PLAYER]:[WAR]],4, FALSE)</f>
        <v>4</v>
      </c>
      <c r="M4">
        <f>VLOOKUP($J4,[1]!Table7[[PLAYER]:[WAR]],5, FALSE)</f>
        <v>0</v>
      </c>
      <c r="N4">
        <f>VLOOKUP($J4,[1]!Table7[[PLAYER]:[WAR]],34, FALSE)</f>
        <v>10.666666666666664</v>
      </c>
      <c r="O4">
        <f>VLOOKUP($J4,[1]!Table7[[PLAYER]:[WAR]],48, FALSE)</f>
        <v>6.4904910002270828</v>
      </c>
      <c r="P4">
        <f t="shared" si="1"/>
        <v>7.6924337780469108</v>
      </c>
      <c r="R4">
        <v>3</v>
      </c>
      <c r="S4">
        <f t="shared" si="2"/>
        <v>5.4696419240372309</v>
      </c>
      <c r="U4" t="s">
        <v>446</v>
      </c>
    </row>
    <row r="5" spans="1:21" x14ac:dyDescent="0.25">
      <c r="A5" s="11">
        <v>18</v>
      </c>
      <c r="B5" s="11" t="s">
        <v>143</v>
      </c>
      <c r="C5" s="11" t="s">
        <v>19</v>
      </c>
      <c r="D5" s="12">
        <v>36678</v>
      </c>
      <c r="E5" s="11">
        <v>195</v>
      </c>
      <c r="F5" s="11" t="s">
        <v>144</v>
      </c>
      <c r="G5" s="11" t="s">
        <v>21</v>
      </c>
      <c r="H5" s="11" t="s">
        <v>145</v>
      </c>
      <c r="I5" s="11"/>
      <c r="J5" s="11" t="str">
        <f t="shared" si="0"/>
        <v>Freeman, D</v>
      </c>
      <c r="K5" s="11"/>
      <c r="L5" s="11">
        <f>VLOOKUP($J5,[1]!Table7[[PLAYER]:[WAR]],4, FALSE)</f>
        <v>13</v>
      </c>
      <c r="M5" s="11">
        <f>VLOOKUP($J5,[1]!Table7[[PLAYER]:[WAR]],5, FALSE)</f>
        <v>11</v>
      </c>
      <c r="N5" s="11">
        <f>VLOOKUP($J5,[1]!Table7[[PLAYER]:[WAR]],34, FALSE)</f>
        <v>57</v>
      </c>
      <c r="O5" s="11">
        <f>VLOOKUP($J5,[1]!Table7[[PLAYER]:[WAR]],48, FALSE)</f>
        <v>5.5889513605328673</v>
      </c>
      <c r="P5" s="11">
        <f t="shared" si="1"/>
        <v>35.396691950041493</v>
      </c>
      <c r="Q5">
        <v>1</v>
      </c>
      <c r="U5" s="11">
        <f>(5.5/9)*$S$6 + (3.5/9)*$T$2</f>
        <v>5.9426553478172348</v>
      </c>
    </row>
    <row r="6" spans="1:21" x14ac:dyDescent="0.25">
      <c r="A6">
        <v>29</v>
      </c>
      <c r="B6" t="s">
        <v>146</v>
      </c>
      <c r="C6" t="s">
        <v>54</v>
      </c>
      <c r="D6" s="9">
        <v>44692</v>
      </c>
      <c r="E6">
        <v>185</v>
      </c>
      <c r="F6" t="s">
        <v>147</v>
      </c>
      <c r="G6" t="s">
        <v>26</v>
      </c>
      <c r="H6" t="s">
        <v>148</v>
      </c>
      <c r="J6" t="str">
        <f t="shared" si="0"/>
        <v>Hopman, Z</v>
      </c>
      <c r="L6">
        <f>VLOOKUP($J6,[1]!Table7[[PLAYER]:[WAR]],4, FALSE)</f>
        <v>10</v>
      </c>
      <c r="M6">
        <f>VLOOKUP($J6,[1]!Table7[[PLAYER]:[WAR]],5, FALSE)</f>
        <v>0</v>
      </c>
      <c r="N6">
        <f>VLOOKUP($J6,[1]!Table7[[PLAYER]:[WAR]],34, FALSE)</f>
        <v>10.666666666666664</v>
      </c>
      <c r="O6">
        <f>VLOOKUP($J6,[1]!Table7[[PLAYER]:[WAR]],48, FALSE)</f>
        <v>6.3021424621846744</v>
      </c>
      <c r="P6">
        <f t="shared" si="1"/>
        <v>7.4692058811077606</v>
      </c>
      <c r="R6" t="s">
        <v>441</v>
      </c>
      <c r="S6" s="11">
        <f>AVERAGE(S2:S4)</f>
        <v>5.5834489886872616</v>
      </c>
    </row>
    <row r="7" spans="1:21" x14ac:dyDescent="0.25">
      <c r="A7">
        <v>20</v>
      </c>
      <c r="B7" t="s">
        <v>149</v>
      </c>
      <c r="C7" t="s">
        <v>19</v>
      </c>
      <c r="D7" s="9">
        <v>44692</v>
      </c>
      <c r="E7">
        <v>185</v>
      </c>
      <c r="F7" t="s">
        <v>150</v>
      </c>
      <c r="G7" t="s">
        <v>51</v>
      </c>
      <c r="H7" t="s">
        <v>151</v>
      </c>
      <c r="J7" t="str">
        <f t="shared" si="0"/>
        <v>Horwedel, E</v>
      </c>
      <c r="L7">
        <f>VLOOKUP($J7,[1]!Table7[[PLAYER]:[WAR]],4, FALSE)</f>
        <v>22</v>
      </c>
      <c r="M7">
        <f>VLOOKUP($J7,[1]!Table7[[PLAYER]:[WAR]],5, FALSE)</f>
        <v>2</v>
      </c>
      <c r="N7">
        <f>VLOOKUP($J7,[1]!Table7[[PLAYER]:[WAR]],34, FALSE)</f>
        <v>39.333333333333336</v>
      </c>
      <c r="O7">
        <f>VLOOKUP($J7,[1]!Table7[[PLAYER]:[WAR]],48, FALSE)</f>
        <v>4.924644255993166</v>
      </c>
      <c r="P7">
        <f t="shared" si="1"/>
        <v>21.522519341007168</v>
      </c>
    </row>
    <row r="8" spans="1:21" x14ac:dyDescent="0.25">
      <c r="A8">
        <v>30</v>
      </c>
      <c r="B8" t="s">
        <v>152</v>
      </c>
      <c r="C8" t="s">
        <v>19</v>
      </c>
      <c r="D8" s="9">
        <v>36678</v>
      </c>
      <c r="E8">
        <v>203</v>
      </c>
      <c r="F8" t="s">
        <v>153</v>
      </c>
      <c r="G8" t="s">
        <v>39</v>
      </c>
      <c r="H8" t="s">
        <v>154</v>
      </c>
      <c r="J8" t="str">
        <f t="shared" si="0"/>
        <v>Hunter, C</v>
      </c>
      <c r="L8">
        <f>VLOOKUP($J8,[1]!Table7[[PLAYER]:[WAR]],4, FALSE)</f>
        <v>7</v>
      </c>
      <c r="M8">
        <f>VLOOKUP($J8,[1]!Table7[[PLAYER]:[WAR]],5, FALSE)</f>
        <v>1</v>
      </c>
      <c r="N8">
        <f>VLOOKUP($J8,[1]!Table7[[PLAYER]:[WAR]],34, FALSE)</f>
        <v>12.666666666666664</v>
      </c>
      <c r="O8">
        <f>VLOOKUP($J8,[1]!Table7[[PLAYER]:[WAR]],48, FALSE)</f>
        <v>7.7392109038927561</v>
      </c>
      <c r="P8">
        <f t="shared" si="1"/>
        <v>10.892222753626841</v>
      </c>
    </row>
    <row r="9" spans="1:21" x14ac:dyDescent="0.25">
      <c r="A9">
        <v>37</v>
      </c>
      <c r="B9" t="s">
        <v>155</v>
      </c>
      <c r="C9" t="s">
        <v>42</v>
      </c>
      <c r="D9" s="9">
        <v>44717</v>
      </c>
      <c r="E9">
        <v>205</v>
      </c>
      <c r="F9" t="s">
        <v>156</v>
      </c>
      <c r="G9" t="s">
        <v>56</v>
      </c>
      <c r="H9" t="s">
        <v>157</v>
      </c>
      <c r="J9" t="str">
        <f t="shared" si="0"/>
        <v>Johnson, T</v>
      </c>
      <c r="L9">
        <f>VLOOKUP($J9,[1]!Table7[[PLAYER]:[WAR]],4, FALSE)</f>
        <v>23</v>
      </c>
      <c r="M9">
        <f>VLOOKUP($J9,[1]!Table7[[PLAYER]:[WAR]],5, FALSE)</f>
        <v>1</v>
      </c>
      <c r="N9">
        <f>VLOOKUP($J9,[1]!Table7[[PLAYER]:[WAR]],34, FALSE)</f>
        <v>34.333333333333336</v>
      </c>
      <c r="O9">
        <f>VLOOKUP($J9,[1]!Table7[[PLAYER]:[WAR]],48, FALSE)</f>
        <v>4.1708781797727674</v>
      </c>
      <c r="P9">
        <f t="shared" si="1"/>
        <v>15.911127870985002</v>
      </c>
    </row>
    <row r="10" spans="1:21" x14ac:dyDescent="0.25">
      <c r="A10" s="11">
        <v>23</v>
      </c>
      <c r="B10" s="11" t="s">
        <v>158</v>
      </c>
      <c r="C10" s="11" t="s">
        <v>19</v>
      </c>
      <c r="D10" s="12">
        <v>44717</v>
      </c>
      <c r="E10" s="11">
        <v>220</v>
      </c>
      <c r="F10" s="11" t="s">
        <v>159</v>
      </c>
      <c r="G10" s="11" t="s">
        <v>39</v>
      </c>
      <c r="H10" s="11" t="s">
        <v>160</v>
      </c>
      <c r="I10" s="11"/>
      <c r="J10" s="11" t="str">
        <f t="shared" si="0"/>
        <v>Knapp, T</v>
      </c>
      <c r="K10" s="11"/>
      <c r="L10" s="11">
        <f>VLOOKUP($J10,[1]!Table7[[PLAYER]:[WAR]],4, FALSE)</f>
        <v>12</v>
      </c>
      <c r="M10" s="11">
        <f>VLOOKUP($J10,[1]!Table7[[PLAYER]:[WAR]],5, FALSE)</f>
        <v>11</v>
      </c>
      <c r="N10" s="11">
        <f>VLOOKUP($J10,[1]!Table7[[PLAYER]:[WAR]],34, FALSE)</f>
        <v>54</v>
      </c>
      <c r="O10" s="11">
        <f>VLOOKUP($J10,[1]!Table7[[PLAYER]:[WAR]],48, FALSE)</f>
        <v>5.6917536814916865</v>
      </c>
      <c r="P10" s="11">
        <f t="shared" si="1"/>
        <v>34.150522088950119</v>
      </c>
      <c r="Q10">
        <v>2</v>
      </c>
    </row>
    <row r="11" spans="1:21" x14ac:dyDescent="0.25">
      <c r="A11" s="11">
        <v>17</v>
      </c>
      <c r="B11" s="11" t="s">
        <v>161</v>
      </c>
      <c r="C11" s="11" t="s">
        <v>19</v>
      </c>
      <c r="D11" s="12">
        <v>44714</v>
      </c>
      <c r="E11" s="11">
        <v>210</v>
      </c>
      <c r="F11" s="11" t="s">
        <v>162</v>
      </c>
      <c r="G11" s="11" t="s">
        <v>69</v>
      </c>
      <c r="H11" s="11" t="s">
        <v>163</v>
      </c>
      <c r="I11" s="11"/>
      <c r="J11" s="11" t="str">
        <f t="shared" si="0"/>
        <v>Meeks, M</v>
      </c>
      <c r="K11" s="11"/>
      <c r="L11" s="11">
        <f>VLOOKUP($J11,[1]!Table7[[PLAYER]:[WAR]],4, FALSE)</f>
        <v>6</v>
      </c>
      <c r="M11" s="11">
        <f>VLOOKUP($J11,[1]!Table7[[PLAYER]:[WAR]],5, FALSE)</f>
        <v>6</v>
      </c>
      <c r="N11" s="11">
        <f>VLOOKUP($J11,[1]!Table7[[PLAYER]:[WAR]],34, FALSE)</f>
        <v>33.333333333333336</v>
      </c>
      <c r="O11" s="11">
        <f>VLOOKUP($J11,[1]!Table7[[PLAYER]:[WAR]],48, FALSE)</f>
        <v>5.4696419240372309</v>
      </c>
      <c r="P11" s="11">
        <f t="shared" si="1"/>
        <v>20.257933051989745</v>
      </c>
      <c r="Q11">
        <v>3</v>
      </c>
    </row>
    <row r="12" spans="1:21" x14ac:dyDescent="0.25">
      <c r="A12">
        <v>8</v>
      </c>
      <c r="B12" t="s">
        <v>164</v>
      </c>
      <c r="C12" t="s">
        <v>19</v>
      </c>
      <c r="D12" s="9">
        <v>44715</v>
      </c>
      <c r="E12">
        <v>225</v>
      </c>
      <c r="F12" t="s">
        <v>165</v>
      </c>
      <c r="G12" t="s">
        <v>56</v>
      </c>
      <c r="H12" t="s">
        <v>166</v>
      </c>
      <c r="J12" t="str">
        <f t="shared" si="0"/>
        <v>Milliman, N</v>
      </c>
      <c r="L12">
        <f>VLOOKUP($J12,[1]!Table7[[PLAYER]:[WAR]],4, FALSE)</f>
        <v>7</v>
      </c>
      <c r="M12">
        <f>VLOOKUP($J12,[1]!Table7[[PLAYER]:[WAR]],5, FALSE)</f>
        <v>4</v>
      </c>
      <c r="N12">
        <f>VLOOKUP($J12,[1]!Table7[[PLAYER]:[WAR]],34, FALSE)</f>
        <v>24.333333333333339</v>
      </c>
      <c r="O12">
        <f>VLOOKUP($J12,[1]!Table7[[PLAYER]:[WAR]],48, FALSE)</f>
        <v>7.7199167314217041</v>
      </c>
      <c r="P12">
        <f t="shared" si="1"/>
        <v>20.872367459029057</v>
      </c>
    </row>
    <row r="13" spans="1:21" x14ac:dyDescent="0.25">
      <c r="A13">
        <v>25</v>
      </c>
      <c r="B13" t="s">
        <v>167</v>
      </c>
      <c r="C13" t="s">
        <v>54</v>
      </c>
      <c r="D13" s="9">
        <v>44715</v>
      </c>
      <c r="E13">
        <v>215</v>
      </c>
      <c r="F13" t="s">
        <v>168</v>
      </c>
      <c r="G13" t="s">
        <v>21</v>
      </c>
      <c r="H13" t="s">
        <v>169</v>
      </c>
      <c r="J13" t="str">
        <f t="shared" si="0"/>
        <v>Paymaster, J</v>
      </c>
      <c r="L13">
        <f>VLOOKUP($J13,[1]!Table7[[PLAYER]:[WAR]],4, FALSE)</f>
        <v>4</v>
      </c>
      <c r="M13">
        <f>VLOOKUP($J13,[1]!Table7[[PLAYER]:[WAR]],5, FALSE)</f>
        <v>0</v>
      </c>
      <c r="N13">
        <f>VLOOKUP($J13,[1]!Table7[[PLAYER]:[WAR]],34, FALSE)</f>
        <v>5.3333333333333321</v>
      </c>
      <c r="O13">
        <f>VLOOKUP($J13,[1]!Table7[[PLAYER]:[WAR]],48, FALSE)</f>
        <v>10.539984568138856</v>
      </c>
      <c r="P13">
        <f t="shared" si="1"/>
        <v>6.2459167811193206</v>
      </c>
    </row>
    <row r="14" spans="1:21" x14ac:dyDescent="0.25">
      <c r="A14">
        <v>1</v>
      </c>
      <c r="B14" t="s">
        <v>170</v>
      </c>
      <c r="C14" t="s">
        <v>54</v>
      </c>
      <c r="D14" s="9">
        <v>44691</v>
      </c>
      <c r="E14">
        <v>185</v>
      </c>
      <c r="F14" t="s">
        <v>171</v>
      </c>
      <c r="G14" t="s">
        <v>47</v>
      </c>
      <c r="H14" t="s">
        <v>172</v>
      </c>
      <c r="J14" t="str">
        <f t="shared" si="0"/>
        <v>Salley, K</v>
      </c>
      <c r="L14">
        <f>VLOOKUP($J14,[1]!Table7[[PLAYER]:[WAR]],4, FALSE)</f>
        <v>12</v>
      </c>
      <c r="M14">
        <f>VLOOKUP($J14,[1]!Table7[[PLAYER]:[WAR]],5, FALSE)</f>
        <v>4</v>
      </c>
      <c r="N14">
        <f>VLOOKUP($J14,[1]!Table7[[PLAYER]:[WAR]],34, FALSE)</f>
        <v>24</v>
      </c>
      <c r="O14">
        <f>VLOOKUP($J14,[1]!Table7[[PLAYER]:[WAR]],48, FALSE)</f>
        <v>10.770188336857354</v>
      </c>
      <c r="P14">
        <f t="shared" si="1"/>
        <v>28.720502231619609</v>
      </c>
    </row>
    <row r="15" spans="1:21" x14ac:dyDescent="0.25">
      <c r="D15" s="9"/>
    </row>
    <row r="16" spans="1:21" x14ac:dyDescent="0.25">
      <c r="A16">
        <v>24</v>
      </c>
      <c r="B16" t="s">
        <v>173</v>
      </c>
      <c r="C16" t="s">
        <v>54</v>
      </c>
      <c r="D16" s="9">
        <v>44714</v>
      </c>
      <c r="E16">
        <v>205</v>
      </c>
      <c r="F16" t="s">
        <v>55</v>
      </c>
      <c r="G16" t="s">
        <v>174</v>
      </c>
      <c r="H16" t="s">
        <v>175</v>
      </c>
      <c r="J16" t="str">
        <f t="shared" si="0"/>
        <v>Vainavicz, S</v>
      </c>
      <c r="L16">
        <f>VLOOKUP($J16,[1]!Table7[[PLAYER]:[WAR]],4, FALSE)</f>
        <v>3</v>
      </c>
      <c r="M16">
        <f>VLOOKUP($J16,[1]!Table7[[PLAYER]:[WAR]],5, FALSE)</f>
        <v>1</v>
      </c>
      <c r="N16">
        <f>VLOOKUP($J16,[1]!Table7[[PLAYER]:[WAR]],34, FALSE)</f>
        <v>4</v>
      </c>
      <c r="O16">
        <f>VLOOKUP($J16,[1]!Table7[[PLAYER]:[WAR]],48, FALSE)</f>
        <v>5.8312711170786553</v>
      </c>
      <c r="P16">
        <f t="shared" si="1"/>
        <v>2.5916760520349578</v>
      </c>
    </row>
    <row r="17" spans="1:18" x14ac:dyDescent="0.25">
      <c r="A17">
        <v>17</v>
      </c>
      <c r="B17" t="s">
        <v>176</v>
      </c>
      <c r="C17" t="s">
        <v>19</v>
      </c>
      <c r="D17" s="9">
        <v>44690</v>
      </c>
      <c r="E17">
        <v>175</v>
      </c>
      <c r="F17" t="s">
        <v>177</v>
      </c>
      <c r="G17" t="s">
        <v>69</v>
      </c>
      <c r="H17" t="s">
        <v>178</v>
      </c>
      <c r="J17" t="str">
        <f t="shared" si="0"/>
        <v>Ware, B</v>
      </c>
      <c r="L17">
        <f>VLOOKUP($J17,[1]!Table7[[PLAYER]:[WAR]],4, FALSE)</f>
        <v>7</v>
      </c>
      <c r="M17">
        <f>VLOOKUP($J17,[1]!Table7[[PLAYER]:[WAR]],5, FALSE)</f>
        <v>2</v>
      </c>
      <c r="N17">
        <f>VLOOKUP($J17,[1]!Table7[[PLAYER]:[WAR]],34, FALSE)</f>
        <v>19.666666666666664</v>
      </c>
      <c r="O17">
        <f>VLOOKUP($J17,[1]!Table7[[PLAYER]:[WAR]],48, FALSE)</f>
        <v>6.099428357681405</v>
      </c>
      <c r="P17">
        <f t="shared" si="1"/>
        <v>13.328380485303811</v>
      </c>
    </row>
    <row r="18" spans="1:18" x14ac:dyDescent="0.25">
      <c r="A18">
        <v>26</v>
      </c>
      <c r="B18" t="s">
        <v>179</v>
      </c>
      <c r="C18" t="s">
        <v>54</v>
      </c>
      <c r="D18" s="9">
        <v>44716</v>
      </c>
      <c r="E18">
        <v>215</v>
      </c>
      <c r="F18" t="s">
        <v>180</v>
      </c>
      <c r="G18" t="s">
        <v>51</v>
      </c>
      <c r="H18" t="s">
        <v>181</v>
      </c>
      <c r="J18" t="str">
        <f t="shared" si="0"/>
        <v>Waterhouse, Q</v>
      </c>
      <c r="L18">
        <f>VLOOKUP($J18,[1]!Table7[[PLAYER]:[WAR]],4, FALSE)</f>
        <v>16</v>
      </c>
      <c r="M18">
        <f>VLOOKUP($J18,[1]!Table7[[PLAYER]:[WAR]],5, FALSE)</f>
        <v>0</v>
      </c>
      <c r="N18">
        <f>VLOOKUP($J18,[1]!Table7[[PLAYER]:[WAR]],34, FALSE)</f>
        <v>23.666666666666664</v>
      </c>
      <c r="O18">
        <f>VLOOKUP($J18,[1]!Table7[[PLAYER]:[WAR]],48, FALSE)</f>
        <v>6.1814402300589064</v>
      </c>
      <c r="P18">
        <f t="shared" si="1"/>
        <v>16.254898382747491</v>
      </c>
    </row>
    <row r="19" spans="1:18" x14ac:dyDescent="0.25">
      <c r="D19" s="9"/>
    </row>
    <row r="31" spans="1:18" x14ac:dyDescent="0.25">
      <c r="A31" t="s">
        <v>117</v>
      </c>
      <c r="B31">
        <f>COUNTIF(K33:K45, "&gt;= 7")</f>
        <v>7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7</v>
      </c>
      <c r="B33" t="s">
        <v>182</v>
      </c>
      <c r="C33" t="s">
        <v>19</v>
      </c>
      <c r="D33" s="9">
        <v>44691</v>
      </c>
      <c r="E33">
        <v>165</v>
      </c>
      <c r="F33" t="s">
        <v>183</v>
      </c>
      <c r="G33" t="s">
        <v>26</v>
      </c>
      <c r="H33" t="s">
        <v>184</v>
      </c>
      <c r="J33" t="str">
        <f t="shared" ref="J33:J41" si="3">LEFT(B33,(FIND(",",B33,1)+1)) &amp; LEFT(RIGHT(B33,LEN(B33)-(FIND(",",B33)+1)),1)</f>
        <v>Andrews, G</v>
      </c>
      <c r="K33">
        <v>10</v>
      </c>
      <c r="L33">
        <f>VLOOKUP(J33,[1]!Table6[[PLAYER]:[XBH]],26,FALSE)</f>
        <v>47</v>
      </c>
      <c r="M33">
        <f>VLOOKUP(J33,[1]!Table6[[PLAYER]:[XBH]],45,FALSE)</f>
        <v>2.9758404333901285</v>
      </c>
      <c r="N33">
        <f>(M33/L33) * VLOOKUP(K33,LineupPA!$A$1:$B$10,2,FALSE)</f>
        <v>0</v>
      </c>
      <c r="O33">
        <f>IF(K33&lt;7, N33, (M33/L33)*(LineupPA!$C$10 * (3/$B$31)))</f>
        <v>0.11841993941100024</v>
      </c>
      <c r="P33" s="13"/>
      <c r="Q33">
        <f>SUM(N33:N45)</f>
        <v>0.17319677474565798</v>
      </c>
      <c r="R33">
        <f>SUM(O33:O45)</f>
        <v>0.95200062013542064</v>
      </c>
    </row>
    <row r="34" spans="1:18" x14ac:dyDescent="0.25">
      <c r="A34">
        <v>27</v>
      </c>
      <c r="B34" t="s">
        <v>185</v>
      </c>
      <c r="C34" t="s">
        <v>42</v>
      </c>
      <c r="D34" s="10">
        <v>44716</v>
      </c>
      <c r="E34">
        <v>240</v>
      </c>
      <c r="F34" t="s">
        <v>186</v>
      </c>
      <c r="G34" t="s">
        <v>56</v>
      </c>
      <c r="H34" t="s">
        <v>187</v>
      </c>
      <c r="J34" t="str">
        <f t="shared" si="3"/>
        <v>Calarco, A</v>
      </c>
      <c r="K34">
        <v>5</v>
      </c>
      <c r="L34">
        <f>VLOOKUP(J34,[1]!Table6[[PLAYER]:[XBH]],26,FALSE)</f>
        <v>137</v>
      </c>
      <c r="M34">
        <f>VLOOKUP(J34,[1]!Table6[[PLAYER]:[XBH]],45,FALSE)</f>
        <v>4.6795455475761418</v>
      </c>
      <c r="N34">
        <f>(M34/L34) * VLOOKUP(K34,LineupPA!$A$1:$B$10,2,FALSE)</f>
        <v>0.15674944615118119</v>
      </c>
      <c r="O34">
        <f>IF(K34&lt;7, N34, (M34/L34)*(LineupPA!$C$10 * (3/$B$31)))</f>
        <v>0.15674944615118119</v>
      </c>
      <c r="P34" s="13"/>
    </row>
    <row r="35" spans="1:18" x14ac:dyDescent="0.25">
      <c r="A35">
        <v>10</v>
      </c>
      <c r="B35" t="s">
        <v>188</v>
      </c>
      <c r="C35" t="s">
        <v>24</v>
      </c>
      <c r="D35" s="9">
        <v>44717</v>
      </c>
      <c r="E35">
        <v>205</v>
      </c>
      <c r="F35" t="s">
        <v>189</v>
      </c>
      <c r="G35" t="s">
        <v>56</v>
      </c>
      <c r="H35" t="s">
        <v>190</v>
      </c>
      <c r="J35" t="str">
        <f t="shared" si="3"/>
        <v>Taggart, C</v>
      </c>
      <c r="K35">
        <v>6</v>
      </c>
      <c r="L35">
        <f>VLOOKUP(J35,[1]!Table6[[PLAYER]:[XBH]],26,FALSE)</f>
        <v>112</v>
      </c>
      <c r="M35">
        <f>VLOOKUP(J35,[1]!Table6[[PLAYER]:[XBH]],45,FALSE)</f>
        <v>6.6715244963160654</v>
      </c>
      <c r="N35">
        <f>(M35/L35) * VLOOKUP(K35,LineupPA!$A$1:$B$10,2,FALSE)</f>
        <v>0.26888931406920541</v>
      </c>
      <c r="O35">
        <f>IF(K35&lt;7, N35, (M35/L35)*(LineupPA!$C$10 * (3/$B$31)))</f>
        <v>0.26888931406920541</v>
      </c>
      <c r="P35" s="13"/>
    </row>
    <row r="36" spans="1:18" x14ac:dyDescent="0.25">
      <c r="A36">
        <v>4</v>
      </c>
      <c r="B36" t="s">
        <v>191</v>
      </c>
      <c r="C36" t="s">
        <v>42</v>
      </c>
      <c r="D36" s="10">
        <v>44691</v>
      </c>
      <c r="E36">
        <v>180</v>
      </c>
      <c r="F36" t="s">
        <v>186</v>
      </c>
      <c r="G36" t="s">
        <v>26</v>
      </c>
      <c r="H36" t="s">
        <v>192</v>
      </c>
      <c r="J36" t="str">
        <f t="shared" si="3"/>
        <v>Bianchina, V</v>
      </c>
      <c r="K36">
        <v>2</v>
      </c>
      <c r="L36">
        <f>VLOOKUP(J36,[1]!Table6[[PLAYER]:[XBH]],26,FALSE)</f>
        <v>48</v>
      </c>
      <c r="M36">
        <f>VLOOKUP(J36,[1]!Table6[[PLAYER]:[XBH]],45,FALSE)</f>
        <v>-1.36429321034226</v>
      </c>
      <c r="N36">
        <f>(M36/L36) * VLOOKUP(K36,LineupPA!$A$1:$B$10,2,FALSE)</f>
        <v>-0.13682869520714802</v>
      </c>
      <c r="O36">
        <f>IF(K36&lt;7, N36, (M36/L36)*(LineupPA!$C$10 * (3/$B$31)))</f>
        <v>-0.13682869520714802</v>
      </c>
      <c r="P36" s="13"/>
    </row>
    <row r="37" spans="1:18" x14ac:dyDescent="0.25">
      <c r="A37">
        <v>16</v>
      </c>
      <c r="B37" t="s">
        <v>193</v>
      </c>
      <c r="C37" t="s">
        <v>19</v>
      </c>
      <c r="D37" s="9">
        <v>44692</v>
      </c>
      <c r="E37">
        <v>170</v>
      </c>
      <c r="F37" t="s">
        <v>144</v>
      </c>
      <c r="G37" t="s">
        <v>26</v>
      </c>
      <c r="H37" t="s">
        <v>194</v>
      </c>
      <c r="J37" t="str">
        <f t="shared" si="3"/>
        <v>Moore, B</v>
      </c>
      <c r="K37">
        <v>10</v>
      </c>
      <c r="L37">
        <f>VLOOKUP(J37,[1]!Table6[[PLAYER]:[XBH]],26,FALSE)</f>
        <v>165</v>
      </c>
      <c r="M37">
        <f>VLOOKUP(J37,[1]!Table6[[PLAYER]:[XBH]],45,FALSE)</f>
        <v>1.987648328846904</v>
      </c>
      <c r="N37">
        <f>(M37/L37) * VLOOKUP(K37,LineupPA!$A$1:$B$10,2,FALSE)</f>
        <v>0</v>
      </c>
      <c r="O37">
        <f>IF(K37&lt;7, N37, (M37/L37)*(LineupPA!$C$10 * (3/$B$31)))</f>
        <v>2.2530387220374773E-2</v>
      </c>
      <c r="P37" s="13"/>
    </row>
    <row r="38" spans="1:18" x14ac:dyDescent="0.25">
      <c r="A38">
        <v>6</v>
      </c>
      <c r="B38" t="s">
        <v>195</v>
      </c>
      <c r="C38" t="s">
        <v>19</v>
      </c>
      <c r="D38" s="9">
        <v>44692</v>
      </c>
      <c r="E38">
        <v>170</v>
      </c>
      <c r="F38" t="s">
        <v>196</v>
      </c>
      <c r="G38" t="s">
        <v>26</v>
      </c>
      <c r="H38" t="s">
        <v>197</v>
      </c>
      <c r="J38" t="str">
        <f t="shared" si="3"/>
        <v>Schuman, C</v>
      </c>
      <c r="K38">
        <v>8</v>
      </c>
      <c r="L38">
        <f>VLOOKUP(J38,[1]!Table6[[PLAYER]:[XBH]],26,FALSE)</f>
        <v>126</v>
      </c>
      <c r="M38">
        <f>VLOOKUP(J38,[1]!Table6[[PLAYER]:[XBH]],45,FALSE)</f>
        <v>-2.7477653134389923</v>
      </c>
      <c r="N38">
        <f>(M38/L38) * VLOOKUP(K38,LineupPA!$A$1:$B$10,2,FALSE)</f>
        <v>-9.5169750163236602E-2</v>
      </c>
      <c r="O38">
        <f>IF(K38&lt;7, N38, (M38/L38)*(LineupPA!$C$10 * (3/$B$31)))</f>
        <v>-4.0787035784244252E-2</v>
      </c>
      <c r="P38" s="13"/>
    </row>
    <row r="39" spans="1:18" x14ac:dyDescent="0.25">
      <c r="A39">
        <v>5</v>
      </c>
      <c r="B39" t="s">
        <v>198</v>
      </c>
      <c r="C39" t="s">
        <v>19</v>
      </c>
      <c r="D39" s="9">
        <v>44689</v>
      </c>
      <c r="E39">
        <v>170</v>
      </c>
      <c r="F39" t="s">
        <v>199</v>
      </c>
      <c r="G39" t="s">
        <v>174</v>
      </c>
      <c r="H39" t="s">
        <v>200</v>
      </c>
      <c r="J39" t="str">
        <f t="shared" si="3"/>
        <v>Spradlin, Z</v>
      </c>
      <c r="K39">
        <v>9</v>
      </c>
      <c r="L39">
        <f>VLOOKUP(J39,[1]!Table6[[PLAYER]:[XBH]],26,FALSE)</f>
        <v>47</v>
      </c>
      <c r="M39">
        <f>VLOOKUP(J39,[1]!Table6[[PLAYER]:[XBH]],45,FALSE)</f>
        <v>0.22656823686761193</v>
      </c>
      <c r="N39">
        <f>(M39/L39) * VLOOKUP(K39,LineupPA!$A$1:$B$10,2,FALSE)</f>
        <v>2.0675803591645052E-2</v>
      </c>
      <c r="O39">
        <f>IF(K39&lt;7, N39, (M39/L39)*(LineupPA!$C$10 * (3/$B$31)))</f>
        <v>9.0160065644898629E-3</v>
      </c>
      <c r="P39" s="13"/>
    </row>
    <row r="40" spans="1:18" x14ac:dyDescent="0.25">
      <c r="A40">
        <v>13</v>
      </c>
      <c r="B40" t="s">
        <v>201</v>
      </c>
      <c r="C40" t="s">
        <v>24</v>
      </c>
      <c r="D40" s="9">
        <v>44692</v>
      </c>
      <c r="E40">
        <v>180</v>
      </c>
      <c r="F40" t="s">
        <v>202</v>
      </c>
      <c r="G40" t="s">
        <v>56</v>
      </c>
      <c r="H40" t="s">
        <v>203</v>
      </c>
      <c r="J40" t="str">
        <f t="shared" si="3"/>
        <v>Stephan, A</v>
      </c>
      <c r="K40">
        <v>3</v>
      </c>
      <c r="L40">
        <f>VLOOKUP(J40,[1]!Table6[[PLAYER]:[XBH]],26,FALSE)</f>
        <v>267</v>
      </c>
      <c r="M40">
        <f>VLOOKUP(J40,[1]!Table6[[PLAYER]:[XBH]],45,FALSE)</f>
        <v>23.909819472551433</v>
      </c>
      <c r="N40">
        <f>(M40/L40) * VLOOKUP(K40,LineupPA!$A$1:$B$10,2,FALSE)</f>
        <v>0.42438149335308062</v>
      </c>
      <c r="O40">
        <f>IF(K40&lt;7, N40, (M40/L40)*(LineupPA!$C$10 * (3/$B$31)))</f>
        <v>0.42438149335308062</v>
      </c>
      <c r="P40" s="13"/>
    </row>
    <row r="41" spans="1:18" x14ac:dyDescent="0.25">
      <c r="A41">
        <v>11</v>
      </c>
      <c r="B41" t="s">
        <v>204</v>
      </c>
      <c r="C41" t="s">
        <v>19</v>
      </c>
      <c r="D41" s="9">
        <v>44714</v>
      </c>
      <c r="E41">
        <v>220</v>
      </c>
      <c r="F41" t="s">
        <v>205</v>
      </c>
      <c r="G41" t="s">
        <v>26</v>
      </c>
      <c r="H41" t="s">
        <v>206</v>
      </c>
      <c r="J41" t="str">
        <f t="shared" si="3"/>
        <v>Terry, R</v>
      </c>
      <c r="K41">
        <v>10</v>
      </c>
      <c r="L41">
        <f>VLOOKUP(J41,[1]!Table6[[PLAYER]:[XBH]],26,FALSE)</f>
        <v>30</v>
      </c>
      <c r="M41">
        <f>VLOOKUP(J41,[1]!Table6[[PLAYER]:[XBH]],45,FALSE)</f>
        <v>1.4711168241294104</v>
      </c>
      <c r="N41">
        <f>(M41/L41) * VLOOKUP(K41,LineupPA!$A$1:$B$10,2,FALSE)</f>
        <v>0</v>
      </c>
      <c r="O41">
        <f>IF(K41&lt;7, N41, (M41/L41)*(LineupPA!$C$10 * (3/$B$31)))</f>
        <v>9.1714702078609447E-2</v>
      </c>
      <c r="P41" s="13"/>
    </row>
    <row r="42" spans="1:18" x14ac:dyDescent="0.25">
      <c r="A42">
        <v>32</v>
      </c>
      <c r="B42" t="s">
        <v>207</v>
      </c>
      <c r="C42" t="s">
        <v>42</v>
      </c>
      <c r="D42" s="9">
        <v>44713</v>
      </c>
      <c r="E42">
        <v>180</v>
      </c>
      <c r="F42" t="s">
        <v>65</v>
      </c>
      <c r="G42" t="s">
        <v>39</v>
      </c>
      <c r="H42" t="s">
        <v>175</v>
      </c>
      <c r="J42" t="str">
        <f t="shared" ref="J42:J45" si="4">LEFT(B42,(FIND(",",B42,1)+1)) &amp; LEFT(RIGHT(B42,LEN(B42)-(FIND(",",B42)+1)),1)</f>
        <v>Beale, M</v>
      </c>
      <c r="K42">
        <v>7</v>
      </c>
      <c r="L42">
        <f>VLOOKUP(J42,[1]!Table6[[PLAYER]:[XBH]],26,FALSE)</f>
        <v>65</v>
      </c>
      <c r="M42">
        <f>VLOOKUP(J42,[1]!Table6[[PLAYER]:[XBH]],45,FALSE)</f>
        <v>-4.0705763521798897</v>
      </c>
      <c r="N42">
        <f>(M42/L42) * VLOOKUP(K42,LineupPA!$A$1:$B$10,2,FALSE)</f>
        <v>-0.27799225925241733</v>
      </c>
      <c r="O42">
        <f>IF(K42&lt;7, N42, (M42/L42)*(LineupPA!$C$10 * (3/$B$31)))</f>
        <v>-0.11712661730765035</v>
      </c>
      <c r="P42" s="13"/>
    </row>
    <row r="43" spans="1:18" x14ac:dyDescent="0.25">
      <c r="A43">
        <v>14</v>
      </c>
      <c r="B43" t="s">
        <v>208</v>
      </c>
      <c r="C43" t="s">
        <v>24</v>
      </c>
      <c r="D43" s="10">
        <v>36678</v>
      </c>
      <c r="E43">
        <v>210</v>
      </c>
      <c r="F43" t="s">
        <v>209</v>
      </c>
      <c r="G43" t="s">
        <v>26</v>
      </c>
      <c r="H43" t="s">
        <v>137</v>
      </c>
      <c r="J43" t="str">
        <f t="shared" si="4"/>
        <v>Dykstra, R</v>
      </c>
      <c r="K43">
        <v>1</v>
      </c>
      <c r="L43">
        <f>VLOOKUP(J43,[1]!Table6[[PLAYER]:[XBH]],26,FALSE)</f>
        <v>323</v>
      </c>
      <c r="M43">
        <f>VLOOKUP(J43,[1]!Table6[[PLAYER]:[XBH]],45,FALSE)</f>
        <v>26.256460805006785</v>
      </c>
      <c r="N43">
        <f>(M43/L43) * VLOOKUP(K43,LineupPA!$A$1:$B$10,2,FALSE)</f>
        <v>0.39742780580390069</v>
      </c>
      <c r="O43">
        <f>IF(K43&lt;7, N43, (M43/L43)*(LineupPA!$C$10 * (3/$B$31)))</f>
        <v>0.39742780580390069</v>
      </c>
    </row>
    <row r="44" spans="1:18" x14ac:dyDescent="0.25">
      <c r="A44">
        <v>31</v>
      </c>
      <c r="B44" t="s">
        <v>210</v>
      </c>
      <c r="C44" t="s">
        <v>19</v>
      </c>
      <c r="D44" s="10">
        <v>36678</v>
      </c>
      <c r="E44">
        <v>185</v>
      </c>
      <c r="F44" t="s">
        <v>211</v>
      </c>
      <c r="G44" t="s">
        <v>21</v>
      </c>
      <c r="H44" t="s">
        <v>212</v>
      </c>
      <c r="J44" t="str">
        <f t="shared" si="4"/>
        <v>Tolley, B</v>
      </c>
      <c r="K44">
        <v>4</v>
      </c>
      <c r="L44">
        <f>VLOOKUP(J44,[1]!Table6[[PLAYER]:[XBH]],26,FALSE)</f>
        <v>127</v>
      </c>
      <c r="M44">
        <f>VLOOKUP(J44,[1]!Table6[[PLAYER]:[XBH]],45,FALSE)</f>
        <v>-0.1833970903909995</v>
      </c>
      <c r="N44">
        <f>(M44/L44) * VLOOKUP(K44,LineupPA!$A$1:$B$10,2,FALSE)</f>
        <v>-6.7352237794561847E-3</v>
      </c>
      <c r="O44">
        <f>IF(K44&lt;7, N44, (M44/L44)*(LineupPA!$C$10 * (3/$B$31)))</f>
        <v>-6.7352237794561847E-3</v>
      </c>
    </row>
    <row r="45" spans="1:18" x14ac:dyDescent="0.25">
      <c r="A45">
        <v>9</v>
      </c>
      <c r="B45" t="s">
        <v>213</v>
      </c>
      <c r="C45" t="s">
        <v>19</v>
      </c>
      <c r="D45" s="10">
        <v>36678</v>
      </c>
      <c r="E45">
        <v>185</v>
      </c>
      <c r="F45" t="s">
        <v>147</v>
      </c>
      <c r="G45" t="s">
        <v>51</v>
      </c>
      <c r="H45" t="s">
        <v>214</v>
      </c>
      <c r="J45" t="str">
        <f t="shared" si="4"/>
        <v>Ziegler, G</v>
      </c>
      <c r="K45">
        <v>10</v>
      </c>
      <c r="L45">
        <f>VLOOKUP(J45,[1]!Table6[[PLAYER]:[XBH]],26,FALSE)</f>
        <v>48</v>
      </c>
      <c r="M45">
        <f>VLOOKUP(J45,[1]!Table6[[PLAYER]:[XBH]],45,FALSE)</f>
        <v>-6.0477982149570249</v>
      </c>
      <c r="N45">
        <f>(M45/L45) * [1]Coef!$K$15</f>
        <v>-0.57820115982109677</v>
      </c>
      <c r="O45">
        <f>IF(K45&lt;7, N45, (M45/L45)*(LineupPA!$C$10 * (3/$B$31)))</f>
        <v>-0.23565090243792244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A42F-3A92-46D9-81F4-381399FBCD9B}">
  <dimension ref="A1:U46"/>
  <sheetViews>
    <sheetView workbookViewId="0">
      <selection activeCell="T3" sqref="T3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31</v>
      </c>
      <c r="B2" t="s">
        <v>215</v>
      </c>
      <c r="C2" t="s">
        <v>54</v>
      </c>
      <c r="D2" s="9">
        <v>44715</v>
      </c>
      <c r="E2">
        <v>185</v>
      </c>
      <c r="F2" t="s">
        <v>216</v>
      </c>
      <c r="G2" t="s">
        <v>56</v>
      </c>
      <c r="H2" t="s">
        <v>217</v>
      </c>
      <c r="J2" t="str">
        <f>LEFT(B2,(FIND(",",B2,1)+1)) &amp; LEFT(RIGHT(B2,LEN(B2)-(FIND(",",B2)+1)),1)</f>
        <v>Ackermann, D</v>
      </c>
      <c r="L2">
        <f>VLOOKUP($J2,[1]!Table7[[PLAYER]:[WAR]],4, FALSE)</f>
        <v>2</v>
      </c>
      <c r="M2">
        <f>VLOOKUP($J2,[1]!Table7[[PLAYER]:[WAR]],5, FALSE)</f>
        <v>0</v>
      </c>
      <c r="N2">
        <f>VLOOKUP($J2,[1]!Table7[[PLAYER]:[WAR]],34, FALSE)</f>
        <v>5</v>
      </c>
      <c r="O2">
        <f>VLOOKUP($J2,[1]!Table7[[PLAYER]:[WAR]],48, FALSE)</f>
        <v>17.041895022459201</v>
      </c>
      <c r="P2">
        <f>O2 * (N2/9)</f>
        <v>9.4677194569217793</v>
      </c>
      <c r="R2">
        <v>1</v>
      </c>
      <c r="S2">
        <f>SUMIF($Q$2:$Q$25,R2,$O$2:$O$25)</f>
        <v>4.9353643030465992</v>
      </c>
      <c r="T2" s="11">
        <f>(SUM(P2:P11,P14:P18) / SUM(N2:N11,N14:N18)) * 9</f>
        <v>6.1813194371199369</v>
      </c>
      <c r="U2" s="11">
        <f>(5.5/9)*$S$2 + (3.5/9)*$T$2</f>
        <v>5.4199024107417859</v>
      </c>
    </row>
    <row r="3" spans="1:21" x14ac:dyDescent="0.25">
      <c r="A3" s="11">
        <v>5</v>
      </c>
      <c r="B3" s="11" t="s">
        <v>218</v>
      </c>
      <c r="C3" s="11" t="s">
        <v>24</v>
      </c>
      <c r="D3" s="12">
        <v>44690</v>
      </c>
      <c r="E3" s="11">
        <v>180</v>
      </c>
      <c r="F3" s="11" t="s">
        <v>219</v>
      </c>
      <c r="G3" s="11" t="s">
        <v>47</v>
      </c>
      <c r="H3" s="11" t="s">
        <v>220</v>
      </c>
      <c r="I3" s="11"/>
      <c r="J3" s="11" t="str">
        <f t="shared" ref="J3:J19" si="0">LEFT(B3,(FIND(",",B3,1)+1)) &amp; LEFT(RIGHT(B3,LEN(B3)-(FIND(",",B3)+1)),1)</f>
        <v>Baumann, J</v>
      </c>
      <c r="K3" s="11"/>
      <c r="L3" s="11">
        <f>VLOOKUP($J3,[1]!Table7[[PLAYER]:[WAR]],4, FALSE)</f>
        <v>12</v>
      </c>
      <c r="M3" s="11">
        <f>VLOOKUP($J3,[1]!Table7[[PLAYER]:[WAR]],5, FALSE)</f>
        <v>4</v>
      </c>
      <c r="N3" s="11">
        <f>VLOOKUP($J3,[1]!Table7[[PLAYER]:[WAR]],34, FALSE)</f>
        <v>33</v>
      </c>
      <c r="O3" s="11">
        <f>VLOOKUP($J3,[1]!Table7[[PLAYER]:[WAR]],48, FALSE)</f>
        <v>5.7637681645899841</v>
      </c>
      <c r="P3" s="11">
        <f t="shared" ref="P3:P19" si="1">O3 * (N3/9)</f>
        <v>21.133816603496609</v>
      </c>
      <c r="R3">
        <v>2</v>
      </c>
      <c r="S3">
        <f t="shared" ref="S3:S4" si="2">SUMIF($Q$2:$Q$25,R3,$O$2:$O$25)</f>
        <v>4.7589185580104658</v>
      </c>
    </row>
    <row r="4" spans="1:21" x14ac:dyDescent="0.25">
      <c r="A4">
        <v>25</v>
      </c>
      <c r="B4" t="s">
        <v>221</v>
      </c>
      <c r="C4" t="s">
        <v>19</v>
      </c>
      <c r="D4" s="9">
        <v>44713</v>
      </c>
      <c r="E4">
        <v>200</v>
      </c>
      <c r="F4" t="s">
        <v>222</v>
      </c>
      <c r="G4" t="s">
        <v>21</v>
      </c>
      <c r="H4" t="s">
        <v>223</v>
      </c>
      <c r="J4" t="str">
        <f t="shared" si="0"/>
        <v>Bunselmeyer, K</v>
      </c>
      <c r="L4">
        <f>VLOOKUP($J4,[1]!Table7[[PLAYER]:[WAR]],4, FALSE)</f>
        <v>8</v>
      </c>
      <c r="M4">
        <f>VLOOKUP($J4,[1]!Table7[[PLAYER]:[WAR]],5, FALSE)</f>
        <v>1</v>
      </c>
      <c r="N4">
        <f>VLOOKUP($J4,[1]!Table7[[PLAYER]:[WAR]],34, FALSE)</f>
        <v>12.333333333333332</v>
      </c>
      <c r="O4">
        <f>VLOOKUP($J4,[1]!Table7[[PLAYER]:[WAR]],48, FALSE)</f>
        <v>5.4103371734681929</v>
      </c>
      <c r="P4">
        <f t="shared" si="1"/>
        <v>7.4141657562341896</v>
      </c>
      <c r="R4">
        <v>3</v>
      </c>
      <c r="S4">
        <f t="shared" si="2"/>
        <v>5.7631249938900275</v>
      </c>
      <c r="U4" t="s">
        <v>446</v>
      </c>
    </row>
    <row r="5" spans="1:21" x14ac:dyDescent="0.25">
      <c r="A5">
        <v>28</v>
      </c>
      <c r="B5" t="s">
        <v>224</v>
      </c>
      <c r="C5" t="s">
        <v>19</v>
      </c>
      <c r="D5" s="9">
        <v>44715</v>
      </c>
      <c r="E5">
        <v>200</v>
      </c>
      <c r="F5" t="s">
        <v>93</v>
      </c>
      <c r="G5" t="s">
        <v>56</v>
      </c>
      <c r="H5" t="s">
        <v>225</v>
      </c>
      <c r="J5" t="str">
        <f t="shared" si="0"/>
        <v>Conte, M</v>
      </c>
      <c r="L5">
        <f>VLOOKUP($J5,[1]!Table7[[PLAYER]:[WAR]],4, FALSE)</f>
        <v>14</v>
      </c>
      <c r="M5">
        <f>VLOOKUP($J5,[1]!Table7[[PLAYER]:[WAR]],5, FALSE)</f>
        <v>0</v>
      </c>
      <c r="N5">
        <f>VLOOKUP($J5,[1]!Table7[[PLAYER]:[WAR]],34, FALSE)</f>
        <v>26</v>
      </c>
      <c r="O5">
        <f>VLOOKUP($J5,[1]!Table7[[PLAYER]:[WAR]],48, FALSE)</f>
        <v>4.1843388241748505</v>
      </c>
      <c r="P5">
        <f t="shared" si="1"/>
        <v>12.088089936505124</v>
      </c>
      <c r="U5" s="11">
        <f>(5.5/9)*$S$6 + (3.5/9)*$T$2</f>
        <v>5.5525776774803095</v>
      </c>
    </row>
    <row r="6" spans="1:21" x14ac:dyDescent="0.25">
      <c r="A6">
        <v>3</v>
      </c>
      <c r="B6" t="s">
        <v>226</v>
      </c>
      <c r="C6" t="s">
        <v>19</v>
      </c>
      <c r="D6" s="9">
        <v>44713</v>
      </c>
      <c r="E6">
        <v>205</v>
      </c>
      <c r="F6" t="s">
        <v>227</v>
      </c>
      <c r="G6" t="s">
        <v>39</v>
      </c>
      <c r="H6" t="s">
        <v>228</v>
      </c>
      <c r="J6" t="str">
        <f t="shared" si="0"/>
        <v>Corn, A</v>
      </c>
      <c r="L6">
        <f>VLOOKUP($J6,[1]!Table7[[PLAYER]:[WAR]],4, FALSE)</f>
        <v>7</v>
      </c>
      <c r="M6">
        <f>VLOOKUP($J6,[1]!Table7[[PLAYER]:[WAR]],5, FALSE)</f>
        <v>0</v>
      </c>
      <c r="N6">
        <f>VLOOKUP($J6,[1]!Table7[[PLAYER]:[WAR]],34, FALSE)</f>
        <v>11</v>
      </c>
      <c r="O6">
        <f>VLOOKUP($J6,[1]!Table7[[PLAYER]:[WAR]],48, FALSE)</f>
        <v>6.2667276519556099</v>
      </c>
      <c r="P6">
        <f t="shared" si="1"/>
        <v>7.6593337968346349</v>
      </c>
      <c r="R6" t="s">
        <v>441</v>
      </c>
      <c r="S6" s="11">
        <f>AVERAGE(S2:S4)</f>
        <v>5.1524692849823639</v>
      </c>
    </row>
    <row r="7" spans="1:21" x14ac:dyDescent="0.25">
      <c r="A7">
        <v>6</v>
      </c>
      <c r="B7" t="s">
        <v>229</v>
      </c>
      <c r="C7" t="s">
        <v>24</v>
      </c>
      <c r="D7" s="9">
        <v>44713</v>
      </c>
      <c r="E7">
        <v>205</v>
      </c>
      <c r="F7" t="s">
        <v>230</v>
      </c>
      <c r="G7" t="s">
        <v>26</v>
      </c>
      <c r="H7" t="s">
        <v>231</v>
      </c>
      <c r="J7" t="str">
        <f t="shared" si="0"/>
        <v>Cox, T</v>
      </c>
      <c r="L7">
        <f>VLOOKUP($J7,[1]!Table7[[PLAYER]:[WAR]],4, FALSE)</f>
        <v>1</v>
      </c>
      <c r="M7">
        <f>VLOOKUP($J7,[1]!Table7[[PLAYER]:[WAR]],5, FALSE)</f>
        <v>0</v>
      </c>
      <c r="N7">
        <f>VLOOKUP($J7,[1]!Table7[[PLAYER]:[WAR]],34, FALSE)</f>
        <v>1</v>
      </c>
      <c r="O7">
        <f>VLOOKUP($J7,[1]!Table7[[PLAYER]:[WAR]],48, FALSE)</f>
        <v>2.9826980579800511</v>
      </c>
      <c r="P7">
        <f t="shared" si="1"/>
        <v>0.33141089533111678</v>
      </c>
    </row>
    <row r="8" spans="1:21" x14ac:dyDescent="0.25">
      <c r="A8">
        <v>23</v>
      </c>
      <c r="B8" t="s">
        <v>232</v>
      </c>
      <c r="C8" t="s">
        <v>19</v>
      </c>
      <c r="D8" s="9">
        <v>44713</v>
      </c>
      <c r="E8">
        <v>190</v>
      </c>
      <c r="F8" t="s">
        <v>233</v>
      </c>
      <c r="G8" t="s">
        <v>26</v>
      </c>
      <c r="H8" t="s">
        <v>234</v>
      </c>
      <c r="J8" t="str">
        <f t="shared" si="0"/>
        <v>Evers, A</v>
      </c>
      <c r="L8">
        <f>VLOOKUP($J8,[1]!Table7[[PLAYER]:[WAR]],4, FALSE)</f>
        <v>5</v>
      </c>
      <c r="M8">
        <f>VLOOKUP($J8,[1]!Table7[[PLAYER]:[WAR]],5, FALSE)</f>
        <v>0</v>
      </c>
      <c r="N8">
        <f>VLOOKUP($J8,[1]!Table7[[PLAYER]:[WAR]],34, FALSE)</f>
        <v>4.3333333333333321</v>
      </c>
      <c r="O8">
        <f>VLOOKUP($J8,[1]!Table7[[PLAYER]:[WAR]],48, FALSE)</f>
        <v>13.497054762184545</v>
      </c>
      <c r="P8">
        <f t="shared" si="1"/>
        <v>6.4985819225332975</v>
      </c>
    </row>
    <row r="9" spans="1:21" x14ac:dyDescent="0.25">
      <c r="A9">
        <v>43</v>
      </c>
      <c r="B9" t="s">
        <v>235</v>
      </c>
      <c r="C9" t="s">
        <v>19</v>
      </c>
      <c r="D9" s="9">
        <v>44715</v>
      </c>
      <c r="E9">
        <v>230</v>
      </c>
      <c r="F9" t="s">
        <v>236</v>
      </c>
      <c r="G9" t="s">
        <v>56</v>
      </c>
      <c r="H9" t="s">
        <v>237</v>
      </c>
      <c r="J9" t="str">
        <f t="shared" si="0"/>
        <v>Heninger, C</v>
      </c>
      <c r="L9">
        <f>VLOOKUP($J9,[1]!Table7[[PLAYER]:[WAR]],4, FALSE)</f>
        <v>16</v>
      </c>
      <c r="M9">
        <f>VLOOKUP($J9,[1]!Table7[[PLAYER]:[WAR]],5, FALSE)</f>
        <v>0</v>
      </c>
      <c r="N9">
        <f>VLOOKUP($J9,[1]!Table7[[PLAYER]:[WAR]],34, FALSE)</f>
        <v>28</v>
      </c>
      <c r="O9">
        <f>VLOOKUP($J9,[1]!Table7[[PLAYER]:[WAR]],48, FALSE)</f>
        <v>2.9129599777991029</v>
      </c>
      <c r="P9">
        <f t="shared" si="1"/>
        <v>9.0625421531527639</v>
      </c>
    </row>
    <row r="10" spans="1:21" x14ac:dyDescent="0.25">
      <c r="A10">
        <v>8</v>
      </c>
      <c r="B10" t="s">
        <v>238</v>
      </c>
      <c r="C10" t="s">
        <v>19</v>
      </c>
      <c r="D10" s="9">
        <v>36678</v>
      </c>
      <c r="E10">
        <v>200</v>
      </c>
      <c r="F10" t="s">
        <v>239</v>
      </c>
      <c r="G10" t="s">
        <v>26</v>
      </c>
      <c r="H10" t="s">
        <v>240</v>
      </c>
      <c r="J10" t="str">
        <f t="shared" si="0"/>
        <v>Lopez, A</v>
      </c>
      <c r="L10">
        <f>VLOOKUP($J10,[1]!Table7[[PLAYER]:[WAR]],4, FALSE)</f>
        <v>4</v>
      </c>
      <c r="M10">
        <f>VLOOKUP($J10,[1]!Table7[[PLAYER]:[WAR]],5, FALSE)</f>
        <v>1</v>
      </c>
      <c r="N10">
        <f>VLOOKUP($J10,[1]!Table7[[PLAYER]:[WAR]],34, FALSE)</f>
        <v>11.333333333333332</v>
      </c>
      <c r="O10">
        <f>VLOOKUP($J10,[1]!Table7[[PLAYER]:[WAR]],48, FALSE)</f>
        <v>6.7444521477406081</v>
      </c>
      <c r="P10">
        <f t="shared" si="1"/>
        <v>8.4930138156733577</v>
      </c>
    </row>
    <row r="11" spans="1:21" x14ac:dyDescent="0.25">
      <c r="A11">
        <v>33</v>
      </c>
      <c r="B11" t="s">
        <v>241</v>
      </c>
      <c r="C11" t="s">
        <v>54</v>
      </c>
      <c r="D11" s="9">
        <v>44713</v>
      </c>
      <c r="E11">
        <v>210</v>
      </c>
      <c r="F11" t="s">
        <v>242</v>
      </c>
      <c r="G11" t="s">
        <v>51</v>
      </c>
      <c r="H11" t="s">
        <v>243</v>
      </c>
      <c r="J11" t="str">
        <f t="shared" si="0"/>
        <v>Madej, N</v>
      </c>
      <c r="L11">
        <f>VLOOKUP($J11,[1]!Table7[[PLAYER]:[WAR]],4, FALSE)</f>
        <v>9</v>
      </c>
      <c r="M11">
        <f>VLOOKUP($J11,[1]!Table7[[PLAYER]:[WAR]],5, FALSE)</f>
        <v>6</v>
      </c>
      <c r="N11">
        <f>VLOOKUP($J11,[1]!Table7[[PLAYER]:[WAR]],34, FALSE)</f>
        <v>24</v>
      </c>
      <c r="O11">
        <f>VLOOKUP($J11,[1]!Table7[[PLAYER]:[WAR]],48, FALSE)</f>
        <v>8.2711691383686201</v>
      </c>
      <c r="P11">
        <f t="shared" si="1"/>
        <v>22.056451035649651</v>
      </c>
    </row>
    <row r="12" spans="1:21" x14ac:dyDescent="0.25">
      <c r="A12" s="11">
        <v>21</v>
      </c>
      <c r="B12" s="11" t="s">
        <v>244</v>
      </c>
      <c r="C12" s="11" t="s">
        <v>19</v>
      </c>
      <c r="D12" s="12">
        <v>44715</v>
      </c>
      <c r="E12" s="11">
        <v>210</v>
      </c>
      <c r="F12" s="11" t="s">
        <v>245</v>
      </c>
      <c r="G12" s="11" t="s">
        <v>21</v>
      </c>
      <c r="H12" s="11" t="s">
        <v>246</v>
      </c>
      <c r="I12" s="11"/>
      <c r="J12" s="11" t="str">
        <f t="shared" si="0"/>
        <v>Marshall, N</v>
      </c>
      <c r="K12" s="11"/>
      <c r="L12" s="11">
        <f>VLOOKUP($J12,[1]!Table7[[PLAYER]:[WAR]],4, FALSE)</f>
        <v>11</v>
      </c>
      <c r="M12" s="11">
        <f>VLOOKUP($J12,[1]!Table7[[PLAYER]:[WAR]],5, FALSE)</f>
        <v>3</v>
      </c>
      <c r="N12" s="11">
        <f>VLOOKUP($J12,[1]!Table7[[PLAYER]:[WAR]],34, FALSE)</f>
        <v>27.666666666666664</v>
      </c>
      <c r="O12" s="11">
        <f>VLOOKUP($J12,[1]!Table7[[PLAYER]:[WAR]],48, FALSE)</f>
        <v>4.7589185580104658</v>
      </c>
      <c r="P12" s="11">
        <f t="shared" si="1"/>
        <v>14.62926815980995</v>
      </c>
      <c r="Q12">
        <v>2</v>
      </c>
    </row>
    <row r="13" spans="1:21" x14ac:dyDescent="0.25">
      <c r="A13">
        <v>12</v>
      </c>
      <c r="B13" t="s">
        <v>247</v>
      </c>
      <c r="C13" t="s">
        <v>19</v>
      </c>
      <c r="D13" s="9">
        <v>44715</v>
      </c>
      <c r="E13">
        <v>187</v>
      </c>
      <c r="F13" t="s">
        <v>248</v>
      </c>
      <c r="G13" t="s">
        <v>69</v>
      </c>
      <c r="H13" t="s">
        <v>249</v>
      </c>
      <c r="J13" t="str">
        <f t="shared" si="0"/>
        <v>Milner, M</v>
      </c>
      <c r="L13">
        <f>VLOOKUP($J13,[1]!Table7[[PLAYER]:[WAR]],4, FALSE)</f>
        <v>7</v>
      </c>
      <c r="M13">
        <f>VLOOKUP($J13,[1]!Table7[[PLAYER]:[WAR]],5, FALSE)</f>
        <v>2</v>
      </c>
      <c r="N13">
        <f>VLOOKUP($J13,[1]!Table7[[PLAYER]:[WAR]],34, FALSE)</f>
        <v>16</v>
      </c>
      <c r="O13">
        <f>VLOOKUP($J13,[1]!Table7[[PLAYER]:[WAR]],48, FALSE)</f>
        <v>4.9353643030465992</v>
      </c>
      <c r="P13">
        <f t="shared" si="1"/>
        <v>8.7739809831939546</v>
      </c>
      <c r="Q13">
        <v>1</v>
      </c>
    </row>
    <row r="14" spans="1:21" x14ac:dyDescent="0.25">
      <c r="A14">
        <v>17</v>
      </c>
      <c r="B14" t="s">
        <v>250</v>
      </c>
      <c r="C14" t="s">
        <v>19</v>
      </c>
      <c r="D14" s="9">
        <v>44713</v>
      </c>
      <c r="E14">
        <v>200</v>
      </c>
      <c r="F14" t="s">
        <v>251</v>
      </c>
      <c r="G14" t="s">
        <v>69</v>
      </c>
      <c r="H14" t="s">
        <v>252</v>
      </c>
      <c r="J14" t="str">
        <f t="shared" si="0"/>
        <v>Orr, C</v>
      </c>
      <c r="L14">
        <f>VLOOKUP($J14,[1]!Table7[[PLAYER]:[WAR]],4, FALSE)</f>
        <v>5</v>
      </c>
      <c r="M14">
        <f>VLOOKUP($J14,[1]!Table7[[PLAYER]:[WAR]],5, FALSE)</f>
        <v>0</v>
      </c>
      <c r="N14">
        <f>VLOOKUP($J14,[1]!Table7[[PLAYER]:[WAR]],34, FALSE)</f>
        <v>8.3333333333333321</v>
      </c>
      <c r="O14">
        <f>VLOOKUP($J14,[1]!Table7[[PLAYER]:[WAR]],48, FALSE)</f>
        <v>7.7472036959424297</v>
      </c>
      <c r="P14">
        <f t="shared" si="1"/>
        <v>7.1733367555022491</v>
      </c>
    </row>
    <row r="15" spans="1:21" x14ac:dyDescent="0.25">
      <c r="A15">
        <v>7</v>
      </c>
      <c r="B15" t="s">
        <v>253</v>
      </c>
      <c r="C15" t="s">
        <v>19</v>
      </c>
      <c r="D15" s="9">
        <v>44715</v>
      </c>
      <c r="E15">
        <v>195</v>
      </c>
      <c r="F15" t="s">
        <v>254</v>
      </c>
      <c r="G15" t="s">
        <v>26</v>
      </c>
      <c r="H15" t="s">
        <v>255</v>
      </c>
      <c r="J15" t="str">
        <f t="shared" si="0"/>
        <v>Schicker, M</v>
      </c>
      <c r="L15">
        <f>VLOOKUP($J15,[1]!Table7[[PLAYER]:[WAR]],4, FALSE)</f>
        <v>7</v>
      </c>
      <c r="M15">
        <f>VLOOKUP($J15,[1]!Table7[[PLAYER]:[WAR]],5, FALSE)</f>
        <v>0</v>
      </c>
      <c r="N15">
        <f>VLOOKUP($J15,[1]!Table7[[PLAYER]:[WAR]],34, FALSE)</f>
        <v>12</v>
      </c>
      <c r="O15">
        <f>VLOOKUP($J15,[1]!Table7[[PLAYER]:[WAR]],48, FALSE)</f>
        <v>7.7830025771019828</v>
      </c>
      <c r="P15">
        <f t="shared" si="1"/>
        <v>10.377336769469309</v>
      </c>
    </row>
    <row r="16" spans="1:21" x14ac:dyDescent="0.25">
      <c r="A16">
        <v>16</v>
      </c>
      <c r="B16" t="s">
        <v>256</v>
      </c>
      <c r="C16" t="s">
        <v>19</v>
      </c>
      <c r="D16" s="9">
        <v>36678</v>
      </c>
      <c r="E16">
        <v>200</v>
      </c>
      <c r="F16" t="s">
        <v>257</v>
      </c>
      <c r="G16" t="s">
        <v>26</v>
      </c>
      <c r="H16" t="s">
        <v>258</v>
      </c>
      <c r="J16" t="str">
        <f t="shared" si="0"/>
        <v>Schultz, J</v>
      </c>
      <c r="L16">
        <f>VLOOKUP($J16,[1]!Table7[[PLAYER]:[WAR]],4, FALSE)</f>
        <v>2</v>
      </c>
      <c r="M16">
        <f>VLOOKUP($J16,[1]!Table7[[PLAYER]:[WAR]],5, FALSE)</f>
        <v>0</v>
      </c>
      <c r="N16">
        <f>VLOOKUP($J16,[1]!Table7[[PLAYER]:[WAR]],34, FALSE)</f>
        <v>2.3333333333333335</v>
      </c>
      <c r="O16">
        <f>VLOOKUP($J16,[1]!Table7[[PLAYER]:[WAR]],48, FALSE)</f>
        <v>12.467076962588999</v>
      </c>
      <c r="P16">
        <f t="shared" si="1"/>
        <v>3.2322051384490003</v>
      </c>
    </row>
    <row r="17" spans="1:18" x14ac:dyDescent="0.25">
      <c r="A17">
        <v>45</v>
      </c>
      <c r="B17" t="s">
        <v>259</v>
      </c>
      <c r="C17" t="s">
        <v>19</v>
      </c>
      <c r="D17" s="9">
        <v>44718</v>
      </c>
      <c r="E17">
        <v>225</v>
      </c>
      <c r="F17" t="s">
        <v>239</v>
      </c>
      <c r="G17" t="s">
        <v>39</v>
      </c>
      <c r="H17" t="s">
        <v>260</v>
      </c>
      <c r="J17" t="str">
        <f t="shared" si="0"/>
        <v>Snow, L</v>
      </c>
      <c r="L17">
        <f>VLOOKUP($J17,[1]!Table7[[PLAYER]:[WAR]],4, FALSE)</f>
        <v>4</v>
      </c>
      <c r="M17">
        <f>VLOOKUP($J17,[1]!Table7[[PLAYER]:[WAR]],5, FALSE)</f>
        <v>1</v>
      </c>
      <c r="N17">
        <f>VLOOKUP($J17,[1]!Table7[[PLAYER]:[WAR]],34, FALSE)</f>
        <v>6</v>
      </c>
      <c r="O17">
        <f>VLOOKUP($J17,[1]!Table7[[PLAYER]:[WAR]],48, FALSE)</f>
        <v>5.2608086772243574</v>
      </c>
      <c r="P17">
        <f t="shared" si="1"/>
        <v>3.5072057848162381</v>
      </c>
    </row>
    <row r="18" spans="1:18" x14ac:dyDescent="0.25">
      <c r="A18">
        <v>4</v>
      </c>
      <c r="B18" t="s">
        <v>261</v>
      </c>
      <c r="C18" t="s">
        <v>19</v>
      </c>
      <c r="D18" s="9">
        <v>44715</v>
      </c>
      <c r="E18">
        <v>205</v>
      </c>
      <c r="F18" t="s">
        <v>262</v>
      </c>
      <c r="G18" t="s">
        <v>56</v>
      </c>
      <c r="H18" t="s">
        <v>217</v>
      </c>
      <c r="J18" t="str">
        <f t="shared" si="0"/>
        <v>Warren, B</v>
      </c>
      <c r="L18">
        <f>VLOOKUP($J18,[1]!Table7[[PLAYER]:[WAR]],4, FALSE)</f>
        <v>5</v>
      </c>
      <c r="M18">
        <f>VLOOKUP($J18,[1]!Table7[[PLAYER]:[WAR]],5, FALSE)</f>
        <v>0</v>
      </c>
      <c r="N18">
        <f>VLOOKUP($J18,[1]!Table7[[PLAYER]:[WAR]],34, FALSE)</f>
        <v>9.6666666666666643</v>
      </c>
      <c r="O18">
        <f>VLOOKUP($J18,[1]!Table7[[PLAYER]:[WAR]],48, FALSE)</f>
        <v>4.6323643684673073</v>
      </c>
      <c r="P18">
        <f t="shared" si="1"/>
        <v>4.9755024698352548</v>
      </c>
    </row>
    <row r="19" spans="1:18" x14ac:dyDescent="0.25">
      <c r="A19" s="11">
        <v>29</v>
      </c>
      <c r="B19" s="11" t="s">
        <v>263</v>
      </c>
      <c r="C19" s="11" t="s">
        <v>24</v>
      </c>
      <c r="D19" s="12">
        <v>44716</v>
      </c>
      <c r="E19" s="11">
        <v>205</v>
      </c>
      <c r="F19" s="11" t="s">
        <v>222</v>
      </c>
      <c r="G19" s="11" t="s">
        <v>26</v>
      </c>
      <c r="H19" s="11" t="s">
        <v>264</v>
      </c>
      <c r="I19" s="11"/>
      <c r="J19" s="11" t="str">
        <f t="shared" si="0"/>
        <v>Wenninger, J</v>
      </c>
      <c r="K19" s="11"/>
      <c r="L19" s="11">
        <f>VLOOKUP($J19,[1]!Table7[[PLAYER]:[WAR]],4, FALSE)</f>
        <v>10</v>
      </c>
      <c r="M19" s="11">
        <f>VLOOKUP($J19,[1]!Table7[[PLAYER]:[WAR]],5, FALSE)</f>
        <v>10</v>
      </c>
      <c r="N19" s="11">
        <f>VLOOKUP($J19,[1]!Table7[[PLAYER]:[WAR]],34, FALSE)</f>
        <v>46</v>
      </c>
      <c r="O19" s="11">
        <f>VLOOKUP($J19,[1]!Table7[[PLAYER]:[WAR]],48, FALSE)</f>
        <v>5.7631249938900275</v>
      </c>
      <c r="P19" s="11">
        <f t="shared" si="1"/>
        <v>29.455972190993471</v>
      </c>
      <c r="Q19">
        <v>3</v>
      </c>
    </row>
    <row r="31" spans="1:18" x14ac:dyDescent="0.25">
      <c r="A31" t="s">
        <v>117</v>
      </c>
      <c r="B31">
        <f>COUNTIF(K33:K50, "&gt;= 7")</f>
        <v>8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13</v>
      </c>
      <c r="B33" t="s">
        <v>265</v>
      </c>
      <c r="C33" t="s">
        <v>19</v>
      </c>
      <c r="D33" s="9">
        <v>44691</v>
      </c>
      <c r="E33">
        <v>200</v>
      </c>
      <c r="F33" t="s">
        <v>222</v>
      </c>
      <c r="G33" t="s">
        <v>56</v>
      </c>
      <c r="H33" t="s">
        <v>266</v>
      </c>
      <c r="J33" t="str">
        <f t="shared" ref="J33:J40" si="3">LEFT(B33,(FIND(",",B33,1)+1)) &amp; LEFT(RIGHT(B33,LEN(B33)-(FIND(",",B33)+1)),1)</f>
        <v>Janik, C</v>
      </c>
      <c r="K33">
        <v>10</v>
      </c>
      <c r="L33">
        <f>VLOOKUP(J33,[1]!Table6[[PLAYER]:[XBH]],26,FALSE)</f>
        <v>143</v>
      </c>
      <c r="M33">
        <f>VLOOKUP(J33,[1]!Table6[[PLAYER]:[XBH]],45,FALSE)</f>
        <v>-6.1088525718819922</v>
      </c>
      <c r="N33">
        <f>(M33/L33) * VLOOKUP(K33,LineupPA!$A$1:$B$10,2,FALSE)</f>
        <v>0</v>
      </c>
      <c r="O33">
        <f>IF(K33&lt;7, N33, (M33/L33)*(LineupPA!$C$10 * (3/$B$31)))</f>
        <v>-6.9910870837787173E-2</v>
      </c>
      <c r="P33" s="13"/>
      <c r="Q33">
        <f>SUM(N33:N46)</f>
        <v>0.16228045813431874</v>
      </c>
      <c r="R33">
        <f>SUM(O33:O46)</f>
        <v>-0.24649930524344099</v>
      </c>
    </row>
    <row r="34" spans="1:18" x14ac:dyDescent="0.25">
      <c r="A34">
        <v>30</v>
      </c>
      <c r="B34" t="s">
        <v>267</v>
      </c>
      <c r="C34" t="s">
        <v>42</v>
      </c>
      <c r="D34" s="10">
        <v>36678</v>
      </c>
      <c r="E34">
        <v>200</v>
      </c>
      <c r="F34" t="s">
        <v>268</v>
      </c>
      <c r="G34" t="s">
        <v>56</v>
      </c>
      <c r="H34" t="s">
        <v>269</v>
      </c>
      <c r="J34" t="str">
        <f t="shared" si="3"/>
        <v>Kligman, E</v>
      </c>
      <c r="K34">
        <v>4</v>
      </c>
      <c r="L34">
        <f>VLOOKUP(J34,[1]!Table6[[PLAYER]:[XBH]],26,FALSE)</f>
        <v>33</v>
      </c>
      <c r="M34">
        <f>VLOOKUP(J34,[1]!Table6[[PLAYER]:[XBH]],45,FALSE)</f>
        <v>-3.6095621986391522</v>
      </c>
      <c r="N34">
        <f>(M34/L34) * VLOOKUP(K34,LineupPA!$A$1:$B$10,2,FALSE)</f>
        <v>-0.51015705798217215</v>
      </c>
      <c r="O34">
        <f>IF(K34&lt;7, N34, (M34/L34)*(LineupPA!$C$10 * (3/$B$31)))</f>
        <v>-0.51015705798217215</v>
      </c>
      <c r="P34" s="13"/>
    </row>
    <row r="35" spans="1:18" x14ac:dyDescent="0.25">
      <c r="A35">
        <v>27</v>
      </c>
      <c r="B35" t="s">
        <v>270</v>
      </c>
      <c r="C35" t="s">
        <v>19</v>
      </c>
      <c r="D35" s="9">
        <v>36678</v>
      </c>
      <c r="E35">
        <v>200</v>
      </c>
      <c r="F35" t="s">
        <v>271</v>
      </c>
      <c r="G35" t="s">
        <v>26</v>
      </c>
      <c r="H35" t="s">
        <v>272</v>
      </c>
      <c r="J35" t="str">
        <f t="shared" si="3"/>
        <v>Stapleton, T</v>
      </c>
      <c r="K35">
        <v>10</v>
      </c>
      <c r="L35">
        <f>VLOOKUP(J35,[1]!Table6[[PLAYER]:[XBH]],26,FALSE)</f>
        <v>38</v>
      </c>
      <c r="M35">
        <f>VLOOKUP(J35,[1]!Table6[[PLAYER]:[XBH]],45,FALSE)</f>
        <v>-1.1108168995409955</v>
      </c>
      <c r="N35">
        <f>(M35/L35) * VLOOKUP(K35,LineupPA!$A$1:$B$10,2,FALSE)</f>
        <v>0</v>
      </c>
      <c r="O35">
        <f>IF(K35&lt;7, N35, (M35/L35)*(LineupPA!$C$10 * (3/$B$31)))</f>
        <v>-4.7838768022766195E-2</v>
      </c>
      <c r="P35" s="13"/>
    </row>
    <row r="36" spans="1:18" x14ac:dyDescent="0.25">
      <c r="A36">
        <v>22</v>
      </c>
      <c r="B36" t="s">
        <v>273</v>
      </c>
      <c r="C36" t="s">
        <v>19</v>
      </c>
      <c r="D36" s="9">
        <v>44713</v>
      </c>
      <c r="E36">
        <v>200</v>
      </c>
      <c r="F36" t="s">
        <v>93</v>
      </c>
      <c r="G36" t="s">
        <v>26</v>
      </c>
      <c r="H36" t="s">
        <v>274</v>
      </c>
      <c r="J36" t="str">
        <f t="shared" si="3"/>
        <v>Stengren, D</v>
      </c>
      <c r="K36">
        <v>7</v>
      </c>
      <c r="L36">
        <f>VLOOKUP(J36,[1]!Table6[[PLAYER]:[XBH]],26,FALSE)</f>
        <v>30</v>
      </c>
      <c r="M36">
        <f>VLOOKUP(J36,[1]!Table6[[PLAYER]:[XBH]],45,FALSE)</f>
        <v>-8.8136401769463302E-3</v>
      </c>
      <c r="N36">
        <f>(M36/L36) * VLOOKUP(K36,LineupPA!$A$1:$B$10,2,FALSE)</f>
        <v>-1.3041400008910338E-3</v>
      </c>
      <c r="O36">
        <f>IF(K36&lt;7, N36, (M36/L36)*(LineupPA!$C$10 * (3/$B$31)))</f>
        <v>-4.8078971266825055E-4</v>
      </c>
      <c r="P36" s="13"/>
    </row>
    <row r="37" spans="1:18" x14ac:dyDescent="0.25">
      <c r="A37">
        <v>11</v>
      </c>
      <c r="B37" t="s">
        <v>275</v>
      </c>
      <c r="C37" t="s">
        <v>24</v>
      </c>
      <c r="D37" s="9">
        <v>44690</v>
      </c>
      <c r="E37">
        <v>170</v>
      </c>
      <c r="F37" t="s">
        <v>257</v>
      </c>
      <c r="G37" t="s">
        <v>26</v>
      </c>
      <c r="H37" t="s">
        <v>276</v>
      </c>
      <c r="J37" t="str">
        <f t="shared" si="3"/>
        <v>Boos, J</v>
      </c>
      <c r="K37">
        <v>6</v>
      </c>
      <c r="L37">
        <f>VLOOKUP(J37,[1]!Table6[[PLAYER]:[XBH]],26,FALSE)</f>
        <v>28</v>
      </c>
      <c r="M37">
        <f>VLOOKUP(J37,[1]!Table6[[PLAYER]:[XBH]],45,FALSE)</f>
        <v>-2.8674980813263971</v>
      </c>
      <c r="N37">
        <f>(M37/L37) * VLOOKUP(K37,LineupPA!$A$1:$B$10,2,FALSE)</f>
        <v>-0.4622868986591453</v>
      </c>
      <c r="O37">
        <f>IF(K37&lt;7, N37, (M37/L37)*(LineupPA!$C$10 * (3/$B$31)))</f>
        <v>-0.4622868986591453</v>
      </c>
      <c r="P37" s="13"/>
    </row>
    <row r="38" spans="1:18" x14ac:dyDescent="0.25">
      <c r="A38">
        <v>26</v>
      </c>
      <c r="B38" t="s">
        <v>277</v>
      </c>
      <c r="C38" t="s">
        <v>19</v>
      </c>
      <c r="D38" s="9">
        <v>44714</v>
      </c>
      <c r="E38">
        <v>220</v>
      </c>
      <c r="F38" t="s">
        <v>257</v>
      </c>
      <c r="G38" t="s">
        <v>21</v>
      </c>
      <c r="H38" t="s">
        <v>278</v>
      </c>
      <c r="J38" t="str">
        <f t="shared" si="3"/>
        <v>Comer, B</v>
      </c>
      <c r="K38">
        <v>10</v>
      </c>
      <c r="L38">
        <f>VLOOKUP(J38,[1]!Table6[[PLAYER]:[XBH]],26,FALSE)</f>
        <v>47</v>
      </c>
      <c r="M38">
        <f>VLOOKUP(J38,[1]!Table6[[PLAYER]:[XBH]],45,FALSE)</f>
        <v>-3.8979134387741876</v>
      </c>
      <c r="N38">
        <f>(M38/L38) * VLOOKUP(K38,LineupPA!$A$1:$B$10,2,FALSE)</f>
        <v>0</v>
      </c>
      <c r="O38">
        <f>IF(K38&lt;7, N38, (M38/L38)*(LineupPA!$C$10 * (3/$B$31)))</f>
        <v>-0.13572362098485302</v>
      </c>
      <c r="P38" s="13"/>
    </row>
    <row r="39" spans="1:18" x14ac:dyDescent="0.25">
      <c r="A39">
        <v>9</v>
      </c>
      <c r="B39" t="s">
        <v>279</v>
      </c>
      <c r="C39" t="s">
        <v>19</v>
      </c>
      <c r="D39" s="9">
        <v>44715</v>
      </c>
      <c r="E39">
        <v>210</v>
      </c>
      <c r="F39" t="s">
        <v>280</v>
      </c>
      <c r="G39" t="s">
        <v>26</v>
      </c>
      <c r="H39" t="s">
        <v>281</v>
      </c>
      <c r="J39" t="str">
        <f t="shared" si="3"/>
        <v>Hill, G</v>
      </c>
      <c r="K39">
        <v>5</v>
      </c>
      <c r="L39">
        <f>VLOOKUP(J39,[1]!Table6[[PLAYER]:[XBH]],26,FALSE)</f>
        <v>96</v>
      </c>
      <c r="M39">
        <f>VLOOKUP(J39,[1]!Table6[[PLAYER]:[XBH]],45,FALSE)</f>
        <v>3.5024139879031404</v>
      </c>
      <c r="N39">
        <f>(M39/L39) * VLOOKUP(K39,LineupPA!$A$1:$B$10,2,FALSE)</f>
        <v>0.16742455336645343</v>
      </c>
      <c r="O39">
        <f>IF(K39&lt;7, N39, (M39/L39)*(LineupPA!$C$10 * (3/$B$31)))</f>
        <v>0.16742455336645343</v>
      </c>
      <c r="P39" s="13"/>
    </row>
    <row r="40" spans="1:18" x14ac:dyDescent="0.25">
      <c r="A40">
        <v>24</v>
      </c>
      <c r="B40" t="s">
        <v>282</v>
      </c>
      <c r="C40" t="s">
        <v>19</v>
      </c>
      <c r="D40" s="9">
        <v>44692</v>
      </c>
      <c r="E40">
        <v>180</v>
      </c>
      <c r="F40" t="s">
        <v>280</v>
      </c>
      <c r="G40" t="s">
        <v>39</v>
      </c>
      <c r="H40" t="s">
        <v>283</v>
      </c>
      <c r="J40" t="str">
        <f t="shared" si="3"/>
        <v>Kluvers, Z</v>
      </c>
      <c r="K40">
        <v>10</v>
      </c>
      <c r="L40">
        <f>VLOOKUP(J40,[1]!Table6[[PLAYER]:[XBH]],26,FALSE)</f>
        <v>70</v>
      </c>
      <c r="M40">
        <f>VLOOKUP(J40,[1]!Table6[[PLAYER]:[XBH]],45,FALSE)</f>
        <v>0.15787258330068407</v>
      </c>
      <c r="N40">
        <f>(M40/L40) * VLOOKUP(K40,LineupPA!$A$1:$B$10,2,FALSE)</f>
        <v>0</v>
      </c>
      <c r="O40">
        <f>IF(K40&lt;7, N40, (M40/L40)*(LineupPA!$C$10 * (3/$B$31)))</f>
        <v>3.6908787696988314E-3</v>
      </c>
      <c r="P40" s="13"/>
    </row>
    <row r="41" spans="1:18" x14ac:dyDescent="0.25">
      <c r="A41">
        <v>10</v>
      </c>
      <c r="B41" t="s">
        <v>284</v>
      </c>
      <c r="C41" t="s">
        <v>19</v>
      </c>
      <c r="D41" s="10">
        <v>36678</v>
      </c>
      <c r="E41">
        <v>190</v>
      </c>
      <c r="F41" t="s">
        <v>285</v>
      </c>
      <c r="G41" t="s">
        <v>39</v>
      </c>
      <c r="H41" t="s">
        <v>286</v>
      </c>
      <c r="J41" t="str">
        <f t="shared" ref="J41:J44" si="4">LEFT(B41,(FIND(",",B41,1)+1)) &amp; LEFT(RIGHT(B41,LEN(B41)-(FIND(",",B41)+1)),1)</f>
        <v>Allen, D</v>
      </c>
      <c r="K41">
        <v>10</v>
      </c>
      <c r="L41">
        <f>VLOOKUP(J41,[1]!Table6[[PLAYER]:[XBH]],26,FALSE)</f>
        <v>134</v>
      </c>
      <c r="M41">
        <f>VLOOKUP(J41,[1]!Table6[[PLAYER]:[XBH]],45,FALSE)</f>
        <v>-0.50948907977656721</v>
      </c>
      <c r="N41">
        <f>(M41/L41) * VLOOKUP(K41,LineupPA!$A$1:$B$10,2,FALSE)</f>
        <v>0</v>
      </c>
      <c r="O41">
        <f>IF(K41&lt;7, N41, (M41/L41)*(LineupPA!$C$10 * (3/$B$31)))</f>
        <v>-6.2223034458273613E-3</v>
      </c>
      <c r="P41" s="13"/>
    </row>
    <row r="42" spans="1:18" x14ac:dyDescent="0.25">
      <c r="A42">
        <v>1</v>
      </c>
      <c r="B42" t="s">
        <v>287</v>
      </c>
      <c r="C42" t="s">
        <v>19</v>
      </c>
      <c r="D42" s="9">
        <v>44690</v>
      </c>
      <c r="E42">
        <v>167</v>
      </c>
      <c r="F42" t="s">
        <v>288</v>
      </c>
      <c r="G42" t="s">
        <v>21</v>
      </c>
      <c r="H42" t="s">
        <v>289</v>
      </c>
      <c r="J42" t="str">
        <f t="shared" si="4"/>
        <v>Gomez, M</v>
      </c>
      <c r="K42">
        <v>9</v>
      </c>
      <c r="L42">
        <f>VLOOKUP(J42,[1]!Table6[[PLAYER]:[XBH]],26,FALSE)</f>
        <v>86</v>
      </c>
      <c r="M42">
        <f>VLOOKUP(J42,[1]!Table6[[PLAYER]:[XBH]],45,FALSE)</f>
        <v>-4.702508282223687</v>
      </c>
      <c r="N42">
        <f>(M42/L42) * VLOOKUP(K42,LineupPA!$A$1:$B$10,2,FALSE)</f>
        <v>-0.23452673026853429</v>
      </c>
      <c r="O42">
        <f>IF(K42&lt;7, N42, (M42/L42)*(LineupPA!$C$10 * (3/$B$31)))</f>
        <v>-8.9485408099974101E-2</v>
      </c>
      <c r="P42" s="13"/>
    </row>
    <row r="43" spans="1:18" x14ac:dyDescent="0.25">
      <c r="A43">
        <v>15</v>
      </c>
      <c r="B43" t="s">
        <v>290</v>
      </c>
      <c r="C43" t="s">
        <v>54</v>
      </c>
      <c r="D43" s="10">
        <v>36678</v>
      </c>
      <c r="E43">
        <v>185</v>
      </c>
      <c r="F43" t="s">
        <v>291</v>
      </c>
      <c r="G43" t="s">
        <v>51</v>
      </c>
      <c r="H43" t="s">
        <v>292</v>
      </c>
      <c r="J43" t="str">
        <f t="shared" si="4"/>
        <v>Hug, C</v>
      </c>
      <c r="K43">
        <v>2</v>
      </c>
      <c r="L43">
        <f>VLOOKUP(J43,[1]!Table6[[PLAYER]:[XBH]],26,FALSE)</f>
        <v>120</v>
      </c>
      <c r="M43">
        <f>VLOOKUP(J43,[1]!Table6[[PLAYER]:[XBH]],45,FALSE)</f>
        <v>16.335832001214825</v>
      </c>
      <c r="N43">
        <f>(M43/L43) * VLOOKUP(K43,LineupPA!$A$1:$B$10,2,FALSE)</f>
        <v>0.65534609742392591</v>
      </c>
      <c r="O43">
        <f>IF(K43&lt;7, N43, (M43/L43)*(LineupPA!$C$10 * (3/$B$31)))</f>
        <v>0.65534609742392591</v>
      </c>
    </row>
    <row r="44" spans="1:18" x14ac:dyDescent="0.25">
      <c r="A44">
        <v>18</v>
      </c>
      <c r="B44" t="s">
        <v>293</v>
      </c>
      <c r="C44" t="s">
        <v>54</v>
      </c>
      <c r="D44" s="9">
        <v>44691</v>
      </c>
      <c r="E44">
        <v>175</v>
      </c>
      <c r="F44" t="s">
        <v>294</v>
      </c>
      <c r="G44" t="s">
        <v>56</v>
      </c>
      <c r="H44" t="s">
        <v>295</v>
      </c>
      <c r="J44" t="str">
        <f t="shared" si="4"/>
        <v>Ng, J</v>
      </c>
      <c r="K44">
        <v>1</v>
      </c>
      <c r="L44">
        <f>VLOOKUP(J44,[1]!Table6[[PLAYER]:[XBH]],26,FALSE)</f>
        <v>61</v>
      </c>
      <c r="M44">
        <f>VLOOKUP(J44,[1]!Table6[[PLAYER]:[XBH]],45,FALSE)</f>
        <v>2.998850054531669</v>
      </c>
      <c r="N44">
        <f>(M44/L44) * VLOOKUP(K44,LineupPA!$A$1:$B$10,2,FALSE)</f>
        <v>0.24035297484452775</v>
      </c>
      <c r="O44">
        <f>IF(K44&lt;7, N44, (M44/L44)*(LineupPA!$C$10 * (3/$B$31)))</f>
        <v>0.24035297484452775</v>
      </c>
    </row>
    <row r="45" spans="1:18" x14ac:dyDescent="0.25">
      <c r="J45" t="s">
        <v>663</v>
      </c>
      <c r="K45">
        <v>3</v>
      </c>
      <c r="L45">
        <f>VLOOKUP(J45,[1]!Table6[[PLAYER]:[XBH]],26,FALSE)</f>
        <v>84</v>
      </c>
      <c r="M45">
        <f>VLOOKUP(J45,[1]!Table6[[PLAYER]:[XBH]],45,FALSE)</f>
        <v>-3.0202085974871307</v>
      </c>
      <c r="N45">
        <f>(M45/L45) * VLOOKUP(K45,LineupPA!$A$1:$B$10,2,FALSE)</f>
        <v>-0.17039194269065769</v>
      </c>
      <c r="O45">
        <f>IF(K45&lt;7, N45, (M45/L45)*(LineupPA!$C$10 * (3/$B$31)))</f>
        <v>-0.17039194269065769</v>
      </c>
    </row>
    <row r="46" spans="1:18" x14ac:dyDescent="0.25">
      <c r="J46" t="s">
        <v>664</v>
      </c>
      <c r="K46">
        <v>8</v>
      </c>
      <c r="L46">
        <f>VLOOKUP(J46,[1]!Table6[[PLAYER]:[XBH]],26,FALSE)</f>
        <v>18</v>
      </c>
      <c r="M46">
        <f>VLOOKUP(J46,[1]!Table6[[PLAYER]:[XBH]],45,FALSE)</f>
        <v>1.9708349967792125</v>
      </c>
      <c r="N46">
        <f>(M46/L46) * VLOOKUP(K46,LineupPA!$A$1:$B$10,2,FALSE)</f>
        <v>0.47782360210081204</v>
      </c>
      <c r="O46">
        <f>IF(K46&lt;7, N46, (M46/L46)*(LineupPA!$C$10 * (3/$B$31)))</f>
        <v>0.17918385078780452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C985-D6F7-4A7E-85B5-F9053DE4AC37}">
  <dimension ref="A1:U43"/>
  <sheetViews>
    <sheetView workbookViewId="0">
      <selection activeCell="T3" sqref="T3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11</v>
      </c>
      <c r="B2" t="s">
        <v>296</v>
      </c>
      <c r="C2" t="s">
        <v>19</v>
      </c>
      <c r="D2" s="9">
        <v>44692</v>
      </c>
      <c r="E2">
        <v>170</v>
      </c>
      <c r="F2" t="s">
        <v>297</v>
      </c>
      <c r="G2" t="s">
        <v>39</v>
      </c>
      <c r="H2" t="s">
        <v>298</v>
      </c>
      <c r="J2" t="str">
        <f>LEFT(B2,(FIND(",",B2,1)+1)) &amp; LEFT(RIGHT(B2,LEN(B2)-(FIND(",",B2)+1)),1)</f>
        <v>Almeda, J</v>
      </c>
      <c r="L2">
        <f>VLOOKUP($J2,[1]!Table7[[PLAYER]:[WAR]],4, FALSE)</f>
        <v>5</v>
      </c>
      <c r="M2">
        <f>VLOOKUP($J2,[1]!Table7[[PLAYER]:[WAR]],5, FALSE)</f>
        <v>3</v>
      </c>
      <c r="N2">
        <f>VLOOKUP($J2,[1]!Table7[[PLAYER]:[WAR]],34, FALSE)</f>
        <v>12</v>
      </c>
      <c r="O2">
        <f>VLOOKUP($J2,[1]!Table7[[PLAYER]:[WAR]],48, FALSE)</f>
        <v>8.7090729593360408</v>
      </c>
      <c r="P2">
        <f>O2 * (N2/9)</f>
        <v>11.612097279114721</v>
      </c>
      <c r="R2">
        <v>1</v>
      </c>
      <c r="S2">
        <f>SUMIF($Q$2:$Q$25,R2,$O$2:$O$25)</f>
        <v>7.0880488204257528</v>
      </c>
      <c r="T2" s="11">
        <f>(SUM(P2:P3,P5:P11,P13:P14,P16) / SUM(N2:N3,N5:N11,N13:N14,N16)) * 9</f>
        <v>7.5456546059264555</v>
      </c>
      <c r="U2" s="11">
        <f>(5.5/9)*$S$2 + (3.5/9)*$T$2</f>
        <v>7.2660066258982487</v>
      </c>
    </row>
    <row r="3" spans="1:21" x14ac:dyDescent="0.25">
      <c r="A3">
        <v>18</v>
      </c>
      <c r="B3" t="s">
        <v>299</v>
      </c>
      <c r="C3" t="s">
        <v>54</v>
      </c>
      <c r="D3" s="9">
        <v>44714</v>
      </c>
      <c r="E3">
        <v>210</v>
      </c>
      <c r="F3" t="s">
        <v>300</v>
      </c>
      <c r="G3" t="s">
        <v>56</v>
      </c>
      <c r="H3" t="s">
        <v>301</v>
      </c>
      <c r="J3" t="str">
        <f t="shared" ref="J3:J16" si="0">LEFT(B3,(FIND(",",B3,1)+1)) &amp; LEFT(RIGHT(B3,LEN(B3)-(FIND(",",B3)+1)),1)</f>
        <v>Alpern, L</v>
      </c>
      <c r="L3">
        <f>VLOOKUP($J3,[1]!Table7[[PLAYER]:[WAR]],4, FALSE)</f>
        <v>4</v>
      </c>
      <c r="M3">
        <f>VLOOKUP($J3,[1]!Table7[[PLAYER]:[WAR]],5, FALSE)</f>
        <v>0</v>
      </c>
      <c r="N3">
        <f>VLOOKUP($J3,[1]!Table7[[PLAYER]:[WAR]],34, FALSE)</f>
        <v>5</v>
      </c>
      <c r="O3">
        <f>VLOOKUP($J3,[1]!Table7[[PLAYER]:[WAR]],48, FALSE)</f>
        <v>7.2613860550815064</v>
      </c>
      <c r="P3">
        <f t="shared" ref="P3:P16" si="1">O3 * (N3/9)</f>
        <v>4.0341033639341708</v>
      </c>
      <c r="R3">
        <v>2</v>
      </c>
      <c r="S3">
        <f t="shared" ref="S3:S4" si="2">SUMIF($Q$2:$Q$25,R3,$O$2:$O$25)</f>
        <v>6.1418501541856303</v>
      </c>
    </row>
    <row r="4" spans="1:21" x14ac:dyDescent="0.25">
      <c r="A4" s="11">
        <v>27</v>
      </c>
      <c r="B4" s="11" t="s">
        <v>302</v>
      </c>
      <c r="C4" s="11" t="s">
        <v>19</v>
      </c>
      <c r="D4" s="12">
        <v>44718</v>
      </c>
      <c r="E4" s="11">
        <v>170</v>
      </c>
      <c r="F4" s="11" t="s">
        <v>303</v>
      </c>
      <c r="G4" s="11" t="s">
        <v>26</v>
      </c>
      <c r="H4" s="11" t="s">
        <v>304</v>
      </c>
      <c r="I4" s="11"/>
      <c r="J4" s="11" t="str">
        <f t="shared" si="0"/>
        <v>Amon, B</v>
      </c>
      <c r="K4" s="11"/>
      <c r="L4" s="11">
        <f>VLOOKUP($J4,[1]!Table7[[PLAYER]:[WAR]],4, FALSE)</f>
        <v>7</v>
      </c>
      <c r="M4" s="11">
        <f>VLOOKUP($J4,[1]!Table7[[PLAYER]:[WAR]],5, FALSE)</f>
        <v>5</v>
      </c>
      <c r="N4" s="11">
        <f>VLOOKUP($J4,[1]!Table7[[PLAYER]:[WAR]],34, FALSE)</f>
        <v>22</v>
      </c>
      <c r="O4" s="11">
        <f>VLOOKUP($J4,[1]!Table7[[PLAYER]:[WAR]],48, FALSE)</f>
        <v>7.0880488204257528</v>
      </c>
      <c r="P4" s="11">
        <f t="shared" si="1"/>
        <v>17.326341561040731</v>
      </c>
      <c r="Q4">
        <v>1</v>
      </c>
      <c r="R4">
        <v>3</v>
      </c>
      <c r="S4">
        <f t="shared" si="2"/>
        <v>6.9436011248792902</v>
      </c>
      <c r="U4" t="s">
        <v>446</v>
      </c>
    </row>
    <row r="5" spans="1:21" x14ac:dyDescent="0.25">
      <c r="A5">
        <v>0</v>
      </c>
      <c r="B5" t="s">
        <v>305</v>
      </c>
      <c r="C5" t="s">
        <v>54</v>
      </c>
      <c r="D5" s="9">
        <v>36678</v>
      </c>
      <c r="E5">
        <v>220</v>
      </c>
      <c r="F5" t="s">
        <v>306</v>
      </c>
      <c r="G5" t="s">
        <v>26</v>
      </c>
      <c r="H5" t="s">
        <v>307</v>
      </c>
      <c r="J5" t="str">
        <f t="shared" si="0"/>
        <v>Brandl, D</v>
      </c>
      <c r="L5">
        <f>VLOOKUP($J5,[1]!Table7[[PLAYER]:[WAR]],4, FALSE)</f>
        <v>7</v>
      </c>
      <c r="M5">
        <f>VLOOKUP($J5,[1]!Table7[[PLAYER]:[WAR]],5, FALSE)</f>
        <v>2</v>
      </c>
      <c r="N5">
        <f>VLOOKUP($J5,[1]!Table7[[PLAYER]:[WAR]],34, FALSE)</f>
        <v>18</v>
      </c>
      <c r="O5">
        <f>VLOOKUP($J5,[1]!Table7[[PLAYER]:[WAR]],48, FALSE)</f>
        <v>10.592242916089905</v>
      </c>
      <c r="P5">
        <f t="shared" si="1"/>
        <v>21.18448583217981</v>
      </c>
      <c r="U5" s="11">
        <f>(5.5/9)*$S$6 + (3.5/9)*$T$2</f>
        <v>7.0438379225713517</v>
      </c>
    </row>
    <row r="6" spans="1:21" x14ac:dyDescent="0.25">
      <c r="A6">
        <v>9</v>
      </c>
      <c r="B6" t="s">
        <v>308</v>
      </c>
      <c r="C6" t="s">
        <v>19</v>
      </c>
      <c r="D6" s="9">
        <v>44714</v>
      </c>
      <c r="E6">
        <v>176</v>
      </c>
      <c r="F6" t="s">
        <v>297</v>
      </c>
      <c r="G6" t="s">
        <v>56</v>
      </c>
      <c r="H6" t="s">
        <v>309</v>
      </c>
      <c r="J6" t="str">
        <f t="shared" si="0"/>
        <v>Holbrook, D</v>
      </c>
      <c r="L6">
        <f>VLOOKUP($J6,[1]!Table7[[PLAYER]:[WAR]],4, FALSE)</f>
        <v>4</v>
      </c>
      <c r="M6">
        <f>VLOOKUP($J6,[1]!Table7[[PLAYER]:[WAR]],5, FALSE)</f>
        <v>0</v>
      </c>
      <c r="N6">
        <f>VLOOKUP($J6,[1]!Table7[[PLAYER]:[WAR]],34, FALSE)</f>
        <v>2.6666666666666674</v>
      </c>
      <c r="O6">
        <f>VLOOKUP($J6,[1]!Table7[[PLAYER]:[WAR]],48, FALSE)</f>
        <v>16.079917868192965</v>
      </c>
      <c r="P6">
        <f t="shared" si="1"/>
        <v>4.7644201090942131</v>
      </c>
      <c r="R6" t="s">
        <v>441</v>
      </c>
      <c r="S6" s="11">
        <f>AVERAGE(S2:S4)</f>
        <v>6.724500033163558</v>
      </c>
    </row>
    <row r="7" spans="1:21" x14ac:dyDescent="0.25">
      <c r="A7">
        <v>26</v>
      </c>
      <c r="B7" t="s">
        <v>310</v>
      </c>
      <c r="C7" t="s">
        <v>19</v>
      </c>
      <c r="D7" s="9">
        <v>44692</v>
      </c>
      <c r="E7">
        <v>175</v>
      </c>
      <c r="F7" t="s">
        <v>311</v>
      </c>
      <c r="G7" t="s">
        <v>26</v>
      </c>
      <c r="H7" t="s">
        <v>312</v>
      </c>
      <c r="J7" t="str">
        <f t="shared" si="0"/>
        <v>Howey, P</v>
      </c>
      <c r="L7">
        <f>VLOOKUP($J7,[1]!Table7[[PLAYER]:[WAR]],4, FALSE)</f>
        <v>27</v>
      </c>
      <c r="M7">
        <f>VLOOKUP($J7,[1]!Table7[[PLAYER]:[WAR]],5, FALSE)</f>
        <v>0</v>
      </c>
      <c r="N7">
        <f>VLOOKUP($J7,[1]!Table7[[PLAYER]:[WAR]],34, FALSE)</f>
        <v>30</v>
      </c>
      <c r="O7">
        <f>VLOOKUP($J7,[1]!Table7[[PLAYER]:[WAR]],48, FALSE)</f>
        <v>6.8023633781227515</v>
      </c>
      <c r="P7">
        <f t="shared" si="1"/>
        <v>22.674544593742507</v>
      </c>
    </row>
    <row r="8" spans="1:21" x14ac:dyDescent="0.25">
      <c r="A8">
        <v>30</v>
      </c>
      <c r="B8" t="s">
        <v>313</v>
      </c>
      <c r="C8" t="s">
        <v>19</v>
      </c>
      <c r="D8" s="9">
        <v>44714</v>
      </c>
      <c r="E8">
        <v>195</v>
      </c>
      <c r="F8" t="s">
        <v>314</v>
      </c>
      <c r="G8" t="s">
        <v>26</v>
      </c>
      <c r="H8" t="s">
        <v>315</v>
      </c>
      <c r="J8" t="str">
        <f t="shared" si="0"/>
        <v>Kurki, C</v>
      </c>
      <c r="L8">
        <f>VLOOKUP($J8,[1]!Table7[[PLAYER]:[WAR]],4, FALSE)</f>
        <v>19</v>
      </c>
      <c r="M8">
        <f>VLOOKUP($J8,[1]!Table7[[PLAYER]:[WAR]],5, FALSE)</f>
        <v>0</v>
      </c>
      <c r="N8">
        <f>VLOOKUP($J8,[1]!Table7[[PLAYER]:[WAR]],34, FALSE)</f>
        <v>23</v>
      </c>
      <c r="O8">
        <f>VLOOKUP($J8,[1]!Table7[[PLAYER]:[WAR]],48, FALSE)</f>
        <v>6.1376248526272974</v>
      </c>
      <c r="P8">
        <f t="shared" si="1"/>
        <v>15.685041290047536</v>
      </c>
    </row>
    <row r="9" spans="1:21" x14ac:dyDescent="0.25">
      <c r="A9">
        <v>31</v>
      </c>
      <c r="B9" t="s">
        <v>316</v>
      </c>
      <c r="C9" t="s">
        <v>19</v>
      </c>
      <c r="D9" s="9">
        <v>44714</v>
      </c>
      <c r="E9">
        <v>190</v>
      </c>
      <c r="F9" t="s">
        <v>297</v>
      </c>
      <c r="G9" t="s">
        <v>56</v>
      </c>
      <c r="H9" t="s">
        <v>317</v>
      </c>
      <c r="J9" t="str">
        <f t="shared" si="0"/>
        <v>Medina, A</v>
      </c>
      <c r="L9">
        <f>VLOOKUP($J9,[1]!Table7[[PLAYER]:[WAR]],4, FALSE)</f>
        <v>5</v>
      </c>
      <c r="M9">
        <f>VLOOKUP($J9,[1]!Table7[[PLAYER]:[WAR]],5, FALSE)</f>
        <v>0</v>
      </c>
      <c r="N9">
        <f>VLOOKUP($J9,[1]!Table7[[PLAYER]:[WAR]],34, FALSE)</f>
        <v>8</v>
      </c>
      <c r="O9">
        <f>VLOOKUP($J9,[1]!Table7[[PLAYER]:[WAR]],48, FALSE)</f>
        <v>9.1945777138116469</v>
      </c>
      <c r="P9">
        <f t="shared" si="1"/>
        <v>8.1729579678325752</v>
      </c>
    </row>
    <row r="10" spans="1:21" x14ac:dyDescent="0.25">
      <c r="A10">
        <v>16</v>
      </c>
      <c r="B10" t="s">
        <v>318</v>
      </c>
      <c r="C10" t="s">
        <v>19</v>
      </c>
      <c r="D10" s="9">
        <v>36678</v>
      </c>
      <c r="E10">
        <v>185</v>
      </c>
      <c r="F10" t="s">
        <v>319</v>
      </c>
      <c r="G10" t="s">
        <v>69</v>
      </c>
      <c r="H10" t="s">
        <v>320</v>
      </c>
      <c r="J10" t="str">
        <f t="shared" si="0"/>
        <v>Mendoza, A</v>
      </c>
      <c r="L10">
        <f>VLOOKUP($J10,[1]!Table7[[PLAYER]:[WAR]],4, FALSE)</f>
        <v>5</v>
      </c>
      <c r="M10">
        <f>VLOOKUP($J10,[1]!Table7[[PLAYER]:[WAR]],5, FALSE)</f>
        <v>0</v>
      </c>
      <c r="N10">
        <f>VLOOKUP($J10,[1]!Table7[[PLAYER]:[WAR]],34, FALSE)</f>
        <v>6</v>
      </c>
      <c r="O10">
        <f>VLOOKUP($J10,[1]!Table7[[PLAYER]:[WAR]],48, FALSE)</f>
        <v>6.5905067579879422</v>
      </c>
      <c r="P10">
        <f t="shared" si="1"/>
        <v>4.3936711719919614</v>
      </c>
    </row>
    <row r="11" spans="1:21" x14ac:dyDescent="0.25">
      <c r="A11">
        <v>32</v>
      </c>
      <c r="B11" t="s">
        <v>321</v>
      </c>
      <c r="C11" t="s">
        <v>54</v>
      </c>
      <c r="D11" s="9">
        <v>44714</v>
      </c>
      <c r="E11">
        <v>190</v>
      </c>
      <c r="F11" t="s">
        <v>216</v>
      </c>
      <c r="G11" t="s">
        <v>47</v>
      </c>
      <c r="H11" t="s">
        <v>322</v>
      </c>
      <c r="J11" t="str">
        <f t="shared" si="0"/>
        <v>Peters, E</v>
      </c>
      <c r="L11">
        <f>VLOOKUP($J11,[1]!Table7[[PLAYER]:[WAR]],4, FALSE)</f>
        <v>4</v>
      </c>
      <c r="M11">
        <f>VLOOKUP($J11,[1]!Table7[[PLAYER]:[WAR]],5, FALSE)</f>
        <v>1</v>
      </c>
      <c r="N11">
        <f>VLOOKUP($J11,[1]!Table7[[PLAYER]:[WAR]],34, FALSE)</f>
        <v>3.3333333333333335</v>
      </c>
      <c r="O11">
        <f>VLOOKUP($J11,[1]!Table7[[PLAYER]:[WAR]],48, FALSE)</f>
        <v>12.663729868519157</v>
      </c>
      <c r="P11">
        <f t="shared" si="1"/>
        <v>4.6902703216737622</v>
      </c>
    </row>
    <row r="12" spans="1:21" x14ac:dyDescent="0.25">
      <c r="A12" s="11">
        <v>15</v>
      </c>
      <c r="B12" s="11" t="s">
        <v>323</v>
      </c>
      <c r="C12" s="11" t="s">
        <v>19</v>
      </c>
      <c r="D12" s="12">
        <v>44716</v>
      </c>
      <c r="E12" s="11">
        <v>215</v>
      </c>
      <c r="F12" s="11" t="s">
        <v>324</v>
      </c>
      <c r="G12" s="11" t="s">
        <v>56</v>
      </c>
      <c r="H12" s="11" t="s">
        <v>325</v>
      </c>
      <c r="I12" s="11"/>
      <c r="J12" s="11" t="str">
        <f t="shared" si="0"/>
        <v>Robinson, C</v>
      </c>
      <c r="K12" s="11"/>
      <c r="L12" s="11">
        <f>VLOOKUP($J12,[1]!Table7[[PLAYER]:[WAR]],4, FALSE)</f>
        <v>9</v>
      </c>
      <c r="M12" s="11">
        <f>VLOOKUP($J12,[1]!Table7[[PLAYER]:[WAR]],5, FALSE)</f>
        <v>6</v>
      </c>
      <c r="N12" s="11">
        <f>VLOOKUP($J12,[1]!Table7[[PLAYER]:[WAR]],34, FALSE)</f>
        <v>25.333333333333339</v>
      </c>
      <c r="O12" s="11">
        <f>VLOOKUP($J12,[1]!Table7[[PLAYER]:[WAR]],48, FALSE)</f>
        <v>6.9436011248792902</v>
      </c>
      <c r="P12" s="11">
        <f t="shared" si="1"/>
        <v>19.544951314475043</v>
      </c>
      <c r="Q12">
        <v>3</v>
      </c>
    </row>
    <row r="13" spans="1:21" x14ac:dyDescent="0.25">
      <c r="A13">
        <v>3</v>
      </c>
      <c r="B13" t="s">
        <v>326</v>
      </c>
      <c r="C13" t="s">
        <v>19</v>
      </c>
      <c r="D13" s="9">
        <v>36678</v>
      </c>
      <c r="E13">
        <v>200</v>
      </c>
      <c r="F13" t="s">
        <v>327</v>
      </c>
      <c r="G13" t="s">
        <v>56</v>
      </c>
      <c r="H13" t="s">
        <v>328</v>
      </c>
      <c r="J13" t="str">
        <f t="shared" si="0"/>
        <v>Schulfer, L</v>
      </c>
      <c r="L13">
        <f>VLOOKUP($J13,[1]!Table7[[PLAYER]:[WAR]],4, FALSE)</f>
        <v>13</v>
      </c>
      <c r="M13">
        <f>VLOOKUP($J13,[1]!Table7[[PLAYER]:[WAR]],5, FALSE)</f>
        <v>0</v>
      </c>
      <c r="N13">
        <f>VLOOKUP($J13,[1]!Table7[[PLAYER]:[WAR]],34, FALSE)</f>
        <v>39</v>
      </c>
      <c r="O13">
        <f>VLOOKUP($J13,[1]!Table7[[PLAYER]:[WAR]],48, FALSE)</f>
        <v>5.6806097356140786</v>
      </c>
      <c r="P13">
        <f t="shared" si="1"/>
        <v>24.61597552099434</v>
      </c>
    </row>
    <row r="14" spans="1:21" x14ac:dyDescent="0.25">
      <c r="A14">
        <v>22</v>
      </c>
      <c r="B14" t="s">
        <v>329</v>
      </c>
      <c r="C14" t="s">
        <v>54</v>
      </c>
      <c r="D14" s="9">
        <v>36678</v>
      </c>
      <c r="E14">
        <v>200</v>
      </c>
      <c r="F14" t="s">
        <v>330</v>
      </c>
      <c r="G14" t="s">
        <v>26</v>
      </c>
      <c r="H14" t="s">
        <v>331</v>
      </c>
      <c r="J14" t="str">
        <f t="shared" si="0"/>
        <v>Scott, B</v>
      </c>
      <c r="L14">
        <f>VLOOKUP($J14,[1]!Table7[[PLAYER]:[WAR]],4, FALSE)</f>
        <v>4</v>
      </c>
      <c r="M14">
        <f>VLOOKUP($J14,[1]!Table7[[PLAYER]:[WAR]],5, FALSE)</f>
        <v>3</v>
      </c>
      <c r="N14">
        <f>VLOOKUP($J14,[1]!Table7[[PLAYER]:[WAR]],34, FALSE)</f>
        <v>12.666666666666664</v>
      </c>
      <c r="O14">
        <f>VLOOKUP($J14,[1]!Table7[[PLAYER]:[WAR]],48, FALSE)</f>
        <v>8.4488981626792565</v>
      </c>
      <c r="P14">
        <f t="shared" si="1"/>
        <v>11.891041858585618</v>
      </c>
    </row>
    <row r="15" spans="1:21" x14ac:dyDescent="0.25">
      <c r="A15" s="11">
        <v>5</v>
      </c>
      <c r="B15" s="11" t="s">
        <v>332</v>
      </c>
      <c r="C15" s="11" t="s">
        <v>19</v>
      </c>
      <c r="D15" s="12">
        <v>36678</v>
      </c>
      <c r="E15" s="11">
        <v>200</v>
      </c>
      <c r="F15" s="11" t="s">
        <v>333</v>
      </c>
      <c r="G15" s="11" t="s">
        <v>47</v>
      </c>
      <c r="H15" s="11" t="s">
        <v>334</v>
      </c>
      <c r="I15" s="11"/>
      <c r="J15" s="11" t="str">
        <f t="shared" si="0"/>
        <v>Torres, N</v>
      </c>
      <c r="K15" s="11"/>
      <c r="L15" s="11">
        <f>VLOOKUP($J15,[1]!Table7[[PLAYER]:[WAR]],4, FALSE)</f>
        <v>12</v>
      </c>
      <c r="M15" s="11">
        <f>VLOOKUP($J15,[1]!Table7[[PLAYER]:[WAR]],5, FALSE)</f>
        <v>8</v>
      </c>
      <c r="N15" s="11">
        <f>VLOOKUP($J15,[1]!Table7[[PLAYER]:[WAR]],34, FALSE)</f>
        <v>36.333333333333336</v>
      </c>
      <c r="O15" s="11">
        <f>VLOOKUP($J15,[1]!Table7[[PLAYER]:[WAR]],48, FALSE)</f>
        <v>6.1418501541856303</v>
      </c>
      <c r="P15" s="11">
        <f t="shared" si="1"/>
        <v>24.794876548379026</v>
      </c>
      <c r="Q15">
        <v>2</v>
      </c>
    </row>
    <row r="16" spans="1:21" x14ac:dyDescent="0.25">
      <c r="A16">
        <v>38</v>
      </c>
      <c r="B16" t="s">
        <v>335</v>
      </c>
      <c r="C16" t="s">
        <v>19</v>
      </c>
      <c r="D16" s="9">
        <v>44716</v>
      </c>
      <c r="E16">
        <v>195</v>
      </c>
      <c r="F16" t="s">
        <v>219</v>
      </c>
      <c r="G16" t="s">
        <v>21</v>
      </c>
      <c r="H16" t="s">
        <v>336</v>
      </c>
      <c r="J16" t="str">
        <f t="shared" si="0"/>
        <v>Urban, C</v>
      </c>
      <c r="L16">
        <f>VLOOKUP($J16,[1]!Table7[[PLAYER]:[WAR]],4, FALSE)</f>
        <v>6</v>
      </c>
      <c r="M16">
        <f>VLOOKUP($J16,[1]!Table7[[PLAYER]:[WAR]],5, FALSE)</f>
        <v>0</v>
      </c>
      <c r="N16">
        <f>VLOOKUP($J16,[1]!Table7[[PLAYER]:[WAR]],34, FALSE)</f>
        <v>11</v>
      </c>
      <c r="O16">
        <f>VLOOKUP($J16,[1]!Table7[[PLAYER]:[WAR]],48, FALSE)</f>
        <v>7.665839602611598</v>
      </c>
      <c r="P16">
        <f t="shared" si="1"/>
        <v>9.3693595143030652</v>
      </c>
    </row>
    <row r="17" spans="1:18" x14ac:dyDescent="0.25">
      <c r="D17" s="9"/>
    </row>
    <row r="18" spans="1:18" x14ac:dyDescent="0.25">
      <c r="D18" s="9"/>
    </row>
    <row r="19" spans="1:18" x14ac:dyDescent="0.25">
      <c r="D19" s="9"/>
    </row>
    <row r="31" spans="1:18" x14ac:dyDescent="0.25">
      <c r="A31" t="s">
        <v>117</v>
      </c>
      <c r="B31">
        <f>COUNTIF(K33:K50, "&gt;= 7")</f>
        <v>5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7</v>
      </c>
      <c r="B33" t="s">
        <v>337</v>
      </c>
      <c r="C33" t="s">
        <v>19</v>
      </c>
      <c r="D33" s="9">
        <v>44692</v>
      </c>
      <c r="E33">
        <v>220</v>
      </c>
      <c r="F33" t="s">
        <v>338</v>
      </c>
      <c r="G33" t="s">
        <v>26</v>
      </c>
      <c r="H33" t="s">
        <v>339</v>
      </c>
      <c r="J33" t="str">
        <f t="shared" ref="J33:J43" si="3">LEFT(B33,(FIND(",",B33,1)+1)) &amp; LEFT(RIGHT(B33,LEN(B33)-(FIND(",",B33)+1)),1)</f>
        <v>Jensen, L</v>
      </c>
      <c r="K33">
        <v>7</v>
      </c>
      <c r="L33">
        <f>VLOOKUP(J33,[1]!Table6[[PLAYER]:[XBH]],26,FALSE)</f>
        <v>169</v>
      </c>
      <c r="M33">
        <f>VLOOKUP(J33,[1]!Table6[[PLAYER]:[XBH]],45,FALSE)</f>
        <v>-0.20326222493139423</v>
      </c>
      <c r="N33">
        <f>(M33/L33) * VLOOKUP(K33,LineupPA!$A$1:$B$10,2,FALSE)</f>
        <v>-5.3390025090192389E-3</v>
      </c>
      <c r="O33">
        <f>IF(K33&lt;7, N33, (M33/L33)*(LineupPA!$C$10 * (3/$B$31)))</f>
        <v>-3.1492784277670897E-3</v>
      </c>
      <c r="P33" s="13"/>
      <c r="Q33">
        <f>SUM(N33:N44)</f>
        <v>0.6609619452171277</v>
      </c>
      <c r="R33">
        <f>SUM(O33:O44)</f>
        <v>1.3144371795057432</v>
      </c>
    </row>
    <row r="34" spans="1:18" x14ac:dyDescent="0.25">
      <c r="A34">
        <v>25</v>
      </c>
      <c r="B34" t="s">
        <v>340</v>
      </c>
      <c r="C34" t="s">
        <v>19</v>
      </c>
      <c r="D34" s="10">
        <v>36678</v>
      </c>
      <c r="E34">
        <v>207</v>
      </c>
      <c r="F34" t="s">
        <v>341</v>
      </c>
      <c r="G34" t="s">
        <v>47</v>
      </c>
      <c r="H34" t="s">
        <v>342</v>
      </c>
      <c r="J34" t="str">
        <f t="shared" si="3"/>
        <v>Semo, A</v>
      </c>
      <c r="K34">
        <v>5</v>
      </c>
      <c r="L34">
        <f>VLOOKUP(J34,[1]!Table6[[PLAYER]:[XBH]],26,FALSE)</f>
        <v>64</v>
      </c>
      <c r="M34">
        <f>VLOOKUP(J34,[1]!Table6[[PLAYER]:[XBH]],45,FALSE)</f>
        <v>3.0010141982962217</v>
      </c>
      <c r="N34">
        <f>(M34/L34) * VLOOKUP(K34,LineupPA!$A$1:$B$10,2,FALSE)</f>
        <v>0.21518449712034385</v>
      </c>
      <c r="O34">
        <f>IF(K34&lt;7, N34, (M34/L34)*(LineupPA!$C$10 * (3/$B$31)))</f>
        <v>0.21518449712034385</v>
      </c>
      <c r="P34" s="13"/>
    </row>
    <row r="35" spans="1:18" x14ac:dyDescent="0.25">
      <c r="A35">
        <v>28</v>
      </c>
      <c r="B35" t="s">
        <v>343</v>
      </c>
      <c r="C35" t="s">
        <v>19</v>
      </c>
      <c r="D35" s="9">
        <v>44714</v>
      </c>
      <c r="E35">
        <v>195</v>
      </c>
      <c r="F35" t="s">
        <v>202</v>
      </c>
      <c r="G35" t="s">
        <v>56</v>
      </c>
      <c r="H35" t="s">
        <v>344</v>
      </c>
      <c r="J35" t="str">
        <f t="shared" si="3"/>
        <v>Tuft, C</v>
      </c>
      <c r="K35">
        <v>3</v>
      </c>
      <c r="L35">
        <f>VLOOKUP(J35,[1]!Table6[[PLAYER]:[XBH]],26,FALSE)</f>
        <v>198</v>
      </c>
      <c r="M35">
        <f>VLOOKUP(J35,[1]!Table6[[PLAYER]:[XBH]],45,FALSE)</f>
        <v>22.926349416947883</v>
      </c>
      <c r="N35">
        <f>(M35/L35) * VLOOKUP(K35,LineupPA!$A$1:$B$10,2,FALSE)</f>
        <v>0.54873304937144618</v>
      </c>
      <c r="O35">
        <f>IF(K35&lt;7, N35, (M35/L35)*(LineupPA!$C$10 * (3/$B$31)))</f>
        <v>0.54873304937144618</v>
      </c>
      <c r="P35" s="13"/>
    </row>
    <row r="36" spans="1:18" x14ac:dyDescent="0.25">
      <c r="A36">
        <v>29</v>
      </c>
      <c r="B36" t="s">
        <v>345</v>
      </c>
      <c r="C36" t="s">
        <v>19</v>
      </c>
      <c r="D36" s="10">
        <v>36678</v>
      </c>
      <c r="E36">
        <v>190</v>
      </c>
      <c r="F36" t="s">
        <v>330</v>
      </c>
      <c r="G36" t="s">
        <v>26</v>
      </c>
      <c r="H36" t="s">
        <v>346</v>
      </c>
      <c r="J36" t="str">
        <f t="shared" si="3"/>
        <v>Brewer, A</v>
      </c>
      <c r="K36">
        <v>9</v>
      </c>
      <c r="L36">
        <f>VLOOKUP(J36,[1]!Table6[[PLAYER]:[XBH]],26,FALSE)</f>
        <v>171</v>
      </c>
      <c r="M36">
        <f>VLOOKUP(J36,[1]!Table6[[PLAYER]:[XBH]],45,FALSE)</f>
        <v>-14.193127353451802</v>
      </c>
      <c r="N36">
        <f>(M36/L36) * VLOOKUP(K36,LineupPA!$A$1:$B$10,2,FALSE)</f>
        <v>-0.35599444411657954</v>
      </c>
      <c r="O36">
        <f>IF(K36&lt;7, N36, (M36/L36)*(LineupPA!$C$10 * (3/$B$31)))</f>
        <v>-0.217331699984014</v>
      </c>
      <c r="P36" s="13"/>
    </row>
    <row r="37" spans="1:18" x14ac:dyDescent="0.25">
      <c r="A37">
        <v>10</v>
      </c>
      <c r="B37" t="s">
        <v>347</v>
      </c>
      <c r="C37" t="s">
        <v>19</v>
      </c>
      <c r="D37" s="9">
        <v>44714</v>
      </c>
      <c r="E37">
        <v>210</v>
      </c>
      <c r="F37" t="s">
        <v>348</v>
      </c>
      <c r="G37" t="s">
        <v>26</v>
      </c>
      <c r="H37" t="s">
        <v>349</v>
      </c>
      <c r="J37" t="str">
        <f t="shared" si="3"/>
        <v>Broussard, G</v>
      </c>
      <c r="K37">
        <v>6</v>
      </c>
      <c r="L37">
        <f>VLOOKUP(J37,[1]!Table6[[PLAYER]:[XBH]],26,FALSE)</f>
        <v>290</v>
      </c>
      <c r="M37">
        <f>VLOOKUP(J37,[1]!Table6[[PLAYER]:[XBH]],45,FALSE)</f>
        <v>-4.6802837562832016</v>
      </c>
      <c r="N37">
        <f>(M37/L37) * VLOOKUP(K37,LineupPA!$A$1:$B$10,2,FALSE)</f>
        <v>-7.2851863857053376E-2</v>
      </c>
      <c r="O37">
        <f>IF(K37&lt;7, N37, (M37/L37)*(LineupPA!$C$10 * (3/$B$31)))</f>
        <v>-7.2851863857053376E-2</v>
      </c>
      <c r="P37" s="13"/>
    </row>
    <row r="38" spans="1:18" x14ac:dyDescent="0.25">
      <c r="A38">
        <v>19</v>
      </c>
      <c r="B38" t="s">
        <v>350</v>
      </c>
      <c r="C38" t="s">
        <v>24</v>
      </c>
      <c r="D38" s="9">
        <v>44713</v>
      </c>
      <c r="E38">
        <v>195</v>
      </c>
      <c r="F38" t="s">
        <v>351</v>
      </c>
      <c r="G38" t="s">
        <v>174</v>
      </c>
      <c r="H38" t="s">
        <v>334</v>
      </c>
      <c r="J38" t="str">
        <f t="shared" si="3"/>
        <v>Chatham, C</v>
      </c>
      <c r="K38">
        <v>10</v>
      </c>
      <c r="L38">
        <f>VLOOKUP(J38,[1]!Table6[[PLAYER]:[XBH]],26,FALSE)</f>
        <v>44</v>
      </c>
      <c r="M38">
        <f>VLOOKUP(J38,[1]!Table6[[PLAYER]:[XBH]],45,FALSE)</f>
        <v>5.3136704924425722</v>
      </c>
      <c r="N38">
        <f>(M38/L38) * VLOOKUP(K38,LineupPA!$A$1:$B$10,2,FALSE)</f>
        <v>0</v>
      </c>
      <c r="O38">
        <f>IF(K38&lt;7, N38, (M38/L38)*(LineupPA!$C$10 * (3/$B$31)))</f>
        <v>0.31621541049202234</v>
      </c>
      <c r="P38" s="13"/>
    </row>
    <row r="39" spans="1:18" x14ac:dyDescent="0.25">
      <c r="A39">
        <v>14</v>
      </c>
      <c r="B39" t="s">
        <v>352</v>
      </c>
      <c r="C39" t="s">
        <v>24</v>
      </c>
      <c r="D39" s="9">
        <v>44692</v>
      </c>
      <c r="E39">
        <v>180</v>
      </c>
      <c r="F39" t="s">
        <v>353</v>
      </c>
      <c r="G39" t="s">
        <v>26</v>
      </c>
      <c r="H39" t="s">
        <v>354</v>
      </c>
      <c r="J39" t="str">
        <f t="shared" si="3"/>
        <v>Conniff, C</v>
      </c>
      <c r="K39">
        <v>8</v>
      </c>
      <c r="L39">
        <f>VLOOKUP(J39,[1]!Table6[[PLAYER]:[XBH]],26,FALSE)</f>
        <v>160</v>
      </c>
      <c r="M39">
        <f>VLOOKUP(J39,[1]!Table6[[PLAYER]:[XBH]],45,FALSE)</f>
        <v>1.5335965427525802</v>
      </c>
      <c r="N39">
        <f>(M39/L39) * VLOOKUP(K39,LineupPA!$A$1:$B$10,2,FALSE)</f>
        <v>4.182933647936269E-2</v>
      </c>
      <c r="O39">
        <f>IF(K39&lt;7, N39, (M39/L39)*(LineupPA!$C$10 * (3/$B$31)))</f>
        <v>2.5097601887617612E-2</v>
      </c>
      <c r="P39" s="13"/>
    </row>
    <row r="40" spans="1:18" x14ac:dyDescent="0.25">
      <c r="A40">
        <v>17</v>
      </c>
      <c r="B40" t="s">
        <v>355</v>
      </c>
      <c r="C40" t="s">
        <v>19</v>
      </c>
      <c r="D40" s="9">
        <v>44692</v>
      </c>
      <c r="E40">
        <v>200</v>
      </c>
      <c r="F40" t="s">
        <v>20</v>
      </c>
      <c r="G40" t="s">
        <v>51</v>
      </c>
      <c r="H40" t="s">
        <v>22</v>
      </c>
      <c r="J40" t="str">
        <f t="shared" si="3"/>
        <v>Igawa, J</v>
      </c>
      <c r="K40">
        <v>4</v>
      </c>
      <c r="L40">
        <f>VLOOKUP(J40,[1]!Table6[[PLAYER]:[XBH]],26,FALSE)</f>
        <v>282</v>
      </c>
      <c r="M40">
        <f>VLOOKUP(J40,[1]!Table6[[PLAYER]:[XBH]],45,FALSE)</f>
        <v>-6.4243200997213492</v>
      </c>
      <c r="N40">
        <f>(M40/L40) * VLOOKUP(K40,LineupPA!$A$1:$B$10,2,FALSE)</f>
        <v>-0.10625304215238854</v>
      </c>
      <c r="O40">
        <f>IF(K40&lt;7, N40, (M40/L40)*(LineupPA!$C$10 * (3/$B$31)))</f>
        <v>-0.10625304215238854</v>
      </c>
      <c r="P40" s="13"/>
    </row>
    <row r="41" spans="1:18" x14ac:dyDescent="0.25">
      <c r="A41">
        <v>2</v>
      </c>
      <c r="B41" t="s">
        <v>356</v>
      </c>
      <c r="C41" t="s">
        <v>19</v>
      </c>
      <c r="D41" s="9">
        <v>44714</v>
      </c>
      <c r="E41">
        <v>205</v>
      </c>
      <c r="F41" t="s">
        <v>324</v>
      </c>
      <c r="G41" t="s">
        <v>56</v>
      </c>
      <c r="H41" t="s">
        <v>357</v>
      </c>
      <c r="J41" t="str">
        <f t="shared" si="3"/>
        <v>Call, C</v>
      </c>
      <c r="K41">
        <v>2</v>
      </c>
      <c r="L41">
        <f>VLOOKUP(J41,[1]!Table6[[PLAYER]:[XBH]],26,FALSE)</f>
        <v>157</v>
      </c>
      <c r="M41">
        <f>VLOOKUP(J41,[1]!Table6[[PLAYER]:[XBH]],45,FALSE)</f>
        <v>11.58456095960109</v>
      </c>
      <c r="N41">
        <f>(M41/L41) * VLOOKUP(K41,LineupPA!$A$1:$B$10,2,FALSE)</f>
        <v>0.35521445617277775</v>
      </c>
      <c r="O41">
        <f>IF(K41&lt;7, N41, (M41/L41)*(LineupPA!$C$10 * (3/$B$31)))</f>
        <v>0.35521445617277775</v>
      </c>
      <c r="P41" s="13"/>
    </row>
    <row r="42" spans="1:18" x14ac:dyDescent="0.25">
      <c r="A42">
        <v>8</v>
      </c>
      <c r="B42" t="s">
        <v>358</v>
      </c>
      <c r="C42" t="s">
        <v>19</v>
      </c>
      <c r="D42" s="9">
        <v>44688</v>
      </c>
      <c r="E42">
        <v>193</v>
      </c>
      <c r="F42" t="s">
        <v>359</v>
      </c>
      <c r="G42" t="s">
        <v>174</v>
      </c>
      <c r="H42" t="s">
        <v>360</v>
      </c>
      <c r="J42" t="str">
        <f t="shared" si="3"/>
        <v>Erves, M</v>
      </c>
      <c r="K42">
        <v>10</v>
      </c>
      <c r="L42">
        <f>VLOOKUP(J42,[1]!Table6[[PLAYER]:[XBH]],26,FALSE)</f>
        <v>139</v>
      </c>
      <c r="M42">
        <f>VLOOKUP(J42,[1]!Table6[[PLAYER]:[XBH]],45,FALSE)</f>
        <v>11.314537860534992</v>
      </c>
      <c r="N42">
        <f>(M42/L42) * VLOOKUP(K42,LineupPA!$A$1:$B$10,2,FALSE)</f>
        <v>0</v>
      </c>
      <c r="O42">
        <f>IF(K42&lt;7, N42, (M42/L42)*(LineupPA!$C$10 * (3/$B$31)))</f>
        <v>0.21313909017452046</v>
      </c>
      <c r="P42" s="13"/>
    </row>
    <row r="43" spans="1:18" x14ac:dyDescent="0.25">
      <c r="A43">
        <v>6</v>
      </c>
      <c r="B43" t="s">
        <v>361</v>
      </c>
      <c r="C43" t="s">
        <v>24</v>
      </c>
      <c r="D43" s="10">
        <v>36678</v>
      </c>
      <c r="E43">
        <v>180</v>
      </c>
      <c r="F43" t="s">
        <v>362</v>
      </c>
      <c r="G43" t="s">
        <v>56</v>
      </c>
      <c r="H43" t="s">
        <v>363</v>
      </c>
      <c r="J43" t="str">
        <f t="shared" si="3"/>
        <v>Jurgella, B</v>
      </c>
      <c r="K43">
        <v>1</v>
      </c>
      <c r="L43">
        <f>VLOOKUP(J43,[1]!Table6[[PLAYER]:[XBH]],26,FALSE)</f>
        <v>152</v>
      </c>
      <c r="M43">
        <f>VLOOKUP(J43,[1]!Table6[[PLAYER]:[XBH]],45,FALSE)</f>
        <v>1.25724224781837</v>
      </c>
      <c r="N43">
        <f>(M43/L43) * VLOOKUP(K43,LineupPA!$A$1:$B$10,2,FALSE)</f>
        <v>4.0438958708238042E-2</v>
      </c>
      <c r="O43">
        <f>IF(K43&lt;7, N43, (M43/L43)*(LineupPA!$C$10 * (3/$B$31)))</f>
        <v>4.0438958708238042E-2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B55C-EDF0-4201-BD83-44491F8F2D81}">
  <dimension ref="A1:U47"/>
  <sheetViews>
    <sheetView workbookViewId="0">
      <selection activeCell="S6" sqref="S6"/>
    </sheetView>
  </sheetViews>
  <sheetFormatPr defaultRowHeight="15" x14ac:dyDescent="0.25"/>
  <sheetData>
    <row r="1" spans="1:2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L1" t="s">
        <v>121</v>
      </c>
      <c r="M1" t="s">
        <v>122</v>
      </c>
      <c r="N1" t="s">
        <v>124</v>
      </c>
      <c r="O1" t="s">
        <v>123</v>
      </c>
      <c r="P1" t="s">
        <v>128</v>
      </c>
      <c r="S1" t="s">
        <v>440</v>
      </c>
      <c r="T1" t="s">
        <v>442</v>
      </c>
      <c r="U1" t="s">
        <v>445</v>
      </c>
    </row>
    <row r="2" spans="1:21" x14ac:dyDescent="0.25">
      <c r="A2">
        <v>18</v>
      </c>
      <c r="B2" t="s">
        <v>364</v>
      </c>
      <c r="C2" t="s">
        <v>19</v>
      </c>
      <c r="D2" s="9">
        <v>44713</v>
      </c>
      <c r="E2">
        <v>165</v>
      </c>
      <c r="F2" t="s">
        <v>365</v>
      </c>
      <c r="G2" t="s">
        <v>26</v>
      </c>
      <c r="H2" t="s">
        <v>366</v>
      </c>
      <c r="J2" t="str">
        <f>LEFT(B2,(FIND(",",B2,1)+1)) &amp; LEFT(RIGHT(B2,LEN(B2)-(FIND(",",B2)+1)),1)</f>
        <v>Badger, T</v>
      </c>
      <c r="L2">
        <f>VLOOKUP($J2,[1]!Table7[[PLAYER]:[WAR]],4, FALSE)</f>
        <v>13</v>
      </c>
      <c r="M2">
        <f>VLOOKUP($J2,[1]!Table7[[PLAYER]:[WAR]],5, FALSE)</f>
        <v>0</v>
      </c>
      <c r="N2">
        <f>VLOOKUP($J2,[1]!Table7[[PLAYER]:[WAR]],34, FALSE)</f>
        <v>15.666666666666664</v>
      </c>
      <c r="O2">
        <f>VLOOKUP($J2,[1]!Table7[[PLAYER]:[WAR]],48, FALSE)</f>
        <v>5.4262992060001736</v>
      </c>
      <c r="P2">
        <f>O2 * (N2/9)</f>
        <v>9.4457800993336338</v>
      </c>
      <c r="R2">
        <v>1</v>
      </c>
      <c r="S2">
        <f>SUMIF($Q$2:$Q$25,R2,$O$2:$O$25)</f>
        <v>5.1381613417395666</v>
      </c>
      <c r="T2" s="11">
        <f>(SUM(P2:P9,P12:P15) / SUM(N2:N9,N12:N15)) * 9</f>
        <v>6.1319422310381393</v>
      </c>
      <c r="U2" s="11">
        <f>(5.5/9)*$S$2 + (3.5/9)*$T$2</f>
        <v>5.5246316875779007</v>
      </c>
    </row>
    <row r="3" spans="1:21" x14ac:dyDescent="0.25">
      <c r="A3">
        <v>28</v>
      </c>
      <c r="B3" t="s">
        <v>367</v>
      </c>
      <c r="C3" t="s">
        <v>54</v>
      </c>
      <c r="D3" s="9">
        <v>44714</v>
      </c>
      <c r="E3">
        <v>200</v>
      </c>
      <c r="F3" t="s">
        <v>72</v>
      </c>
      <c r="G3" t="s">
        <v>39</v>
      </c>
      <c r="H3" t="s">
        <v>368</v>
      </c>
      <c r="J3" t="str">
        <f t="shared" ref="J3:J16" si="0">LEFT(B3,(FIND(",",B3,1)+1)) &amp; LEFT(RIGHT(B3,LEN(B3)-(FIND(",",B3)+1)),1)</f>
        <v>Baytosh, C</v>
      </c>
      <c r="L3">
        <f>VLOOKUP($J3,[1]!Table7[[PLAYER]:[WAR]],4, FALSE)</f>
        <v>11</v>
      </c>
      <c r="M3">
        <f>VLOOKUP($J3,[1]!Table7[[PLAYER]:[WAR]],5, FALSE)</f>
        <v>0</v>
      </c>
      <c r="N3">
        <f>VLOOKUP($J3,[1]!Table7[[PLAYER]:[WAR]],34, FALSE)</f>
        <v>28.333333333333339</v>
      </c>
      <c r="O3">
        <f>VLOOKUP($J3,[1]!Table7[[PLAYER]:[WAR]],48, FALSE)</f>
        <v>6.4381909219253535</v>
      </c>
      <c r="P3">
        <f t="shared" ref="P3:P16" si="1">O3 * (N3/9)</f>
        <v>20.268378828283524</v>
      </c>
      <c r="R3">
        <v>2</v>
      </c>
      <c r="S3">
        <f t="shared" ref="S3:S4" si="2">SUMIF($Q$2:$Q$25,R3,$O$2:$O$25)</f>
        <v>6.6509221419872411</v>
      </c>
    </row>
    <row r="4" spans="1:21" x14ac:dyDescent="0.25">
      <c r="A4">
        <v>20</v>
      </c>
      <c r="B4" t="s">
        <v>369</v>
      </c>
      <c r="C4" t="s">
        <v>19</v>
      </c>
      <c r="D4" s="9">
        <v>44692</v>
      </c>
      <c r="E4">
        <v>195</v>
      </c>
      <c r="F4" t="s">
        <v>370</v>
      </c>
      <c r="G4" t="s">
        <v>51</v>
      </c>
      <c r="H4" t="s">
        <v>371</v>
      </c>
      <c r="J4" t="str">
        <f t="shared" si="0"/>
        <v>Brown, J</v>
      </c>
      <c r="L4">
        <f>VLOOKUP($J4,[1]!Table7[[PLAYER]:[WAR]],4, FALSE)</f>
        <v>13</v>
      </c>
      <c r="M4">
        <f>VLOOKUP($J4,[1]!Table7[[PLAYER]:[WAR]],5, FALSE)</f>
        <v>8</v>
      </c>
      <c r="N4">
        <f>VLOOKUP($J4,[1]!Table7[[PLAYER]:[WAR]],34, FALSE)</f>
        <v>43</v>
      </c>
      <c r="O4">
        <f>VLOOKUP($J4,[1]!Table7[[PLAYER]:[WAR]],48, FALSE)</f>
        <v>8.2145279651738576</v>
      </c>
      <c r="P4">
        <f t="shared" si="1"/>
        <v>39.247189166941766</v>
      </c>
      <c r="R4">
        <v>3</v>
      </c>
      <c r="S4">
        <f t="shared" si="2"/>
        <v>5.4639672807541864</v>
      </c>
      <c r="U4" t="s">
        <v>446</v>
      </c>
    </row>
    <row r="5" spans="1:21" x14ac:dyDescent="0.25">
      <c r="A5">
        <v>8</v>
      </c>
      <c r="B5" t="s">
        <v>372</v>
      </c>
      <c r="C5" t="s">
        <v>19</v>
      </c>
      <c r="D5" s="9">
        <v>44691</v>
      </c>
      <c r="E5">
        <v>160</v>
      </c>
      <c r="F5" t="s">
        <v>144</v>
      </c>
      <c r="G5" t="s">
        <v>26</v>
      </c>
      <c r="H5" t="s">
        <v>373</v>
      </c>
      <c r="J5" t="str">
        <f t="shared" si="0"/>
        <v>Felker, T</v>
      </c>
      <c r="L5">
        <f>VLOOKUP($J5,[1]!Table7[[PLAYER]:[WAR]],4, FALSE)</f>
        <v>10</v>
      </c>
      <c r="M5">
        <f>VLOOKUP($J5,[1]!Table7[[PLAYER]:[WAR]],5, FALSE)</f>
        <v>10</v>
      </c>
      <c r="N5">
        <f>VLOOKUP($J5,[1]!Table7[[PLAYER]:[WAR]],34, FALSE)</f>
        <v>49.666666666666679</v>
      </c>
      <c r="O5">
        <f>VLOOKUP($J5,[1]!Table7[[PLAYER]:[WAR]],48, FALSE)</f>
        <v>6.7682906287151496</v>
      </c>
      <c r="P5">
        <f t="shared" si="1"/>
        <v>37.35093717327991</v>
      </c>
      <c r="U5" s="11">
        <f>(5.5/9)*$S$6 + (3.5/9)*$T$2</f>
        <v>5.8991545418720719</v>
      </c>
    </row>
    <row r="6" spans="1:21" x14ac:dyDescent="0.25">
      <c r="A6">
        <v>22</v>
      </c>
      <c r="B6" t="s">
        <v>374</v>
      </c>
      <c r="C6" t="s">
        <v>19</v>
      </c>
      <c r="D6" s="9">
        <v>44692</v>
      </c>
      <c r="E6">
        <v>210</v>
      </c>
      <c r="F6" t="s">
        <v>375</v>
      </c>
      <c r="G6" t="s">
        <v>21</v>
      </c>
      <c r="H6" t="s">
        <v>376</v>
      </c>
      <c r="J6" t="str">
        <f t="shared" si="0"/>
        <v>Helwig, M</v>
      </c>
      <c r="L6">
        <f>VLOOKUP($J6,[1]!Table7[[PLAYER]:[WAR]],4, FALSE)</f>
        <v>22</v>
      </c>
      <c r="M6">
        <f>VLOOKUP($J6,[1]!Table7[[PLAYER]:[WAR]],5, FALSE)</f>
        <v>0</v>
      </c>
      <c r="N6">
        <f>VLOOKUP($J6,[1]!Table7[[PLAYER]:[WAR]],34, FALSE)</f>
        <v>27.333333333333339</v>
      </c>
      <c r="O6">
        <f>VLOOKUP($J6,[1]!Table7[[PLAYER]:[WAR]],48, FALSE)</f>
        <v>4.3350067727746309</v>
      </c>
      <c r="P6">
        <f t="shared" si="1"/>
        <v>13.165576124722955</v>
      </c>
      <c r="R6" t="s">
        <v>441</v>
      </c>
      <c r="S6" s="11">
        <f>AVERAGE(S2:S4)</f>
        <v>5.7510169214936653</v>
      </c>
    </row>
    <row r="7" spans="1:21" x14ac:dyDescent="0.25">
      <c r="A7">
        <v>30</v>
      </c>
      <c r="B7" t="s">
        <v>377</v>
      </c>
      <c r="C7" t="s">
        <v>54</v>
      </c>
      <c r="D7" s="9">
        <v>44713</v>
      </c>
      <c r="E7">
        <v>185</v>
      </c>
      <c r="F7" t="s">
        <v>280</v>
      </c>
      <c r="G7" t="s">
        <v>39</v>
      </c>
      <c r="H7" t="s">
        <v>378</v>
      </c>
      <c r="J7" t="str">
        <f t="shared" si="0"/>
        <v>Johnson, N</v>
      </c>
      <c r="L7">
        <f>VLOOKUP($J7,[1]!Table7[[PLAYER]:[WAR]],4, FALSE)</f>
        <v>5</v>
      </c>
      <c r="M7">
        <f>VLOOKUP($J7,[1]!Table7[[PLAYER]:[WAR]],5, FALSE)</f>
        <v>1</v>
      </c>
      <c r="N7">
        <f>VLOOKUP($J7,[1]!Table7[[PLAYER]:[WAR]],34, FALSE)</f>
        <v>11</v>
      </c>
      <c r="O7">
        <f>VLOOKUP($J7,[1]!Table7[[PLAYER]:[WAR]],48, FALSE)</f>
        <v>6.2444659909798235</v>
      </c>
      <c r="P7">
        <f t="shared" si="1"/>
        <v>7.6321251000864514</v>
      </c>
    </row>
    <row r="8" spans="1:21" x14ac:dyDescent="0.25">
      <c r="A8">
        <v>37</v>
      </c>
      <c r="B8" t="s">
        <v>379</v>
      </c>
      <c r="C8" t="s">
        <v>24</v>
      </c>
      <c r="D8" s="9">
        <v>44715</v>
      </c>
      <c r="E8">
        <v>187</v>
      </c>
      <c r="F8" t="s">
        <v>380</v>
      </c>
      <c r="G8" t="s">
        <v>39</v>
      </c>
      <c r="H8" t="s">
        <v>371</v>
      </c>
      <c r="J8" t="str">
        <f t="shared" si="0"/>
        <v>Katz, I</v>
      </c>
      <c r="L8">
        <f>VLOOKUP($J8,[1]!Table7[[PLAYER]:[WAR]],4, FALSE)</f>
        <v>8</v>
      </c>
      <c r="M8">
        <f>VLOOKUP($J8,[1]!Table7[[PLAYER]:[WAR]],5, FALSE)</f>
        <v>0</v>
      </c>
      <c r="N8">
        <f>VLOOKUP($J8,[1]!Table7[[PLAYER]:[WAR]],34, FALSE)</f>
        <v>14</v>
      </c>
      <c r="O8">
        <f>VLOOKUP($J8,[1]!Table7[[PLAYER]:[WAR]],48, FALSE)</f>
        <v>3.7969090599586637</v>
      </c>
      <c r="P8">
        <f t="shared" si="1"/>
        <v>5.9063029821579214</v>
      </c>
    </row>
    <row r="9" spans="1:21" x14ac:dyDescent="0.25">
      <c r="A9">
        <v>23</v>
      </c>
      <c r="B9" t="s">
        <v>381</v>
      </c>
      <c r="C9" t="s">
        <v>24</v>
      </c>
      <c r="D9" s="9">
        <v>44716</v>
      </c>
      <c r="E9">
        <v>240</v>
      </c>
      <c r="F9" t="s">
        <v>382</v>
      </c>
      <c r="G9" t="s">
        <v>56</v>
      </c>
      <c r="H9" t="s">
        <v>383</v>
      </c>
      <c r="J9" t="str">
        <f t="shared" si="0"/>
        <v>Louthan, E</v>
      </c>
      <c r="L9">
        <f>VLOOKUP($J9,[1]!Table7[[PLAYER]:[WAR]],4, FALSE)</f>
        <v>12</v>
      </c>
      <c r="M9">
        <f>VLOOKUP($J9,[1]!Table7[[PLAYER]:[WAR]],5, FALSE)</f>
        <v>1</v>
      </c>
      <c r="N9">
        <f>VLOOKUP($J9,[1]!Table7[[PLAYER]:[WAR]],34, FALSE)</f>
        <v>32.666666666666679</v>
      </c>
      <c r="O9">
        <f>VLOOKUP($J9,[1]!Table7[[PLAYER]:[WAR]],48, FALSE)</f>
        <v>5.837511088560035</v>
      </c>
      <c r="P9">
        <f t="shared" si="1"/>
        <v>21.188003210329025</v>
      </c>
    </row>
    <row r="10" spans="1:21" x14ac:dyDescent="0.25">
      <c r="A10" s="11">
        <v>40</v>
      </c>
      <c r="B10" s="11" t="s">
        <v>384</v>
      </c>
      <c r="C10" s="11" t="s">
        <v>19</v>
      </c>
      <c r="D10" s="12">
        <v>44716</v>
      </c>
      <c r="E10" s="11">
        <v>302</v>
      </c>
      <c r="F10" s="11" t="s">
        <v>144</v>
      </c>
      <c r="G10" s="11" t="s">
        <v>26</v>
      </c>
      <c r="H10" s="11" t="s">
        <v>385</v>
      </c>
      <c r="I10" s="11"/>
      <c r="J10" s="11" t="str">
        <f t="shared" si="0"/>
        <v>Pease, J</v>
      </c>
      <c r="K10" s="11"/>
      <c r="L10" s="11">
        <f>VLOOKUP($J10,[1]!Table7[[PLAYER]:[WAR]],4, FALSE)</f>
        <v>9</v>
      </c>
      <c r="M10" s="11">
        <f>VLOOKUP($J10,[1]!Table7[[PLAYER]:[WAR]],5, FALSE)</f>
        <v>9</v>
      </c>
      <c r="N10" s="11">
        <f>VLOOKUP($J10,[1]!Table7[[PLAYER]:[WAR]],34, FALSE)</f>
        <v>37</v>
      </c>
      <c r="O10" s="11">
        <f>VLOOKUP($J10,[1]!Table7[[PLAYER]:[WAR]],48, FALSE)</f>
        <v>6.6509221419872411</v>
      </c>
      <c r="P10" s="11">
        <f t="shared" si="1"/>
        <v>27.342679917058653</v>
      </c>
      <c r="Q10">
        <v>2</v>
      </c>
    </row>
    <row r="11" spans="1:21" x14ac:dyDescent="0.25">
      <c r="A11" s="11">
        <v>10</v>
      </c>
      <c r="B11" s="11" t="s">
        <v>386</v>
      </c>
      <c r="C11" s="11" t="s">
        <v>19</v>
      </c>
      <c r="D11" s="12">
        <v>44713</v>
      </c>
      <c r="E11" s="11">
        <v>210</v>
      </c>
      <c r="F11" s="11" t="s">
        <v>387</v>
      </c>
      <c r="G11" s="11" t="s">
        <v>39</v>
      </c>
      <c r="H11" s="11" t="s">
        <v>388</v>
      </c>
      <c r="I11" s="11"/>
      <c r="J11" s="11" t="str">
        <f t="shared" si="0"/>
        <v>Rizzo, W</v>
      </c>
      <c r="K11" s="11"/>
      <c r="L11" s="11">
        <f>VLOOKUP($J11,[1]!Table7[[PLAYER]:[WAR]],4, FALSE)</f>
        <v>11</v>
      </c>
      <c r="M11" s="11">
        <f>VLOOKUP($J11,[1]!Table7[[PLAYER]:[WAR]],5, FALSE)</f>
        <v>5</v>
      </c>
      <c r="N11" s="11">
        <f>VLOOKUP($J11,[1]!Table7[[PLAYER]:[WAR]],34, FALSE)</f>
        <v>36.666666666666679</v>
      </c>
      <c r="O11" s="11">
        <f>VLOOKUP($J11,[1]!Table7[[PLAYER]:[WAR]],48, FALSE)</f>
        <v>5.4639672807541864</v>
      </c>
      <c r="P11" s="11">
        <f t="shared" si="1"/>
        <v>22.260607440109656</v>
      </c>
      <c r="Q11">
        <v>3</v>
      </c>
    </row>
    <row r="12" spans="1:21" x14ac:dyDescent="0.25">
      <c r="A12">
        <v>11</v>
      </c>
      <c r="B12" t="s">
        <v>389</v>
      </c>
      <c r="C12" t="s">
        <v>54</v>
      </c>
      <c r="D12" s="9">
        <v>44714</v>
      </c>
      <c r="E12">
        <v>180</v>
      </c>
      <c r="F12" t="s">
        <v>20</v>
      </c>
      <c r="G12" t="s">
        <v>56</v>
      </c>
      <c r="H12" t="s">
        <v>390</v>
      </c>
      <c r="J12" t="str">
        <f t="shared" si="0"/>
        <v>Ronan, C</v>
      </c>
      <c r="L12">
        <f>VLOOKUP($J12,[1]!Table7[[PLAYER]:[WAR]],4, FALSE)</f>
        <v>7</v>
      </c>
      <c r="M12">
        <f>VLOOKUP($J12,[1]!Table7[[PLAYER]:[WAR]],5, FALSE)</f>
        <v>4</v>
      </c>
      <c r="N12">
        <f>VLOOKUP($J12,[1]!Table7[[PLAYER]:[WAR]],34, FALSE)</f>
        <v>23.333333333333339</v>
      </c>
      <c r="O12">
        <f>VLOOKUP($J12,[1]!Table7[[PLAYER]:[WAR]],48, FALSE)</f>
        <v>6.414435222300737</v>
      </c>
      <c r="P12">
        <f t="shared" si="1"/>
        <v>16.630017243001916</v>
      </c>
    </row>
    <row r="13" spans="1:21" x14ac:dyDescent="0.25">
      <c r="A13">
        <v>15</v>
      </c>
      <c r="B13" t="s">
        <v>391</v>
      </c>
      <c r="C13" t="s">
        <v>19</v>
      </c>
      <c r="D13" s="9">
        <v>44715</v>
      </c>
      <c r="E13">
        <v>190</v>
      </c>
      <c r="F13" t="s">
        <v>392</v>
      </c>
      <c r="G13" t="s">
        <v>26</v>
      </c>
      <c r="H13" t="s">
        <v>393</v>
      </c>
      <c r="J13" t="str">
        <f t="shared" si="0"/>
        <v>Rosenbaum, H</v>
      </c>
      <c r="L13">
        <f>VLOOKUP($J13,[1]!Table7[[PLAYER]:[WAR]],4, FALSE)</f>
        <v>14</v>
      </c>
      <c r="M13">
        <f>VLOOKUP($J13,[1]!Table7[[PLAYER]:[WAR]],5, FALSE)</f>
        <v>0</v>
      </c>
      <c r="N13">
        <f>VLOOKUP($J13,[1]!Table7[[PLAYER]:[WAR]],34, FALSE)</f>
        <v>25.666666666666664</v>
      </c>
      <c r="O13">
        <f>VLOOKUP($J13,[1]!Table7[[PLAYER]:[WAR]],48, FALSE)</f>
        <v>6.1084906059230919</v>
      </c>
      <c r="P13">
        <f t="shared" si="1"/>
        <v>17.42051024652141</v>
      </c>
    </row>
    <row r="14" spans="1:21" x14ac:dyDescent="0.25">
      <c r="A14">
        <v>31</v>
      </c>
      <c r="B14" t="s">
        <v>394</v>
      </c>
      <c r="C14" t="s">
        <v>19</v>
      </c>
      <c r="D14" s="9">
        <v>44713</v>
      </c>
      <c r="E14">
        <v>185</v>
      </c>
      <c r="F14" t="s">
        <v>395</v>
      </c>
      <c r="G14" t="s">
        <v>51</v>
      </c>
      <c r="H14" t="s">
        <v>396</v>
      </c>
      <c r="J14" t="str">
        <f t="shared" si="0"/>
        <v>Shepard, B</v>
      </c>
      <c r="L14">
        <f>VLOOKUP($J14,[1]!Table7[[PLAYER]:[WAR]],4, FALSE)</f>
        <v>5</v>
      </c>
      <c r="M14">
        <f>VLOOKUP($J14,[1]!Table7[[PLAYER]:[WAR]],5, FALSE)</f>
        <v>5</v>
      </c>
      <c r="N14">
        <f>VLOOKUP($J14,[1]!Table7[[PLAYER]:[WAR]],34, FALSE)</f>
        <v>27.666666666666664</v>
      </c>
      <c r="O14">
        <f>VLOOKUP($J14,[1]!Table7[[PLAYER]:[WAR]],48, FALSE)</f>
        <v>6.0873570822215033</v>
      </c>
      <c r="P14">
        <f t="shared" si="1"/>
        <v>18.712986586088324</v>
      </c>
    </row>
    <row r="15" spans="1:21" x14ac:dyDescent="0.25">
      <c r="A15">
        <v>34</v>
      </c>
      <c r="B15" t="s">
        <v>397</v>
      </c>
      <c r="C15" t="s">
        <v>19</v>
      </c>
      <c r="D15" s="9">
        <v>44715</v>
      </c>
      <c r="E15">
        <v>220</v>
      </c>
      <c r="F15" t="s">
        <v>398</v>
      </c>
      <c r="G15" t="s">
        <v>56</v>
      </c>
      <c r="H15" t="s">
        <v>399</v>
      </c>
      <c r="J15" t="str">
        <f t="shared" si="0"/>
        <v>Stanton, A</v>
      </c>
      <c r="L15">
        <f>VLOOKUP($J15,[1]!Table7[[PLAYER]:[WAR]],4, FALSE)</f>
        <v>11</v>
      </c>
      <c r="M15">
        <f>VLOOKUP($J15,[1]!Table7[[PLAYER]:[WAR]],5, FALSE)</f>
        <v>2</v>
      </c>
      <c r="N15">
        <f>VLOOKUP($J15,[1]!Table7[[PLAYER]:[WAR]],34, FALSE)</f>
        <v>31</v>
      </c>
      <c r="O15">
        <f>VLOOKUP($J15,[1]!Table7[[PLAYER]:[WAR]],48, FALSE)</f>
        <v>5.0562165776937444</v>
      </c>
      <c r="P15">
        <f t="shared" si="1"/>
        <v>17.415857100945122</v>
      </c>
    </row>
    <row r="16" spans="1:21" x14ac:dyDescent="0.25">
      <c r="A16" s="11">
        <v>25</v>
      </c>
      <c r="B16" s="11" t="s">
        <v>400</v>
      </c>
      <c r="C16" s="11" t="s">
        <v>19</v>
      </c>
      <c r="D16" s="12">
        <v>44714</v>
      </c>
      <c r="E16" s="11">
        <v>210</v>
      </c>
      <c r="F16" s="11" t="s">
        <v>72</v>
      </c>
      <c r="G16" s="11" t="s">
        <v>69</v>
      </c>
      <c r="H16" s="11" t="s">
        <v>401</v>
      </c>
      <c r="I16" s="11"/>
      <c r="J16" s="11" t="str">
        <f t="shared" si="0"/>
        <v>True, D</v>
      </c>
      <c r="K16" s="11"/>
      <c r="L16" s="11">
        <f>VLOOKUP($J16,[1]!Table7[[PLAYER]:[WAR]],4, FALSE)</f>
        <v>10</v>
      </c>
      <c r="M16" s="11">
        <f>VLOOKUP($J16,[1]!Table7[[PLAYER]:[WAR]],5, FALSE)</f>
        <v>1</v>
      </c>
      <c r="N16" s="11">
        <f>VLOOKUP($J16,[1]!Table7[[PLAYER]:[WAR]],34, FALSE)</f>
        <v>20.333333333333339</v>
      </c>
      <c r="O16" s="11">
        <f>VLOOKUP($J16,[1]!Table7[[PLAYER]:[WAR]],48, FALSE)</f>
        <v>5.1381613417395666</v>
      </c>
      <c r="P16" s="11">
        <f t="shared" si="1"/>
        <v>11.608438586893099</v>
      </c>
      <c r="Q16">
        <v>1</v>
      </c>
    </row>
    <row r="17" spans="1:18" x14ac:dyDescent="0.25">
      <c r="D17" s="9"/>
    </row>
    <row r="18" spans="1:18" x14ac:dyDescent="0.25">
      <c r="D18" s="9"/>
    </row>
    <row r="19" spans="1:18" x14ac:dyDescent="0.25">
      <c r="D19" s="9"/>
    </row>
    <row r="31" spans="1:18" x14ac:dyDescent="0.25">
      <c r="A31" t="s">
        <v>117</v>
      </c>
      <c r="B31">
        <f>COUNTIF(K33:K50, "&gt;= 7")</f>
        <v>9</v>
      </c>
      <c r="Q31" t="s">
        <v>445</v>
      </c>
      <c r="R31" t="s">
        <v>446</v>
      </c>
    </row>
    <row r="32" spans="1:18" x14ac:dyDescent="0.25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L32" t="s">
        <v>118</v>
      </c>
      <c r="M32" t="s">
        <v>119</v>
      </c>
      <c r="N32" t="s">
        <v>668</v>
      </c>
      <c r="O32" t="s">
        <v>120</v>
      </c>
    </row>
    <row r="33" spans="1:18" x14ac:dyDescent="0.25">
      <c r="A33">
        <v>12</v>
      </c>
      <c r="B33" t="s">
        <v>402</v>
      </c>
      <c r="C33" t="s">
        <v>42</v>
      </c>
      <c r="D33" s="9">
        <v>44714</v>
      </c>
      <c r="E33">
        <v>210</v>
      </c>
      <c r="F33" t="s">
        <v>403</v>
      </c>
      <c r="G33" t="s">
        <v>56</v>
      </c>
      <c r="H33" t="s">
        <v>404</v>
      </c>
      <c r="J33" t="str">
        <f t="shared" ref="J33:J42" si="3">LEFT(B33,(FIND(",",B33,1)+1)) &amp; LEFT(RIGHT(B33,LEN(B33)-(FIND(",",B33)+1)),1)</f>
        <v>Hunt, S</v>
      </c>
      <c r="K33">
        <v>8</v>
      </c>
      <c r="L33">
        <f>VLOOKUP(J33,[1]!Table6[[PLAYER]:[XBH]],26,FALSE)</f>
        <v>146</v>
      </c>
      <c r="M33">
        <f>VLOOKUP(J33,[1]!Table6[[PLAYER]:[XBH]],45,FALSE)</f>
        <v>-2.9525289709730558</v>
      </c>
      <c r="N33">
        <f>(M33/L33) * VLOOKUP(K33,LineupPA!$A$1:$B$10,2,FALSE)</f>
        <v>-8.8253339770393874E-2</v>
      </c>
      <c r="O33">
        <f>IF(K33&lt;7, N33, (M33/L33)*(LineupPA!$C$10 * (3/$B$31)))</f>
        <v>-2.9417779923464626E-2</v>
      </c>
      <c r="P33" s="13"/>
      <c r="Q33">
        <f>SUM(N33:N44)</f>
        <v>0.47821867561742432</v>
      </c>
      <c r="R33">
        <f>SUM(O33:O44)</f>
        <v>0.19265176471380643</v>
      </c>
    </row>
    <row r="34" spans="1:18" x14ac:dyDescent="0.25">
      <c r="A34">
        <v>27</v>
      </c>
      <c r="B34" t="s">
        <v>405</v>
      </c>
      <c r="C34" t="s">
        <v>19</v>
      </c>
      <c r="D34" s="10">
        <v>36678</v>
      </c>
      <c r="E34">
        <v>195</v>
      </c>
      <c r="F34" t="s">
        <v>93</v>
      </c>
      <c r="G34" t="s">
        <v>69</v>
      </c>
      <c r="H34" t="s">
        <v>406</v>
      </c>
      <c r="J34" t="str">
        <f t="shared" ref="J34:J47" si="4">LEFT(B34,(FIND(",",B34,1)+1)) &amp; LEFT(RIGHT(B34,LEN(B34)-(FIND(",",B34)+1)),1)</f>
        <v>Ryan, S</v>
      </c>
      <c r="K34">
        <v>10</v>
      </c>
      <c r="L34">
        <f>VLOOKUP(J34,[1]!Table6[[PLAYER]:[XBH]],26,FALSE)</f>
        <v>1</v>
      </c>
      <c r="M34">
        <f>VLOOKUP(J34,[1]!Table6[[PLAYER]:[XBH]],45,FALSE)</f>
        <v>0.53151862117544979</v>
      </c>
      <c r="N34">
        <f>(M34/L34) * VLOOKUP(K34,LineupPA!$A$1:$B$10,2,FALSE)</f>
        <v>0</v>
      </c>
      <c r="O34">
        <v>0</v>
      </c>
      <c r="P34" s="13"/>
    </row>
    <row r="35" spans="1:18" x14ac:dyDescent="0.25">
      <c r="A35">
        <v>17</v>
      </c>
      <c r="B35" t="s">
        <v>407</v>
      </c>
      <c r="C35" t="s">
        <v>19</v>
      </c>
      <c r="D35" s="9">
        <v>44692</v>
      </c>
      <c r="E35">
        <v>195</v>
      </c>
      <c r="F35" t="s">
        <v>408</v>
      </c>
      <c r="G35" t="s">
        <v>56</v>
      </c>
      <c r="H35" t="s">
        <v>409</v>
      </c>
      <c r="J35" t="str">
        <f t="shared" si="4"/>
        <v>Saum, C</v>
      </c>
      <c r="K35">
        <v>10</v>
      </c>
      <c r="L35">
        <f>VLOOKUP(J35,[1]!Table6[[PLAYER]:[XBH]],26,FALSE)</f>
        <v>114</v>
      </c>
      <c r="M35">
        <f>VLOOKUP(J35,[1]!Table6[[PLAYER]:[XBH]],45,FALSE)</f>
        <v>-8.9436145483943719</v>
      </c>
      <c r="N35">
        <f>(M35/L35) * VLOOKUP(K35,LineupPA!$A$1:$B$10,2,FALSE)</f>
        <v>0</v>
      </c>
      <c r="O35">
        <f>IF(K35&lt;7, N35, (M35/L35)*(LineupPA!$C$10 * (3/$B$31)))</f>
        <v>-0.1141239527060955</v>
      </c>
      <c r="P35" s="13"/>
    </row>
    <row r="36" spans="1:18" x14ac:dyDescent="0.25">
      <c r="A36">
        <v>13</v>
      </c>
      <c r="B36" t="s">
        <v>410</v>
      </c>
      <c r="C36" t="s">
        <v>24</v>
      </c>
      <c r="D36" s="10">
        <v>36678</v>
      </c>
      <c r="E36">
        <v>195</v>
      </c>
      <c r="F36" t="s">
        <v>280</v>
      </c>
      <c r="G36" t="s">
        <v>21</v>
      </c>
      <c r="H36" t="s">
        <v>411</v>
      </c>
      <c r="J36" t="str">
        <f t="shared" si="4"/>
        <v>Brookshaw, P</v>
      </c>
      <c r="K36">
        <v>3</v>
      </c>
      <c r="L36">
        <f>VLOOKUP(J36,[1]!Table6[[PLAYER]:[XBH]],26,FALSE)</f>
        <v>133</v>
      </c>
      <c r="M36">
        <f>VLOOKUP(J36,[1]!Table6[[PLAYER]:[XBH]],45,FALSE)</f>
        <v>1.5007549545074448</v>
      </c>
      <c r="N36">
        <f>(M36/L36) * VLOOKUP(K36,LineupPA!$A$1:$B$10,2,FALSE)</f>
        <v>5.3474846405728887E-2</v>
      </c>
      <c r="O36">
        <f>IF(K36&lt;7, N36, (M36/L36)*(LineupPA!$C$10 * (3/$B$31)))</f>
        <v>5.3474846405728887E-2</v>
      </c>
      <c r="P36" s="13"/>
    </row>
    <row r="37" spans="1:18" x14ac:dyDescent="0.25">
      <c r="A37">
        <v>6</v>
      </c>
      <c r="B37" t="s">
        <v>412</v>
      </c>
      <c r="C37" t="s">
        <v>42</v>
      </c>
      <c r="D37" s="9">
        <v>44689</v>
      </c>
      <c r="E37">
        <v>165</v>
      </c>
      <c r="F37" t="s">
        <v>413</v>
      </c>
      <c r="G37" t="s">
        <v>39</v>
      </c>
      <c r="H37" t="s">
        <v>414</v>
      </c>
      <c r="J37" t="str">
        <f t="shared" si="4"/>
        <v>Conn, C</v>
      </c>
      <c r="K37">
        <v>10</v>
      </c>
      <c r="L37">
        <f>VLOOKUP(J37,[1]!Table6[[PLAYER]:[XBH]],26,FALSE)</f>
        <v>203</v>
      </c>
      <c r="M37">
        <f>VLOOKUP(J37,[1]!Table6[[PLAYER]:[XBH]],45,FALSE)</f>
        <v>2.3312577008673059</v>
      </c>
      <c r="N37">
        <f>(M37/L37) * VLOOKUP(K37,LineupPA!$A$1:$B$10,2,FALSE)</f>
        <v>0</v>
      </c>
      <c r="O37">
        <f>IF(K37&lt;7, N37, (M37/L37)*(LineupPA!$C$10 * (3/$B$31)))</f>
        <v>1.670562885555588E-2</v>
      </c>
      <c r="P37" s="13"/>
    </row>
    <row r="38" spans="1:18" x14ac:dyDescent="0.25">
      <c r="A38">
        <v>2</v>
      </c>
      <c r="B38" t="s">
        <v>415</v>
      </c>
      <c r="C38" t="s">
        <v>19</v>
      </c>
      <c r="D38" s="9">
        <v>36678</v>
      </c>
      <c r="E38">
        <v>190</v>
      </c>
      <c r="F38" t="s">
        <v>408</v>
      </c>
      <c r="G38" t="s">
        <v>56</v>
      </c>
      <c r="H38" t="s">
        <v>416</v>
      </c>
      <c r="J38" t="str">
        <f t="shared" si="4"/>
        <v>Haskins, T</v>
      </c>
      <c r="K38">
        <v>10</v>
      </c>
      <c r="L38">
        <f>VLOOKUP(J38,[1]!Table6[[PLAYER]:[XBH]],26,FALSE)</f>
        <v>173</v>
      </c>
      <c r="M38">
        <f>VLOOKUP(J38,[1]!Table6[[PLAYER]:[XBH]],45,FALSE)</f>
        <v>4.4863174572512614</v>
      </c>
      <c r="N38">
        <f>(M38/L38) * VLOOKUP(K38,LineupPA!$A$1:$B$10,2,FALSE)</f>
        <v>0</v>
      </c>
      <c r="O38">
        <f>IF(K38&lt;7, N38, (M38/L38)*(LineupPA!$C$10 * (3/$B$31)))</f>
        <v>3.7723543534777214E-2</v>
      </c>
      <c r="P38" s="13"/>
    </row>
    <row r="39" spans="1:18" x14ac:dyDescent="0.25">
      <c r="A39">
        <v>19</v>
      </c>
      <c r="B39" t="s">
        <v>417</v>
      </c>
      <c r="C39" t="s">
        <v>19</v>
      </c>
      <c r="D39" s="9">
        <v>44691</v>
      </c>
      <c r="E39">
        <v>215</v>
      </c>
      <c r="F39" t="s">
        <v>144</v>
      </c>
      <c r="G39" t="s">
        <v>51</v>
      </c>
      <c r="H39" t="s">
        <v>418</v>
      </c>
      <c r="J39" t="str">
        <f t="shared" si="4"/>
        <v>Kuchinski, S</v>
      </c>
      <c r="K39">
        <v>7</v>
      </c>
      <c r="L39">
        <f>VLOOKUP(J39,[1]!Table6[[PLAYER]:[XBH]],26,FALSE)</f>
        <v>246</v>
      </c>
      <c r="M39">
        <f>VLOOKUP(J39,[1]!Table6[[PLAYER]:[XBH]],45,FALSE)</f>
        <v>8.6240003115773813</v>
      </c>
      <c r="N39">
        <f>(M39/L39) * VLOOKUP(K39,LineupPA!$A$1:$B$10,2,FALSE)</f>
        <v>0.1556194266435148</v>
      </c>
      <c r="O39">
        <f>IF(K39&lt;7, N39, (M39/L39)*(LineupPA!$C$10 * (3/$B$31)))</f>
        <v>5.0996719418612932E-2</v>
      </c>
      <c r="P39" s="13"/>
    </row>
    <row r="40" spans="1:18" x14ac:dyDescent="0.25">
      <c r="A40">
        <v>4</v>
      </c>
      <c r="B40" t="s">
        <v>419</v>
      </c>
      <c r="C40" t="s">
        <v>24</v>
      </c>
      <c r="D40" s="9">
        <v>44715</v>
      </c>
      <c r="E40">
        <v>190</v>
      </c>
      <c r="F40" t="s">
        <v>420</v>
      </c>
      <c r="G40" t="s">
        <v>51</v>
      </c>
      <c r="H40" t="s">
        <v>30</v>
      </c>
      <c r="J40" t="str">
        <f t="shared" si="4"/>
        <v>Rosengard, B</v>
      </c>
      <c r="K40">
        <v>9</v>
      </c>
      <c r="L40">
        <f>VLOOKUP(J40,[1]!Table6[[PLAYER]:[XBH]],26,FALSE)</f>
        <v>223</v>
      </c>
      <c r="M40">
        <f>VLOOKUP(J40,[1]!Table6[[PLAYER]:[XBH]],45,FALSE)</f>
        <v>1.8460155308085977</v>
      </c>
      <c r="N40">
        <f>(M40/L40) * VLOOKUP(K40,LineupPA!$A$1:$B$10,2,FALSE)</f>
        <v>3.5505179966042119E-2</v>
      </c>
      <c r="O40">
        <f>IF(K40&lt;7, N40, (M40/L40)*(LineupPA!$C$10 * (3/$B$31)))</f>
        <v>1.2042012402448487E-2</v>
      </c>
      <c r="P40" s="13"/>
    </row>
    <row r="41" spans="1:18" x14ac:dyDescent="0.25">
      <c r="A41">
        <v>14</v>
      </c>
      <c r="B41" t="s">
        <v>421</v>
      </c>
      <c r="C41" t="s">
        <v>19</v>
      </c>
      <c r="D41" s="9">
        <v>44715</v>
      </c>
      <c r="E41">
        <v>205</v>
      </c>
      <c r="F41" t="s">
        <v>408</v>
      </c>
      <c r="G41" t="s">
        <v>56</v>
      </c>
      <c r="H41" t="s">
        <v>422</v>
      </c>
      <c r="J41" t="str">
        <f t="shared" si="4"/>
        <v>Sapien, J</v>
      </c>
      <c r="K41">
        <v>5</v>
      </c>
      <c r="L41">
        <f>VLOOKUP(J41,[1]!Table6[[PLAYER]:[XBH]],26,FALSE)</f>
        <v>154</v>
      </c>
      <c r="M41">
        <f>VLOOKUP(J41,[1]!Table6[[PLAYER]:[XBH]],45,FALSE)</f>
        <v>8.8825901299791035</v>
      </c>
      <c r="N41">
        <f>(M41/L41) * VLOOKUP(K41,LineupPA!$A$1:$B$10,2,FALSE)</f>
        <v>0.264692603364656</v>
      </c>
      <c r="O41">
        <f>IF(K41&lt;7, N41, (M41/L41)*(LineupPA!$C$10 * (3/$B$31)))</f>
        <v>0.264692603364656</v>
      </c>
      <c r="P41" s="13"/>
    </row>
    <row r="42" spans="1:18" x14ac:dyDescent="0.25">
      <c r="A42">
        <v>7</v>
      </c>
      <c r="B42" t="s">
        <v>423</v>
      </c>
      <c r="C42" t="s">
        <v>24</v>
      </c>
      <c r="D42" s="9">
        <v>44716</v>
      </c>
      <c r="E42">
        <v>220</v>
      </c>
      <c r="F42" t="s">
        <v>219</v>
      </c>
      <c r="G42" t="s">
        <v>21</v>
      </c>
      <c r="H42" t="s">
        <v>424</v>
      </c>
      <c r="J42" t="str">
        <f t="shared" si="4"/>
        <v>Szykowny, C</v>
      </c>
      <c r="K42">
        <v>2</v>
      </c>
      <c r="L42">
        <f>VLOOKUP(J42,[1]!Table6[[PLAYER]:[XBH]],26,FALSE)</f>
        <v>228</v>
      </c>
      <c r="M42">
        <f>VLOOKUP(J42,[1]!Table6[[PLAYER]:[XBH]],45,FALSE)</f>
        <v>0.18355183690829602</v>
      </c>
      <c r="N42">
        <f>(M42/L42) * VLOOKUP(K42,LineupPA!$A$1:$B$10,2,FALSE)</f>
        <v>3.8755611456459402E-3</v>
      </c>
      <c r="O42">
        <f>IF(K42&lt;7, N42, (M42/L42)*(LineupPA!$C$10 * (3/$B$31)))</f>
        <v>3.8755611456459402E-3</v>
      </c>
      <c r="P42" s="13"/>
    </row>
    <row r="43" spans="1:18" x14ac:dyDescent="0.25">
      <c r="A43">
        <v>42</v>
      </c>
      <c r="B43" t="s">
        <v>425</v>
      </c>
      <c r="C43" t="s">
        <v>24</v>
      </c>
      <c r="D43" s="9">
        <v>44715</v>
      </c>
      <c r="E43">
        <v>275</v>
      </c>
      <c r="F43" t="s">
        <v>72</v>
      </c>
      <c r="G43" t="s">
        <v>69</v>
      </c>
      <c r="H43" t="s">
        <v>426</v>
      </c>
      <c r="J43" t="str">
        <f t="shared" si="4"/>
        <v>Yorke, J</v>
      </c>
      <c r="K43">
        <v>4</v>
      </c>
      <c r="L43">
        <f>VLOOKUP(J43,[1]!Table6[[PLAYER]:[XBH]],26,FALSE)</f>
        <v>181</v>
      </c>
      <c r="M43">
        <f>VLOOKUP(J43,[1]!Table6[[PLAYER]:[XBH]],45,FALSE)</f>
        <v>2.0686085109210395</v>
      </c>
      <c r="N43">
        <f>(M43/L43) * VLOOKUP(K43,LineupPA!$A$1:$B$10,2,FALSE)</f>
        <v>5.3304397862230408E-2</v>
      </c>
      <c r="O43">
        <f>IF(K43&lt;7, N43, (M43/L43)*(LineupPA!$C$10 * (3/$B$31)))</f>
        <v>5.3304397862230408E-2</v>
      </c>
    </row>
    <row r="44" spans="1:18" x14ac:dyDescent="0.25">
      <c r="A44">
        <v>1</v>
      </c>
      <c r="B44" t="s">
        <v>427</v>
      </c>
      <c r="C44" t="s">
        <v>19</v>
      </c>
      <c r="D44" s="9">
        <v>44713</v>
      </c>
      <c r="E44">
        <v>190</v>
      </c>
      <c r="F44" t="s">
        <v>428</v>
      </c>
      <c r="G44" t="s">
        <v>56</v>
      </c>
      <c r="H44" t="s">
        <v>429</v>
      </c>
      <c r="J44" t="str">
        <f t="shared" si="4"/>
        <v>Coupe, M</v>
      </c>
      <c r="K44">
        <v>10</v>
      </c>
      <c r="L44">
        <f>VLOOKUP(J44,[1]!Table6[[PLAYER]:[XBH]],26,FALSE)</f>
        <v>156</v>
      </c>
      <c r="M44">
        <f>VLOOKUP(J44,[1]!Table6[[PLAYER]:[XBH]],45,FALSE)</f>
        <v>-16.796092969496684</v>
      </c>
      <c r="N44">
        <f>(M44/L44) * VLOOKUP(K44,LineupPA!$A$1:$B$10,2,FALSE)</f>
        <v>0</v>
      </c>
      <c r="O44">
        <f>IF(K44&lt;7, N44, (M44/L44)*(LineupPA!$C$10 * (3/$B$31)))</f>
        <v>-0.15662181564628921</v>
      </c>
    </row>
    <row r="45" spans="1:18" x14ac:dyDescent="0.25">
      <c r="A45">
        <v>9</v>
      </c>
      <c r="B45" t="s">
        <v>430</v>
      </c>
      <c r="C45" t="s">
        <v>19</v>
      </c>
      <c r="D45" s="9">
        <v>44692</v>
      </c>
      <c r="E45">
        <v>190</v>
      </c>
      <c r="F45" t="s">
        <v>144</v>
      </c>
      <c r="G45" t="s">
        <v>26</v>
      </c>
      <c r="H45" t="s">
        <v>431</v>
      </c>
      <c r="J45" t="str">
        <f t="shared" si="4"/>
        <v>Latimer, R</v>
      </c>
      <c r="K45">
        <v>6</v>
      </c>
      <c r="L45">
        <f>VLOOKUP(J45,[1]!Table6[[PLAYER]:[XBH]],26,FALSE)</f>
        <v>278</v>
      </c>
      <c r="M45">
        <f>VLOOKUP(J45,[1]!Table6[[PLAYER]:[XBH]],45,FALSE)</f>
        <v>2.2705966225109098</v>
      </c>
      <c r="N45">
        <f>(M45/L45) * VLOOKUP(K45,LineupPA!$A$1:$B$10,2,FALSE)</f>
        <v>3.6869026670712596E-2</v>
      </c>
      <c r="O45">
        <f>IF(K45&lt;7, N45, (M45/L45)*(LineupPA!$C$10 * (3/$B$31)))</f>
        <v>3.6869026670712596E-2</v>
      </c>
    </row>
    <row r="46" spans="1:18" x14ac:dyDescent="0.25">
      <c r="A46">
        <v>3</v>
      </c>
      <c r="B46" t="s">
        <v>432</v>
      </c>
      <c r="C46" t="s">
        <v>24</v>
      </c>
      <c r="D46" s="9">
        <v>44690</v>
      </c>
      <c r="E46">
        <v>175</v>
      </c>
      <c r="F46" t="s">
        <v>280</v>
      </c>
      <c r="G46" t="s">
        <v>26</v>
      </c>
      <c r="H46" t="s">
        <v>433</v>
      </c>
      <c r="J46" t="str">
        <f t="shared" si="4"/>
        <v>Schwabe, C</v>
      </c>
      <c r="K46">
        <v>1</v>
      </c>
      <c r="L46">
        <f>VLOOKUP(J46,[1]!Table6[[PLAYER]:[XBH]],26,FALSE)</f>
        <v>251</v>
      </c>
      <c r="M46">
        <f>VLOOKUP(J46,[1]!Table6[[PLAYER]:[XBH]],45,FALSE)</f>
        <v>20.57439965425062</v>
      </c>
      <c r="N46">
        <f>(M46/L46) * VLOOKUP(K46,LineupPA!$A$1:$B$10,2,FALSE)</f>
        <v>0.40075415686185539</v>
      </c>
      <c r="O46">
        <f>IF(K46&lt;7, N46, (M46/L46)*(LineupPA!$C$10 * (3/$B$31)))</f>
        <v>0.40075415686185539</v>
      </c>
    </row>
    <row r="47" spans="1:18" x14ac:dyDescent="0.25">
      <c r="A47">
        <v>26</v>
      </c>
      <c r="B47" t="s">
        <v>434</v>
      </c>
      <c r="C47" t="s">
        <v>19</v>
      </c>
      <c r="D47" s="9">
        <v>44714</v>
      </c>
      <c r="E47">
        <v>210</v>
      </c>
      <c r="F47" t="s">
        <v>370</v>
      </c>
      <c r="G47" t="s">
        <v>21</v>
      </c>
      <c r="H47" t="s">
        <v>435</v>
      </c>
      <c r="J47" t="str">
        <f t="shared" si="4"/>
        <v>Wright, S</v>
      </c>
      <c r="K47">
        <v>10</v>
      </c>
      <c r="L47">
        <f>VLOOKUP(J47,[1]!Table6[[PLAYER]:[XBH]],26,FALSE)</f>
        <v>19</v>
      </c>
      <c r="M47">
        <f>VLOOKUP(J47,[1]!Table6[[PLAYER]:[XBH]],45,FALSE)</f>
        <v>-2.8015916975041812</v>
      </c>
      <c r="N47">
        <f>(M47/L47) * VLOOKUP(K47,LineupPA!$A$1:$B$10,2,FALSE)</f>
        <v>0</v>
      </c>
      <c r="O47">
        <f>IF(K47&lt;7, N47, (M47/L47)*(LineupPA!$C$10 * (3/$B$31)))</f>
        <v>-0.21449630906454298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Matchups</vt:lpstr>
      <vt:lpstr>Power Rankings</vt:lpstr>
      <vt:lpstr>Teams</vt:lpstr>
      <vt:lpstr>LineupPA</vt:lpstr>
      <vt:lpstr>TVC</vt:lpstr>
      <vt:lpstr>KZO</vt:lpstr>
      <vt:lpstr>WAU</vt:lpstr>
      <vt:lpstr>WIR</vt:lpstr>
      <vt:lpstr>EC</vt:lpstr>
      <vt:lpstr>DUL</vt:lpstr>
      <vt:lpstr>WIL</vt:lpstr>
      <vt:lpstr>STC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Banks</dc:creator>
  <cp:lastModifiedBy>Jack Banks</cp:lastModifiedBy>
  <dcterms:created xsi:type="dcterms:W3CDTF">2022-08-14T05:04:49Z</dcterms:created>
  <dcterms:modified xsi:type="dcterms:W3CDTF">2022-08-15T00:14:08Z</dcterms:modified>
</cp:coreProperties>
</file>